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worksheets/sheet350.xml" ContentType="application/vnd.openxmlformats-officedocument.spreadsheetml.worksheet+xml"/>
  <Override PartName="/xl/worksheets/sheet351.xml" ContentType="application/vnd.openxmlformats-officedocument.spreadsheetml.worksheet+xml"/>
  <Override PartName="/xl/worksheets/sheet352.xml" ContentType="application/vnd.openxmlformats-officedocument.spreadsheetml.worksheet+xml"/>
  <Override PartName="/xl/worksheets/sheet353.xml" ContentType="application/vnd.openxmlformats-officedocument.spreadsheetml.worksheet+xml"/>
  <Override PartName="/xl/worksheets/sheet354.xml" ContentType="application/vnd.openxmlformats-officedocument.spreadsheetml.worksheet+xml"/>
  <Override PartName="/xl/worksheets/sheet355.xml" ContentType="application/vnd.openxmlformats-officedocument.spreadsheetml.worksheet+xml"/>
  <Override PartName="/xl/worksheets/sheet356.xml" ContentType="application/vnd.openxmlformats-officedocument.spreadsheetml.worksheet+xml"/>
  <Override PartName="/xl/worksheets/sheet35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drawings/drawing350.xml" ContentType="application/vnd.openxmlformats-officedocument.drawing+xml"/>
  <Override PartName="/xl/drawings/drawing351.xml" ContentType="application/vnd.openxmlformats-officedocument.drawing+xml"/>
  <Override PartName="/xl/drawings/drawing352.xml" ContentType="application/vnd.openxmlformats-officedocument.drawing+xml"/>
  <Override PartName="/xl/drawings/drawing353.xml" ContentType="application/vnd.openxmlformats-officedocument.drawing+xml"/>
  <Override PartName="/xl/drawings/drawing354.xml" ContentType="application/vnd.openxmlformats-officedocument.drawing+xml"/>
  <Override PartName="/xl/drawings/drawing355.xml" ContentType="application/vnd.openxmlformats-officedocument.drawing+xml"/>
  <Override PartName="/xl/drawings/drawing356.xml" ContentType="application/vnd.openxmlformats-officedocument.drawing+xml"/>
  <Override PartName="/xl/drawings/drawing35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C:\Users\yudy_santos\Desktop\"/>
    </mc:Choice>
  </mc:AlternateContent>
  <xr:revisionPtr revIDLastSave="0" documentId="8_{35BD93FF-E4A3-48D9-8405-372A7AE06D56}" xr6:coauthVersionLast="47" xr6:coauthVersionMax="47" xr10:uidLastSave="{00000000-0000-0000-0000-000000000000}"/>
  <bookViews>
    <workbookView xWindow="-120" yWindow="-120" windowWidth="29040" windowHeight="15720" tabRatio="751" firstSheet="352" activeTab="354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  <sheet name="NOMINA FIJA DICIEMBRE 2025" sheetId="363" r:id="rId346"/>
    <sheet name="NOM EMPLE TEMPLO DICIEMBRE 2025" sheetId="364" r:id="rId347"/>
    <sheet name="NOMINA SUPLENCIA DICIEMBRE 2025" sheetId="365" r:id="rId348"/>
    <sheet name="NOMINA MILITAR DICIEMBRE 2025" sheetId="366" r:id="rId349"/>
    <sheet name="NOMINA FIJA ENERO 2026" sheetId="367" r:id="rId350"/>
    <sheet name="NOM EMPLE TEMPLO ENERO 2026" sheetId="368" r:id="rId351"/>
    <sheet name="NOMINA SUPLENCIA ENERO 2026" sheetId="369" r:id="rId352"/>
    <sheet name="NOMINA MILITAR ENERO 2026" sheetId="370" r:id="rId353"/>
    <sheet name="NOMINA FIJA FEBRERO 2026" sheetId="371" r:id="rId354"/>
    <sheet name="NOM EMPLE TEMPLO FEBRERO 2026" sheetId="372" r:id="rId355"/>
    <sheet name="NOMINA SUPLENCIA FEBRERO 2026" sheetId="373" r:id="rId356"/>
    <sheet name="NOMINA MILITAR FEBRERO 2026 " sheetId="374" r:id="rId357"/>
  </sheets>
  <definedNames>
    <definedName name="_xlnm._FilterDatabase" localSheetId="346" hidden="1">'NOM EMPLE TEMPLO DICIEMBRE 2025'!$B$3:$P$8</definedName>
    <definedName name="_xlnm._FilterDatabase" localSheetId="350" hidden="1">'NOM EMPLE TEMPLO ENERO 2026'!$B$3:$P$8</definedName>
    <definedName name="_xlnm._FilterDatabase" localSheetId="354" hidden="1">'NOM EMPLE TEMPLO FEBRERO 2026'!$B$3:$P$8</definedName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345" hidden="1">'NOMINA FIJA DICIEMBRE 2025'!$A$195:$N$211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349" hidden="1">'NOMINA FIJA ENERO 2026'!$A$195:$N$211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353" hidden="1">'NOMINA FIJA FEBRERO 2026'!$A$194:$N$210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348" hidden="1">'NOMINA MILITAR DICIEMBRE 2025'!$A$14:$M$44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352" hidden="1">'NOMINA MILITAR ENERO 2026'!$A$14:$M$44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356" hidden="1">'NOMINA MILITAR FEBRERO 2026 '!$A$14:$M$40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346">'NOM EMPLE TEMPLO DICIEMBRE 2025'!$B$1:$P$203</definedName>
    <definedName name="_xlnm.Print_Area" localSheetId="350">'NOM EMPLE TEMPLO ENERO 2026'!$B$1:$P$203</definedName>
    <definedName name="_xlnm.Print_Area" localSheetId="354">'NOM EMPLE TEMPLO FEBRERO 2026'!$B$1:$P$200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345">'NOMINA FIJA DICIEMBRE 2025'!$A$1:$M$269</definedName>
    <definedName name="_xlnm.Print_Area" localSheetId="285">'NOMINA FIJA ENERO 2025'!$A$1:$N$260</definedName>
    <definedName name="_xlnm.Print_Area" localSheetId="349">'NOMINA FIJA ENERO 2026'!$A$1:$M$269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353">'NOMINA FIJA FEBRERO 2026'!$A$1:$M$268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348">'NOMINA MILITAR DICIEMBRE 2025'!$A$1:$M$73</definedName>
    <definedName name="_xlnm.Print_Area" localSheetId="287">'NOMINA MILITAR ENERO 2025'!$A$1:$N$62</definedName>
    <definedName name="_xlnm.Print_Area" localSheetId="352">'NOMINA MILITAR ENERO 2026'!$A$1:$M$73</definedName>
    <definedName name="_xlnm.Print_Area" localSheetId="294">'NOMINA MILITAR FEBRERO 2025 '!$A$1:$N$62</definedName>
    <definedName name="_xlnm.Print_Area" localSheetId="356">'NOMINA MILITAR FEBRERO 2026 '!$A$1:$M$69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347">'NOMINA SUPLENCIA DICIEMBRE 2025'!$A$1:$N$65</definedName>
    <definedName name="_xlnm.Print_Area" localSheetId="289">'NOMINA SUPLENCIA ENERO 2025'!$A$1:$M$63</definedName>
    <definedName name="_xlnm.Print_Area" localSheetId="351">'NOMINA SUPLENCIA ENERO 2026'!$A$1:$N$65</definedName>
    <definedName name="_xlnm.Print_Area" localSheetId="296">'NOMINA SUPLENCIA FEBRERO 2025'!$A$1:$M$63</definedName>
    <definedName name="_xlnm.Print_Area" localSheetId="355">'NOMINA SUPLENCIA FEBRERO 2026'!$B$1:$M$65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54" i="372" l="1"/>
  <c r="D180" i="372"/>
  <c r="N25" i="372"/>
  <c r="N19" i="372"/>
  <c r="N15" i="372"/>
  <c r="L19" i="371"/>
  <c r="L23" i="371" s="1"/>
  <c r="I244" i="371"/>
  <c r="K91" i="371"/>
  <c r="L90" i="371"/>
  <c r="M90" i="371" s="1"/>
  <c r="J91" i="371"/>
  <c r="I91" i="371"/>
  <c r="H91" i="371"/>
  <c r="G91" i="371"/>
  <c r="E91" i="371"/>
  <c r="E182" i="371"/>
  <c r="E23" i="371"/>
  <c r="C47" i="374"/>
  <c r="M45" i="374"/>
  <c r="K45" i="374"/>
  <c r="J45" i="374"/>
  <c r="I45" i="374"/>
  <c r="H45" i="374"/>
  <c r="G45" i="374"/>
  <c r="F45" i="374"/>
  <c r="E45" i="374"/>
  <c r="L44" i="374"/>
  <c r="L45" i="374" s="1"/>
  <c r="K40" i="374"/>
  <c r="J40" i="374"/>
  <c r="I40" i="374"/>
  <c r="I47" i="374" s="1"/>
  <c r="H40" i="374"/>
  <c r="G40" i="374"/>
  <c r="F40" i="374"/>
  <c r="E40" i="374"/>
  <c r="E47" i="374" s="1"/>
  <c r="L39" i="374"/>
  <c r="L38" i="374"/>
  <c r="L37" i="374"/>
  <c r="L36" i="374"/>
  <c r="L35" i="374"/>
  <c r="L34" i="374"/>
  <c r="L33" i="374"/>
  <c r="L32" i="374"/>
  <c r="L31" i="374"/>
  <c r="L30" i="374"/>
  <c r="L29" i="374"/>
  <c r="L28" i="374"/>
  <c r="L27" i="374"/>
  <c r="L26" i="374"/>
  <c r="L25" i="374"/>
  <c r="L24" i="374"/>
  <c r="L23" i="374"/>
  <c r="L22" i="374"/>
  <c r="L21" i="374"/>
  <c r="L20" i="374"/>
  <c r="L19" i="374"/>
  <c r="L18" i="374"/>
  <c r="L17" i="374"/>
  <c r="M16" i="374"/>
  <c r="M40" i="374" s="1"/>
  <c r="G46" i="373"/>
  <c r="D46" i="373"/>
  <c r="L44" i="373"/>
  <c r="M44" i="373" s="1"/>
  <c r="L43" i="373"/>
  <c r="M43" i="373" s="1"/>
  <c r="L37" i="373"/>
  <c r="M37" i="373" s="1"/>
  <c r="L36" i="373"/>
  <c r="M36" i="373" s="1"/>
  <c r="L32" i="373"/>
  <c r="M32" i="373" s="1"/>
  <c r="L31" i="373"/>
  <c r="M31" i="373" s="1"/>
  <c r="L28" i="373"/>
  <c r="M28" i="373" s="1"/>
  <c r="L27" i="373"/>
  <c r="M27" i="373" s="1"/>
  <c r="K24" i="373"/>
  <c r="J24" i="373"/>
  <c r="I24" i="373"/>
  <c r="H24" i="373"/>
  <c r="L24" i="373" s="1"/>
  <c r="G24" i="373"/>
  <c r="M24" i="373" s="1"/>
  <c r="E24" i="373"/>
  <c r="L23" i="373"/>
  <c r="M23" i="373" s="1"/>
  <c r="L20" i="373"/>
  <c r="K20" i="373"/>
  <c r="J20" i="373"/>
  <c r="I20" i="373"/>
  <c r="H20" i="373"/>
  <c r="G20" i="373"/>
  <c r="M20" i="373" s="1"/>
  <c r="F20" i="373"/>
  <c r="E20" i="373"/>
  <c r="M19" i="373"/>
  <c r="L19" i="373"/>
  <c r="K16" i="373"/>
  <c r="J16" i="373"/>
  <c r="J46" i="373" s="1"/>
  <c r="I16" i="373"/>
  <c r="I46" i="373" s="1"/>
  <c r="H16" i="373"/>
  <c r="H46" i="373" s="1"/>
  <c r="G16" i="373"/>
  <c r="F16" i="373"/>
  <c r="E16" i="373"/>
  <c r="E46" i="373" s="1"/>
  <c r="L15" i="373"/>
  <c r="M15" i="373" s="1"/>
  <c r="M16" i="373" s="1"/>
  <c r="M46" i="373" s="1"/>
  <c r="N177" i="372"/>
  <c r="M177" i="372"/>
  <c r="L177" i="372"/>
  <c r="K177" i="372"/>
  <c r="J177" i="372"/>
  <c r="H177" i="372"/>
  <c r="O176" i="372"/>
  <c r="P176" i="372" s="1"/>
  <c r="O175" i="372"/>
  <c r="P175" i="372" s="1"/>
  <c r="O174" i="372"/>
  <c r="P174" i="372" s="1"/>
  <c r="O173" i="372"/>
  <c r="P173" i="372" s="1"/>
  <c r="O172" i="372"/>
  <c r="P172" i="372" s="1"/>
  <c r="O147" i="372"/>
  <c r="P147" i="372" s="1"/>
  <c r="O171" i="372"/>
  <c r="P171" i="372" s="1"/>
  <c r="O170" i="372"/>
  <c r="P170" i="372" s="1"/>
  <c r="O169" i="372"/>
  <c r="P169" i="372" s="1"/>
  <c r="N166" i="372"/>
  <c r="M166" i="372"/>
  <c r="L166" i="372"/>
  <c r="K166" i="372"/>
  <c r="J166" i="372"/>
  <c r="H166" i="372"/>
  <c r="O165" i="372"/>
  <c r="P165" i="372" s="1"/>
  <c r="O164" i="372"/>
  <c r="P164" i="372" s="1"/>
  <c r="O163" i="372"/>
  <c r="P163" i="372" s="1"/>
  <c r="O162" i="372"/>
  <c r="P162" i="372" s="1"/>
  <c r="O161" i="372"/>
  <c r="P161" i="372" s="1"/>
  <c r="O160" i="372"/>
  <c r="P160" i="372" s="1"/>
  <c r="O159" i="372"/>
  <c r="P159" i="372" s="1"/>
  <c r="O158" i="372"/>
  <c r="P158" i="372" s="1"/>
  <c r="O157" i="372"/>
  <c r="P157" i="372" s="1"/>
  <c r="N154" i="372"/>
  <c r="M154" i="372"/>
  <c r="L154" i="372"/>
  <c r="K154" i="372"/>
  <c r="J154" i="372"/>
  <c r="O153" i="372"/>
  <c r="P153" i="372" s="1"/>
  <c r="O152" i="372"/>
  <c r="P152" i="372" s="1"/>
  <c r="O151" i="372"/>
  <c r="P151" i="372" s="1"/>
  <c r="O150" i="372"/>
  <c r="P150" i="372" s="1"/>
  <c r="O149" i="372"/>
  <c r="P149" i="372" s="1"/>
  <c r="O148" i="372"/>
  <c r="P148" i="372" s="1"/>
  <c r="O146" i="372"/>
  <c r="P146" i="372" s="1"/>
  <c r="N143" i="372"/>
  <c r="M143" i="372"/>
  <c r="L143" i="372"/>
  <c r="K143" i="372"/>
  <c r="J143" i="372"/>
  <c r="H143" i="372"/>
  <c r="O142" i="372"/>
  <c r="P142" i="372" s="1"/>
  <c r="O141" i="372"/>
  <c r="P141" i="372" s="1"/>
  <c r="O140" i="372"/>
  <c r="P140" i="372" s="1"/>
  <c r="O139" i="372"/>
  <c r="P139" i="372" s="1"/>
  <c r="O138" i="372"/>
  <c r="P138" i="372" s="1"/>
  <c r="O137" i="372"/>
  <c r="P137" i="372" s="1"/>
  <c r="O136" i="372"/>
  <c r="P136" i="372" s="1"/>
  <c r="O135" i="372"/>
  <c r="P135" i="372" s="1"/>
  <c r="O134" i="372"/>
  <c r="P134" i="372" s="1"/>
  <c r="O133" i="372"/>
  <c r="N129" i="372"/>
  <c r="M129" i="372"/>
  <c r="L129" i="372"/>
  <c r="K129" i="372"/>
  <c r="J129" i="372"/>
  <c r="H129" i="372"/>
  <c r="O128" i="372"/>
  <c r="O129" i="372" s="1"/>
  <c r="N125" i="372"/>
  <c r="M125" i="372"/>
  <c r="L125" i="372"/>
  <c r="K125" i="372"/>
  <c r="J125" i="372"/>
  <c r="I125" i="372"/>
  <c r="H125" i="372"/>
  <c r="O124" i="372"/>
  <c r="P124" i="372" s="1"/>
  <c r="O123" i="372"/>
  <c r="P123" i="372" s="1"/>
  <c r="O122" i="372"/>
  <c r="P122" i="372" s="1"/>
  <c r="O121" i="372"/>
  <c r="P121" i="372" s="1"/>
  <c r="O120" i="372"/>
  <c r="P120" i="372" s="1"/>
  <c r="O119" i="372"/>
  <c r="O118" i="372"/>
  <c r="P118" i="372" s="1"/>
  <c r="N115" i="372"/>
  <c r="O114" i="372"/>
  <c r="P114" i="372" s="1"/>
  <c r="P115" i="372" s="1"/>
  <c r="N111" i="372"/>
  <c r="M111" i="372"/>
  <c r="L111" i="372"/>
  <c r="K111" i="372"/>
  <c r="J111" i="372"/>
  <c r="I111" i="372"/>
  <c r="H111" i="372"/>
  <c r="O110" i="372"/>
  <c r="O109" i="372"/>
  <c r="P109" i="372" s="1"/>
  <c r="O108" i="372"/>
  <c r="P108" i="372" s="1"/>
  <c r="N105" i="372"/>
  <c r="M105" i="372"/>
  <c r="L105" i="372"/>
  <c r="K105" i="372"/>
  <c r="J105" i="372"/>
  <c r="I105" i="372"/>
  <c r="H105" i="372"/>
  <c r="O104" i="372"/>
  <c r="P104" i="372" s="1"/>
  <c r="P105" i="372" s="1"/>
  <c r="N101" i="372"/>
  <c r="M101" i="372"/>
  <c r="L101" i="372"/>
  <c r="K101" i="372"/>
  <c r="J101" i="372"/>
  <c r="H101" i="372"/>
  <c r="O100" i="372"/>
  <c r="P100" i="372" s="1"/>
  <c r="O99" i="372"/>
  <c r="P99" i="372" s="1"/>
  <c r="O98" i="372"/>
  <c r="P98" i="372" s="1"/>
  <c r="O97" i="372"/>
  <c r="P97" i="372" s="1"/>
  <c r="O96" i="372"/>
  <c r="P96" i="372" s="1"/>
  <c r="O95" i="372"/>
  <c r="P95" i="372" s="1"/>
  <c r="P94" i="372"/>
  <c r="N91" i="372"/>
  <c r="M91" i="372"/>
  <c r="L91" i="372"/>
  <c r="K91" i="372"/>
  <c r="J91" i="372"/>
  <c r="H91" i="372"/>
  <c r="O89" i="372"/>
  <c r="P89" i="372" s="1"/>
  <c r="O88" i="372"/>
  <c r="P88" i="372" s="1"/>
  <c r="O87" i="372"/>
  <c r="P87" i="372" s="1"/>
  <c r="O86" i="372"/>
  <c r="P86" i="372" s="1"/>
  <c r="O85" i="372"/>
  <c r="P85" i="372" s="1"/>
  <c r="O84" i="372"/>
  <c r="P84" i="372" s="1"/>
  <c r="O81" i="372"/>
  <c r="P81" i="372" s="1"/>
  <c r="O80" i="372"/>
  <c r="P80" i="372" s="1"/>
  <c r="N77" i="372"/>
  <c r="M77" i="372"/>
  <c r="L77" i="372"/>
  <c r="K77" i="372"/>
  <c r="J77" i="372"/>
  <c r="H77" i="372"/>
  <c r="O76" i="372"/>
  <c r="P76" i="372" s="1"/>
  <c r="P75" i="372"/>
  <c r="O74" i="372"/>
  <c r="P74" i="372" s="1"/>
  <c r="P73" i="372"/>
  <c r="O73" i="372"/>
  <c r="N70" i="372"/>
  <c r="M70" i="372"/>
  <c r="L70" i="372"/>
  <c r="K70" i="372"/>
  <c r="J70" i="372"/>
  <c r="I70" i="372"/>
  <c r="H70" i="372"/>
  <c r="P69" i="372"/>
  <c r="P70" i="372" s="1"/>
  <c r="N66" i="372"/>
  <c r="M66" i="372"/>
  <c r="L66" i="372"/>
  <c r="K66" i="372"/>
  <c r="J66" i="372"/>
  <c r="I66" i="372"/>
  <c r="H66" i="372"/>
  <c r="O65" i="372"/>
  <c r="P65" i="372" s="1"/>
  <c r="O64" i="372"/>
  <c r="O62" i="372"/>
  <c r="P62" i="372" s="1"/>
  <c r="O61" i="372"/>
  <c r="P61" i="372" s="1"/>
  <c r="O58" i="372"/>
  <c r="P58" i="372" s="1"/>
  <c r="O57" i="372"/>
  <c r="P57" i="372" s="1"/>
  <c r="O54" i="372"/>
  <c r="P54" i="372" s="1"/>
  <c r="O53" i="372"/>
  <c r="P53" i="372" s="1"/>
  <c r="N50" i="372"/>
  <c r="M50" i="372"/>
  <c r="L50" i="372"/>
  <c r="K50" i="372"/>
  <c r="J50" i="372"/>
  <c r="H50" i="372"/>
  <c r="O49" i="372"/>
  <c r="P49" i="372" s="1"/>
  <c r="O48" i="372"/>
  <c r="P48" i="372" s="1"/>
  <c r="P50" i="372" s="1"/>
  <c r="O45" i="372"/>
  <c r="P45" i="372" s="1"/>
  <c r="O44" i="372"/>
  <c r="P44" i="372" s="1"/>
  <c r="N41" i="372"/>
  <c r="M41" i="372"/>
  <c r="L41" i="372"/>
  <c r="K41" i="372"/>
  <c r="J41" i="372"/>
  <c r="H41" i="372"/>
  <c r="O40" i="372"/>
  <c r="P40" i="372" s="1"/>
  <c r="O39" i="372"/>
  <c r="O36" i="372"/>
  <c r="P36" i="372" s="1"/>
  <c r="O35" i="372"/>
  <c r="P35" i="372" s="1"/>
  <c r="O32" i="372"/>
  <c r="P32" i="372" s="1"/>
  <c r="O31" i="372"/>
  <c r="P31" i="372" s="1"/>
  <c r="O29" i="372"/>
  <c r="P29" i="372" s="1"/>
  <c r="O28" i="372"/>
  <c r="P28" i="372" s="1"/>
  <c r="M25" i="372"/>
  <c r="L25" i="372"/>
  <c r="K25" i="372"/>
  <c r="J25" i="372"/>
  <c r="H25" i="372"/>
  <c r="O24" i="372"/>
  <c r="P24" i="372" s="1"/>
  <c r="O23" i="372"/>
  <c r="M19" i="372"/>
  <c r="L19" i="372"/>
  <c r="K19" i="372"/>
  <c r="J19" i="372"/>
  <c r="I19" i="372"/>
  <c r="H19" i="372"/>
  <c r="O18" i="372"/>
  <c r="O19" i="372" s="1"/>
  <c r="M15" i="372"/>
  <c r="L15" i="372"/>
  <c r="K15" i="372"/>
  <c r="J15" i="372"/>
  <c r="H15" i="372"/>
  <c r="O14" i="372"/>
  <c r="O15" i="372" s="1"/>
  <c r="P13" i="372"/>
  <c r="C244" i="371"/>
  <c r="K241" i="371"/>
  <c r="J241" i="371"/>
  <c r="I241" i="371"/>
  <c r="H241" i="371"/>
  <c r="G241" i="371"/>
  <c r="E241" i="371"/>
  <c r="L240" i="371"/>
  <c r="M240" i="371" s="1"/>
  <c r="L239" i="371"/>
  <c r="M239" i="371" s="1"/>
  <c r="L238" i="371"/>
  <c r="M238" i="371" s="1"/>
  <c r="L237" i="371"/>
  <c r="M237" i="371" s="1"/>
  <c r="M236" i="371"/>
  <c r="L235" i="371"/>
  <c r="M235" i="371" s="1"/>
  <c r="L234" i="371"/>
  <c r="K231" i="371"/>
  <c r="J231" i="371"/>
  <c r="I231" i="371"/>
  <c r="H231" i="371"/>
  <c r="G231" i="371"/>
  <c r="E231" i="371"/>
  <c r="M230" i="371"/>
  <c r="M229" i="371"/>
  <c r="L228" i="371"/>
  <c r="M228" i="371" s="1"/>
  <c r="L227" i="371"/>
  <c r="M227" i="371" s="1"/>
  <c r="L225" i="371"/>
  <c r="M225" i="371" s="1"/>
  <c r="L224" i="371"/>
  <c r="M224" i="371" s="1"/>
  <c r="K221" i="371"/>
  <c r="J221" i="371"/>
  <c r="I221" i="371"/>
  <c r="H221" i="371"/>
  <c r="G221" i="371"/>
  <c r="E221" i="371"/>
  <c r="M220" i="371"/>
  <c r="L219" i="371"/>
  <c r="M219" i="371" s="1"/>
  <c r="L218" i="371"/>
  <c r="M218" i="371" s="1"/>
  <c r="L217" i="371"/>
  <c r="M217" i="371" s="1"/>
  <c r="L215" i="371"/>
  <c r="M215" i="371" s="1"/>
  <c r="L214" i="371"/>
  <c r="M214" i="371" s="1"/>
  <c r="L213" i="371"/>
  <c r="K210" i="371"/>
  <c r="J210" i="371"/>
  <c r="I210" i="371"/>
  <c r="H210" i="371"/>
  <c r="H242" i="371" s="1"/>
  <c r="G210" i="371"/>
  <c r="E210" i="371"/>
  <c r="L209" i="371"/>
  <c r="M209" i="371" s="1"/>
  <c r="M208" i="371"/>
  <c r="L208" i="371"/>
  <c r="L207" i="371"/>
  <c r="M207" i="371" s="1"/>
  <c r="L206" i="371"/>
  <c r="M206" i="371" s="1"/>
  <c r="L205" i="371"/>
  <c r="M205" i="371" s="1"/>
  <c r="L204" i="371"/>
  <c r="M204" i="371" s="1"/>
  <c r="L202" i="371"/>
  <c r="M202" i="371" s="1"/>
  <c r="L201" i="371"/>
  <c r="M201" i="371" s="1"/>
  <c r="L200" i="371"/>
  <c r="M200" i="371" s="1"/>
  <c r="L199" i="371"/>
  <c r="M199" i="371" s="1"/>
  <c r="L198" i="371"/>
  <c r="M198" i="371" s="1"/>
  <c r="L197" i="371"/>
  <c r="M197" i="371" s="1"/>
  <c r="L196" i="371"/>
  <c r="K192" i="371"/>
  <c r="J192" i="371"/>
  <c r="I192" i="371"/>
  <c r="H192" i="371"/>
  <c r="G192" i="371"/>
  <c r="E192" i="371"/>
  <c r="L191" i="371"/>
  <c r="M191" i="371" s="1"/>
  <c r="L187" i="371"/>
  <c r="M187" i="371" s="1"/>
  <c r="L186" i="371"/>
  <c r="M186" i="371" s="1"/>
  <c r="L185" i="371"/>
  <c r="K182" i="371"/>
  <c r="J182" i="371"/>
  <c r="I182" i="371"/>
  <c r="H182" i="371"/>
  <c r="G182" i="371"/>
  <c r="L181" i="371"/>
  <c r="M181" i="371" s="1"/>
  <c r="L180" i="371"/>
  <c r="M180" i="371" s="1"/>
  <c r="L179" i="371"/>
  <c r="M179" i="371" s="1"/>
  <c r="L178" i="371"/>
  <c r="M178" i="371" s="1"/>
  <c r="K171" i="371"/>
  <c r="J171" i="371"/>
  <c r="I171" i="371"/>
  <c r="H171" i="371"/>
  <c r="G171" i="371"/>
  <c r="F171" i="371"/>
  <c r="E171" i="371"/>
  <c r="L170" i="371"/>
  <c r="M170" i="371" s="1"/>
  <c r="L169" i="371"/>
  <c r="M169" i="371" s="1"/>
  <c r="K166" i="371"/>
  <c r="J166" i="371"/>
  <c r="I166" i="371"/>
  <c r="H166" i="371"/>
  <c r="G166" i="371"/>
  <c r="E166" i="371"/>
  <c r="L165" i="371"/>
  <c r="L166" i="371" s="1"/>
  <c r="K162" i="371"/>
  <c r="J162" i="371"/>
  <c r="I162" i="371"/>
  <c r="H162" i="371"/>
  <c r="G162" i="371"/>
  <c r="F162" i="371"/>
  <c r="E162" i="371"/>
  <c r="L161" i="371"/>
  <c r="M161" i="371" s="1"/>
  <c r="L160" i="371"/>
  <c r="M160" i="371" s="1"/>
  <c r="L159" i="371"/>
  <c r="K156" i="371"/>
  <c r="J156" i="371"/>
  <c r="I156" i="371"/>
  <c r="H156" i="371"/>
  <c r="G156" i="371"/>
  <c r="E156" i="371"/>
  <c r="L155" i="371"/>
  <c r="M155" i="371" s="1"/>
  <c r="L154" i="371"/>
  <c r="L156" i="371" s="1"/>
  <c r="K151" i="371"/>
  <c r="J151" i="371"/>
  <c r="I151" i="371"/>
  <c r="H151" i="371"/>
  <c r="G151" i="371"/>
  <c r="E151" i="371"/>
  <c r="L150" i="371"/>
  <c r="M150" i="371" s="1"/>
  <c r="L149" i="371"/>
  <c r="M149" i="371" s="1"/>
  <c r="L148" i="371"/>
  <c r="M148" i="371" s="1"/>
  <c r="L147" i="371"/>
  <c r="M147" i="371" s="1"/>
  <c r="K144" i="371"/>
  <c r="J144" i="371"/>
  <c r="I144" i="371"/>
  <c r="H144" i="371"/>
  <c r="G144" i="371"/>
  <c r="E144" i="371"/>
  <c r="L143" i="371"/>
  <c r="M143" i="371" s="1"/>
  <c r="L142" i="371"/>
  <c r="M142" i="371" s="1"/>
  <c r="L141" i="371"/>
  <c r="M141" i="371" s="1"/>
  <c r="M140" i="371"/>
  <c r="L139" i="371"/>
  <c r="K136" i="371"/>
  <c r="J136" i="371"/>
  <c r="I136" i="371"/>
  <c r="H136" i="371"/>
  <c r="G136" i="371"/>
  <c r="F136" i="371"/>
  <c r="E136" i="371"/>
  <c r="L135" i="371"/>
  <c r="M135" i="371" s="1"/>
  <c r="M136" i="371" s="1"/>
  <c r="K132" i="371"/>
  <c r="J132" i="371"/>
  <c r="I132" i="371"/>
  <c r="H132" i="371"/>
  <c r="G132" i="371"/>
  <c r="E132" i="371"/>
  <c r="L131" i="371"/>
  <c r="L132" i="371" s="1"/>
  <c r="K128" i="371"/>
  <c r="J128" i="371"/>
  <c r="I128" i="371"/>
  <c r="H128" i="371"/>
  <c r="G128" i="371"/>
  <c r="F128" i="371"/>
  <c r="E128" i="371"/>
  <c r="L127" i="371"/>
  <c r="M127" i="371" s="1"/>
  <c r="M126" i="371"/>
  <c r="L125" i="371"/>
  <c r="M125" i="371" s="1"/>
  <c r="L124" i="371"/>
  <c r="M124" i="371" s="1"/>
  <c r="L123" i="371"/>
  <c r="K120" i="371"/>
  <c r="J120" i="371"/>
  <c r="I120" i="371"/>
  <c r="H120" i="371"/>
  <c r="G120" i="371"/>
  <c r="E120" i="371"/>
  <c r="L119" i="371"/>
  <c r="M119" i="371" s="1"/>
  <c r="M120" i="371" s="1"/>
  <c r="K116" i="371"/>
  <c r="J116" i="371"/>
  <c r="I116" i="371"/>
  <c r="H116" i="371"/>
  <c r="G116" i="371"/>
  <c r="E116" i="371"/>
  <c r="L115" i="371"/>
  <c r="M115" i="371" s="1"/>
  <c r="L114" i="371"/>
  <c r="M114" i="371" s="1"/>
  <c r="L113" i="371"/>
  <c r="K110" i="371"/>
  <c r="J110" i="371"/>
  <c r="I110" i="371"/>
  <c r="H110" i="371"/>
  <c r="G110" i="371"/>
  <c r="E110" i="371"/>
  <c r="L109" i="371"/>
  <c r="M109" i="371" s="1"/>
  <c r="L108" i="371"/>
  <c r="K105" i="371"/>
  <c r="J105" i="371"/>
  <c r="I105" i="371"/>
  <c r="H105" i="371"/>
  <c r="G105" i="371"/>
  <c r="E105" i="371"/>
  <c r="L104" i="371"/>
  <c r="M104" i="371" s="1"/>
  <c r="L103" i="371"/>
  <c r="M103" i="371" s="1"/>
  <c r="M105" i="371" s="1"/>
  <c r="L100" i="371"/>
  <c r="M100" i="371" s="1"/>
  <c r="L99" i="371"/>
  <c r="M99" i="371" s="1"/>
  <c r="K96" i="371"/>
  <c r="J96" i="371"/>
  <c r="I96" i="371"/>
  <c r="H96" i="371"/>
  <c r="G96" i="371"/>
  <c r="E96" i="371"/>
  <c r="L95" i="371"/>
  <c r="M95" i="371" s="1"/>
  <c r="L94" i="371"/>
  <c r="M94" i="371" s="1"/>
  <c r="L89" i="371"/>
  <c r="M89" i="371" s="1"/>
  <c r="L88" i="371"/>
  <c r="M88" i="371" s="1"/>
  <c r="L87" i="371"/>
  <c r="M87" i="371" s="1"/>
  <c r="L86" i="371"/>
  <c r="M86" i="371" s="1"/>
  <c r="L85" i="371"/>
  <c r="M85" i="371" s="1"/>
  <c r="M84" i="371"/>
  <c r="L84" i="371"/>
  <c r="L83" i="371"/>
  <c r="M83" i="371" s="1"/>
  <c r="L82" i="371"/>
  <c r="M82" i="371" s="1"/>
  <c r="L81" i="371"/>
  <c r="K78" i="371"/>
  <c r="J78" i="371"/>
  <c r="I78" i="371"/>
  <c r="H78" i="371"/>
  <c r="G78" i="371"/>
  <c r="E78" i="371"/>
  <c r="L77" i="371"/>
  <c r="M77" i="371" s="1"/>
  <c r="L76" i="371"/>
  <c r="M76" i="371" s="1"/>
  <c r="L75" i="371"/>
  <c r="M75" i="371" s="1"/>
  <c r="L74" i="371"/>
  <c r="M74" i="371" s="1"/>
  <c r="L73" i="371"/>
  <c r="M73" i="371" s="1"/>
  <c r="L72" i="371"/>
  <c r="M72" i="371" s="1"/>
  <c r="L71" i="371"/>
  <c r="M71" i="371" s="1"/>
  <c r="L70" i="371"/>
  <c r="M70" i="371" s="1"/>
  <c r="L69" i="371"/>
  <c r="M69" i="371" s="1"/>
  <c r="L68" i="371"/>
  <c r="M68" i="371" s="1"/>
  <c r="L67" i="371"/>
  <c r="M67" i="371" s="1"/>
  <c r="L66" i="371"/>
  <c r="M66" i="371" s="1"/>
  <c r="L65" i="371"/>
  <c r="M65" i="371" s="1"/>
  <c r="L64" i="371"/>
  <c r="M64" i="371" s="1"/>
  <c r="L63" i="371"/>
  <c r="M63" i="371" s="1"/>
  <c r="K60" i="371"/>
  <c r="J60" i="371"/>
  <c r="I60" i="371"/>
  <c r="H60" i="371"/>
  <c r="G60" i="371"/>
  <c r="E60" i="371"/>
  <c r="L59" i="371"/>
  <c r="M59" i="371" s="1"/>
  <c r="L58" i="371"/>
  <c r="M58" i="371" s="1"/>
  <c r="K55" i="371"/>
  <c r="J55" i="371"/>
  <c r="I55" i="371"/>
  <c r="H55" i="371"/>
  <c r="G55" i="371"/>
  <c r="E55" i="371"/>
  <c r="L54" i="371"/>
  <c r="M54" i="371" s="1"/>
  <c r="L53" i="371"/>
  <c r="M53" i="371" s="1"/>
  <c r="L52" i="371"/>
  <c r="M52" i="371" s="1"/>
  <c r="L51" i="371"/>
  <c r="M51" i="371" s="1"/>
  <c r="L50" i="371"/>
  <c r="M50" i="371" s="1"/>
  <c r="K47" i="371"/>
  <c r="J47" i="371"/>
  <c r="I47" i="371"/>
  <c r="H47" i="371"/>
  <c r="G47" i="371"/>
  <c r="F47" i="371"/>
  <c r="E47" i="371"/>
  <c r="L46" i="371"/>
  <c r="M46" i="371" s="1"/>
  <c r="L45" i="371"/>
  <c r="M45" i="371" s="1"/>
  <c r="M47" i="371" s="1"/>
  <c r="K42" i="371"/>
  <c r="J42" i="371"/>
  <c r="I42" i="371"/>
  <c r="H42" i="371"/>
  <c r="F42" i="371"/>
  <c r="E42" i="371"/>
  <c r="L41" i="371"/>
  <c r="M41" i="371" s="1"/>
  <c r="M42" i="371" s="1"/>
  <c r="K38" i="371"/>
  <c r="J38" i="371"/>
  <c r="I38" i="371"/>
  <c r="H38" i="371"/>
  <c r="G38" i="371"/>
  <c r="E38" i="371"/>
  <c r="L37" i="371"/>
  <c r="M37" i="371" s="1"/>
  <c r="L36" i="371"/>
  <c r="M36" i="371" s="1"/>
  <c r="L35" i="371"/>
  <c r="M35" i="371" s="1"/>
  <c r="L34" i="371"/>
  <c r="M34" i="371" s="1"/>
  <c r="L33" i="371"/>
  <c r="K30" i="371"/>
  <c r="J30" i="371"/>
  <c r="I30" i="371"/>
  <c r="H30" i="371"/>
  <c r="G30" i="371"/>
  <c r="E30" i="371"/>
  <c r="L29" i="371"/>
  <c r="M29" i="371" s="1"/>
  <c r="L28" i="371"/>
  <c r="M28" i="371" s="1"/>
  <c r="L27" i="371"/>
  <c r="M27" i="371" s="1"/>
  <c r="L26" i="371"/>
  <c r="K23" i="371"/>
  <c r="J23" i="371"/>
  <c r="J244" i="371" s="1"/>
  <c r="I23" i="371"/>
  <c r="H23" i="371"/>
  <c r="G23" i="371"/>
  <c r="F23" i="371"/>
  <c r="L22" i="371"/>
  <c r="M22" i="371" s="1"/>
  <c r="L21" i="371"/>
  <c r="M21" i="371" s="1"/>
  <c r="L20" i="371"/>
  <c r="M20" i="371" s="1"/>
  <c r="M19" i="371"/>
  <c r="C51" i="370"/>
  <c r="M51" i="370"/>
  <c r="L51" i="370"/>
  <c r="I51" i="370"/>
  <c r="G51" i="370"/>
  <c r="E51" i="370"/>
  <c r="H44" i="370"/>
  <c r="I44" i="370"/>
  <c r="J44" i="370"/>
  <c r="K44" i="370"/>
  <c r="L44" i="370"/>
  <c r="M44" i="370"/>
  <c r="G44" i="370"/>
  <c r="F44" i="370"/>
  <c r="E44" i="370"/>
  <c r="J180" i="372" l="1"/>
  <c r="K180" i="372"/>
  <c r="N180" i="372"/>
  <c r="M180" i="372"/>
  <c r="H180" i="372"/>
  <c r="O25" i="372"/>
  <c r="P18" i="372"/>
  <c r="P19" i="372" s="1"/>
  <c r="O50" i="372"/>
  <c r="O143" i="372"/>
  <c r="L180" i="372"/>
  <c r="O115" i="372"/>
  <c r="M47" i="374"/>
  <c r="F47" i="374"/>
  <c r="J47" i="374"/>
  <c r="G47" i="374"/>
  <c r="H47" i="374"/>
  <c r="K47" i="374"/>
  <c r="L40" i="374"/>
  <c r="L47" i="374" s="1"/>
  <c r="P14" i="372"/>
  <c r="P15" i="372" s="1"/>
  <c r="O105" i="372"/>
  <c r="M178" i="372"/>
  <c r="O66" i="372"/>
  <c r="O77" i="372"/>
  <c r="N178" i="372"/>
  <c r="P64" i="372"/>
  <c r="P66" i="372" s="1"/>
  <c r="P77" i="372"/>
  <c r="H178" i="372"/>
  <c r="O177" i="372"/>
  <c r="P177" i="372"/>
  <c r="J178" i="372"/>
  <c r="O41" i="372"/>
  <c r="O111" i="372"/>
  <c r="K178" i="372"/>
  <c r="O125" i="372"/>
  <c r="L178" i="372"/>
  <c r="L91" i="371"/>
  <c r="M96" i="371"/>
  <c r="L116" i="371"/>
  <c r="L241" i="371"/>
  <c r="L42" i="371"/>
  <c r="I242" i="371"/>
  <c r="K244" i="371"/>
  <c r="L110" i="371"/>
  <c r="L136" i="371"/>
  <c r="L162" i="371"/>
  <c r="K242" i="371"/>
  <c r="L30" i="371"/>
  <c r="M108" i="371"/>
  <c r="M110" i="371" s="1"/>
  <c r="E242" i="371"/>
  <c r="M131" i="371"/>
  <c r="M132" i="371" s="1"/>
  <c r="M113" i="371"/>
  <c r="H244" i="371"/>
  <c r="L47" i="371"/>
  <c r="L60" i="371"/>
  <c r="L128" i="371"/>
  <c r="L192" i="371"/>
  <c r="L55" i="371"/>
  <c r="L38" i="371"/>
  <c r="E244" i="371"/>
  <c r="L105" i="371"/>
  <c r="M123" i="371"/>
  <c r="M128" i="371" s="1"/>
  <c r="L144" i="371"/>
  <c r="J242" i="371"/>
  <c r="M60" i="371"/>
  <c r="M116" i="371"/>
  <c r="L221" i="371"/>
  <c r="G244" i="371"/>
  <c r="M81" i="371"/>
  <c r="M91" i="371" s="1"/>
  <c r="L171" i="371"/>
  <c r="L210" i="371"/>
  <c r="G242" i="371"/>
  <c r="L16" i="373"/>
  <c r="L46" i="373" s="1"/>
  <c r="P91" i="372"/>
  <c r="P101" i="372"/>
  <c r="P154" i="372"/>
  <c r="P166" i="372"/>
  <c r="O70" i="372"/>
  <c r="O101" i="372"/>
  <c r="P110" i="372"/>
  <c r="P111" i="372" s="1"/>
  <c r="P119" i="372"/>
  <c r="P125" i="372" s="1"/>
  <c r="O154" i="372"/>
  <c r="P23" i="372"/>
  <c r="P25" i="372" s="1"/>
  <c r="P39" i="372"/>
  <c r="P41" i="372" s="1"/>
  <c r="P133" i="372"/>
  <c r="P143" i="372" s="1"/>
  <c r="O166" i="372"/>
  <c r="O91" i="372"/>
  <c r="P128" i="372"/>
  <c r="P129" i="372" s="1"/>
  <c r="M23" i="371"/>
  <c r="M55" i="371"/>
  <c r="M78" i="371"/>
  <c r="M151" i="371"/>
  <c r="M171" i="371"/>
  <c r="M182" i="371"/>
  <c r="M231" i="371"/>
  <c r="L182" i="371"/>
  <c r="L78" i="371"/>
  <c r="L120" i="371"/>
  <c r="M139" i="371"/>
  <c r="M144" i="371" s="1"/>
  <c r="M185" i="371"/>
  <c r="M192" i="371" s="1"/>
  <c r="M154" i="371"/>
  <c r="M156" i="371" s="1"/>
  <c r="M159" i="371"/>
  <c r="M162" i="371" s="1"/>
  <c r="M196" i="371"/>
  <c r="M210" i="371" s="1"/>
  <c r="L151" i="371"/>
  <c r="M165" i="371"/>
  <c r="M166" i="371" s="1"/>
  <c r="M26" i="371"/>
  <c r="M30" i="371" s="1"/>
  <c r="M33" i="371"/>
  <c r="M38" i="371" s="1"/>
  <c r="L96" i="371"/>
  <c r="M213" i="371"/>
  <c r="M221" i="371" s="1"/>
  <c r="L231" i="371"/>
  <c r="M234" i="371"/>
  <c r="M241" i="371" s="1"/>
  <c r="L43" i="370"/>
  <c r="L42" i="370"/>
  <c r="M49" i="370"/>
  <c r="K49" i="370"/>
  <c r="J49" i="370"/>
  <c r="I49" i="370"/>
  <c r="H49" i="370"/>
  <c r="G49" i="370"/>
  <c r="F49" i="370"/>
  <c r="E49" i="370"/>
  <c r="L48" i="370"/>
  <c r="L49" i="370" s="1"/>
  <c r="K51" i="370"/>
  <c r="J51" i="370"/>
  <c r="H51" i="370"/>
  <c r="F51" i="370"/>
  <c r="L41" i="370"/>
  <c r="L40" i="370"/>
  <c r="L39" i="370"/>
  <c r="L38" i="370"/>
  <c r="L37" i="370"/>
  <c r="L36" i="370"/>
  <c r="L35" i="370"/>
  <c r="L34" i="370"/>
  <c r="L33" i="370"/>
  <c r="L32" i="370"/>
  <c r="L31" i="370"/>
  <c r="L30" i="370"/>
  <c r="L29" i="370"/>
  <c r="L28" i="370"/>
  <c r="L27" i="370"/>
  <c r="L26" i="370"/>
  <c r="L25" i="370"/>
  <c r="L24" i="370"/>
  <c r="L23" i="370"/>
  <c r="L22" i="370"/>
  <c r="L21" i="370"/>
  <c r="L20" i="370"/>
  <c r="L19" i="370"/>
  <c r="L18" i="370"/>
  <c r="L17" i="370"/>
  <c r="M16" i="370"/>
  <c r="I46" i="369"/>
  <c r="D46" i="369"/>
  <c r="L44" i="369"/>
  <c r="M44" i="369" s="1"/>
  <c r="L43" i="369"/>
  <c r="M43" i="369" s="1"/>
  <c r="L37" i="369"/>
  <c r="M37" i="369" s="1"/>
  <c r="L36" i="369"/>
  <c r="M36" i="369" s="1"/>
  <c r="L32" i="369"/>
  <c r="M32" i="369" s="1"/>
  <c r="L31" i="369"/>
  <c r="M31" i="369" s="1"/>
  <c r="L28" i="369"/>
  <c r="M28" i="369" s="1"/>
  <c r="L27" i="369"/>
  <c r="M27" i="369" s="1"/>
  <c r="K24" i="369"/>
  <c r="J24" i="369"/>
  <c r="I24" i="369"/>
  <c r="H24" i="369"/>
  <c r="L24" i="369" s="1"/>
  <c r="G24" i="369"/>
  <c r="M24" i="369" s="1"/>
  <c r="E24" i="369"/>
  <c r="L23" i="369"/>
  <c r="M23" i="369" s="1"/>
  <c r="L20" i="369"/>
  <c r="K20" i="369"/>
  <c r="J20" i="369"/>
  <c r="I20" i="369"/>
  <c r="H20" i="369"/>
  <c r="G20" i="369"/>
  <c r="M20" i="369" s="1"/>
  <c r="F20" i="369"/>
  <c r="E20" i="369"/>
  <c r="M19" i="369"/>
  <c r="L19" i="369"/>
  <c r="K16" i="369"/>
  <c r="J16" i="369"/>
  <c r="J46" i="369" s="1"/>
  <c r="I16" i="369"/>
  <c r="H16" i="369"/>
  <c r="H46" i="369" s="1"/>
  <c r="G16" i="369"/>
  <c r="G46" i="369" s="1"/>
  <c r="F16" i="369"/>
  <c r="E16" i="369"/>
  <c r="E46" i="369" s="1"/>
  <c r="L15" i="369"/>
  <c r="L16" i="369" s="1"/>
  <c r="L46" i="369" s="1"/>
  <c r="D183" i="368"/>
  <c r="N180" i="368"/>
  <c r="M180" i="368"/>
  <c r="M181" i="368" s="1"/>
  <c r="L180" i="368"/>
  <c r="K180" i="368"/>
  <c r="J180" i="368"/>
  <c r="H180" i="368"/>
  <c r="H181" i="368" s="1"/>
  <c r="O179" i="368"/>
  <c r="P179" i="368" s="1"/>
  <c r="O178" i="368"/>
  <c r="P178" i="368" s="1"/>
  <c r="O177" i="368"/>
  <c r="P177" i="368" s="1"/>
  <c r="O176" i="368"/>
  <c r="P176" i="368" s="1"/>
  <c r="O175" i="368"/>
  <c r="P175" i="368" s="1"/>
  <c r="O174" i="368"/>
  <c r="P174" i="368" s="1"/>
  <c r="O173" i="368"/>
  <c r="P173" i="368" s="1"/>
  <c r="O172" i="368"/>
  <c r="P172" i="368" s="1"/>
  <c r="O171" i="368"/>
  <c r="O180" i="368" s="1"/>
  <c r="N168" i="368"/>
  <c r="M168" i="368"/>
  <c r="L168" i="368"/>
  <c r="K168" i="368"/>
  <c r="J168" i="368"/>
  <c r="H168" i="368"/>
  <c r="O167" i="368"/>
  <c r="P167" i="368" s="1"/>
  <c r="O166" i="368"/>
  <c r="P166" i="368" s="1"/>
  <c r="O165" i="368"/>
  <c r="P165" i="368" s="1"/>
  <c r="O164" i="368"/>
  <c r="P164" i="368" s="1"/>
  <c r="O163" i="368"/>
  <c r="P163" i="368" s="1"/>
  <c r="O162" i="368"/>
  <c r="P162" i="368" s="1"/>
  <c r="O161" i="368"/>
  <c r="P161" i="368" s="1"/>
  <c r="O160" i="368"/>
  <c r="P160" i="368" s="1"/>
  <c r="O159" i="368"/>
  <c r="P159" i="368" s="1"/>
  <c r="P168" i="368" s="1"/>
  <c r="N156" i="368"/>
  <c r="M156" i="368"/>
  <c r="L156" i="368"/>
  <c r="K156" i="368"/>
  <c r="J156" i="368"/>
  <c r="H156" i="368"/>
  <c r="O155" i="368"/>
  <c r="P155" i="368" s="1"/>
  <c r="O154" i="368"/>
  <c r="P154" i="368" s="1"/>
  <c r="O153" i="368"/>
  <c r="P153" i="368" s="1"/>
  <c r="O152" i="368"/>
  <c r="P152" i="368" s="1"/>
  <c r="O151" i="368"/>
  <c r="P151" i="368" s="1"/>
  <c r="O150" i="368"/>
  <c r="P150" i="368" s="1"/>
  <c r="O149" i="368"/>
  <c r="P149" i="368" s="1"/>
  <c r="N146" i="368"/>
  <c r="M146" i="368"/>
  <c r="L146" i="368"/>
  <c r="K146" i="368"/>
  <c r="J146" i="368"/>
  <c r="H146" i="368"/>
  <c r="O145" i="368"/>
  <c r="P145" i="368" s="1"/>
  <c r="O144" i="368"/>
  <c r="P144" i="368" s="1"/>
  <c r="O143" i="368"/>
  <c r="P143" i="368" s="1"/>
  <c r="O142" i="368"/>
  <c r="P142" i="368" s="1"/>
  <c r="O141" i="368"/>
  <c r="P141" i="368" s="1"/>
  <c r="O140" i="368"/>
  <c r="P140" i="368" s="1"/>
  <c r="O139" i="368"/>
  <c r="P139" i="368" s="1"/>
  <c r="O138" i="368"/>
  <c r="P138" i="368" s="1"/>
  <c r="O137" i="368"/>
  <c r="P137" i="368" s="1"/>
  <c r="O136" i="368"/>
  <c r="O146" i="368" s="1"/>
  <c r="N132" i="368"/>
  <c r="M132" i="368"/>
  <c r="L132" i="368"/>
  <c r="K132" i="368"/>
  <c r="J132" i="368"/>
  <c r="H132" i="368"/>
  <c r="O131" i="368"/>
  <c r="P131" i="368" s="1"/>
  <c r="P132" i="368" s="1"/>
  <c r="O128" i="368"/>
  <c r="N128" i="368"/>
  <c r="M128" i="368"/>
  <c r="L128" i="368"/>
  <c r="K128" i="368"/>
  <c r="J128" i="368"/>
  <c r="I128" i="368"/>
  <c r="H128" i="368"/>
  <c r="P127" i="368"/>
  <c r="O127" i="368"/>
  <c r="P126" i="368"/>
  <c r="O126" i="368"/>
  <c r="P125" i="368"/>
  <c r="O125" i="368"/>
  <c r="P124" i="368"/>
  <c r="O124" i="368"/>
  <c r="P123" i="368"/>
  <c r="O123" i="368"/>
  <c r="P122" i="368"/>
  <c r="O122" i="368"/>
  <c r="P121" i="368"/>
  <c r="P128" i="368" s="1"/>
  <c r="O121" i="368"/>
  <c r="N118" i="368"/>
  <c r="O117" i="368"/>
  <c r="P117" i="368" s="1"/>
  <c r="P118" i="368" s="1"/>
  <c r="O114" i="368"/>
  <c r="N114" i="368"/>
  <c r="M114" i="368"/>
  <c r="L114" i="368"/>
  <c r="K114" i="368"/>
  <c r="J114" i="368"/>
  <c r="I114" i="368"/>
  <c r="H114" i="368"/>
  <c r="P113" i="368"/>
  <c r="O113" i="368"/>
  <c r="O112" i="368"/>
  <c r="P112" i="368" s="1"/>
  <c r="P111" i="368"/>
  <c r="P114" i="368" s="1"/>
  <c r="O111" i="368"/>
  <c r="N108" i="368"/>
  <c r="M108" i="368"/>
  <c r="L108" i="368"/>
  <c r="K108" i="368"/>
  <c r="J108" i="368"/>
  <c r="I108" i="368"/>
  <c r="H108" i="368"/>
  <c r="O107" i="368"/>
  <c r="O108" i="368" s="1"/>
  <c r="N104" i="368"/>
  <c r="M104" i="368"/>
  <c r="L104" i="368"/>
  <c r="K104" i="368"/>
  <c r="J104" i="368"/>
  <c r="H104" i="368"/>
  <c r="O103" i="368"/>
  <c r="P103" i="368" s="1"/>
  <c r="O102" i="368"/>
  <c r="P102" i="368" s="1"/>
  <c r="O101" i="368"/>
  <c r="P101" i="368" s="1"/>
  <c r="O100" i="368"/>
  <c r="P100" i="368" s="1"/>
  <c r="O99" i="368"/>
  <c r="P99" i="368" s="1"/>
  <c r="O98" i="368"/>
  <c r="O104" i="368" s="1"/>
  <c r="P97" i="368"/>
  <c r="N94" i="368"/>
  <c r="M94" i="368"/>
  <c r="L94" i="368"/>
  <c r="K94" i="368"/>
  <c r="J94" i="368"/>
  <c r="H94" i="368"/>
  <c r="O92" i="368"/>
  <c r="P92" i="368" s="1"/>
  <c r="P91" i="368"/>
  <c r="O91" i="368"/>
  <c r="P90" i="368"/>
  <c r="O90" i="368"/>
  <c r="P89" i="368"/>
  <c r="O89" i="368"/>
  <c r="P88" i="368"/>
  <c r="O88" i="368"/>
  <c r="P87" i="368"/>
  <c r="O87" i="368"/>
  <c r="O94" i="368" s="1"/>
  <c r="O84" i="368"/>
  <c r="P84" i="368" s="1"/>
  <c r="P83" i="368"/>
  <c r="O83" i="368"/>
  <c r="N80" i="368"/>
  <c r="M80" i="368"/>
  <c r="L80" i="368"/>
  <c r="K80" i="368"/>
  <c r="J80" i="368"/>
  <c r="H80" i="368"/>
  <c r="O79" i="368"/>
  <c r="P79" i="368" s="1"/>
  <c r="P78" i="368"/>
  <c r="O77" i="368"/>
  <c r="P77" i="368" s="1"/>
  <c r="O76" i="368"/>
  <c r="O80" i="368" s="1"/>
  <c r="N73" i="368"/>
  <c r="M73" i="368"/>
  <c r="L73" i="368"/>
  <c r="K73" i="368"/>
  <c r="J73" i="368"/>
  <c r="I73" i="368"/>
  <c r="H73" i="368"/>
  <c r="O72" i="368"/>
  <c r="O73" i="368" s="1"/>
  <c r="P70" i="368"/>
  <c r="O70" i="368"/>
  <c r="O69" i="368"/>
  <c r="P69" i="368" s="1"/>
  <c r="N66" i="368"/>
  <c r="M66" i="368"/>
  <c r="L66" i="368"/>
  <c r="K66" i="368"/>
  <c r="J66" i="368"/>
  <c r="I66" i="368"/>
  <c r="H66" i="368"/>
  <c r="P65" i="368"/>
  <c r="O65" i="368"/>
  <c r="O64" i="368"/>
  <c r="O66" i="368" s="1"/>
  <c r="O62" i="368"/>
  <c r="P62" i="368" s="1"/>
  <c r="O61" i="368"/>
  <c r="P61" i="368" s="1"/>
  <c r="O58" i="368"/>
  <c r="P58" i="368" s="1"/>
  <c r="O57" i="368"/>
  <c r="P57" i="368" s="1"/>
  <c r="O54" i="368"/>
  <c r="P54" i="368" s="1"/>
  <c r="O53" i="368"/>
  <c r="P53" i="368" s="1"/>
  <c r="N50" i="368"/>
  <c r="M50" i="368"/>
  <c r="L50" i="368"/>
  <c r="K50" i="368"/>
  <c r="J50" i="368"/>
  <c r="H50" i="368"/>
  <c r="O49" i="368"/>
  <c r="P49" i="368" s="1"/>
  <c r="O48" i="368"/>
  <c r="O50" i="368" s="1"/>
  <c r="O45" i="368"/>
  <c r="P45" i="368" s="1"/>
  <c r="O44" i="368"/>
  <c r="P44" i="368" s="1"/>
  <c r="N41" i="368"/>
  <c r="M41" i="368"/>
  <c r="L41" i="368"/>
  <c r="K41" i="368"/>
  <c r="J41" i="368"/>
  <c r="H41" i="368"/>
  <c r="O40" i="368"/>
  <c r="P40" i="368" s="1"/>
  <c r="O39" i="368"/>
  <c r="O41" i="368" s="1"/>
  <c r="O36" i="368"/>
  <c r="P36" i="368" s="1"/>
  <c r="O35" i="368"/>
  <c r="P35" i="368" s="1"/>
  <c r="O32" i="368"/>
  <c r="P32" i="368" s="1"/>
  <c r="O31" i="368"/>
  <c r="P31" i="368" s="1"/>
  <c r="P29" i="368"/>
  <c r="O29" i="368"/>
  <c r="O28" i="368"/>
  <c r="P28" i="368" s="1"/>
  <c r="N25" i="368"/>
  <c r="M25" i="368"/>
  <c r="L25" i="368"/>
  <c r="K25" i="368"/>
  <c r="J25" i="368"/>
  <c r="H25" i="368"/>
  <c r="O24" i="368"/>
  <c r="P24" i="368" s="1"/>
  <c r="O23" i="368"/>
  <c r="O25" i="368" s="1"/>
  <c r="N19" i="368"/>
  <c r="M19" i="368"/>
  <c r="L19" i="368"/>
  <c r="K19" i="368"/>
  <c r="J19" i="368"/>
  <c r="I19" i="368"/>
  <c r="H19" i="368"/>
  <c r="O18" i="368"/>
  <c r="O19" i="368" s="1"/>
  <c r="N15" i="368"/>
  <c r="M15" i="368"/>
  <c r="M183" i="368" s="1"/>
  <c r="L15" i="368"/>
  <c r="K15" i="368"/>
  <c r="J15" i="368"/>
  <c r="H15" i="368"/>
  <c r="H183" i="368" s="1"/>
  <c r="P14" i="368"/>
  <c r="P15" i="368" s="1"/>
  <c r="O14" i="368"/>
  <c r="O15" i="368" s="1"/>
  <c r="P13" i="368"/>
  <c r="C245" i="367"/>
  <c r="K242" i="367"/>
  <c r="J242" i="367"/>
  <c r="I242" i="367"/>
  <c r="H242" i="367"/>
  <c r="G242" i="367"/>
  <c r="E242" i="367"/>
  <c r="L241" i="367"/>
  <c r="M241" i="367" s="1"/>
  <c r="L240" i="367"/>
  <c r="M240" i="367" s="1"/>
  <c r="L239" i="367"/>
  <c r="M239" i="367" s="1"/>
  <c r="L238" i="367"/>
  <c r="M238" i="367" s="1"/>
  <c r="M237" i="367"/>
  <c r="M236" i="367"/>
  <c r="L236" i="367"/>
  <c r="M235" i="367"/>
  <c r="L235" i="367"/>
  <c r="L242" i="367" s="1"/>
  <c r="K232" i="367"/>
  <c r="J232" i="367"/>
  <c r="I232" i="367"/>
  <c r="H232" i="367"/>
  <c r="G232" i="367"/>
  <c r="E232" i="367"/>
  <c r="M231" i="367"/>
  <c r="M230" i="367"/>
  <c r="M229" i="367"/>
  <c r="L229" i="367"/>
  <c r="M228" i="367"/>
  <c r="L228" i="367"/>
  <c r="M226" i="367"/>
  <c r="L226" i="367"/>
  <c r="M225" i="367"/>
  <c r="M232" i="367" s="1"/>
  <c r="L225" i="367"/>
  <c r="L232" i="367" s="1"/>
  <c r="K222" i="367"/>
  <c r="J222" i="367"/>
  <c r="I222" i="367"/>
  <c r="H222" i="367"/>
  <c r="G222" i="367"/>
  <c r="E222" i="367"/>
  <c r="M221" i="367"/>
  <c r="L220" i="367"/>
  <c r="M220" i="367" s="1"/>
  <c r="L219" i="367"/>
  <c r="M219" i="367" s="1"/>
  <c r="L218" i="367"/>
  <c r="M218" i="367" s="1"/>
  <c r="L216" i="367"/>
  <c r="M216" i="367" s="1"/>
  <c r="L215" i="367"/>
  <c r="M215" i="367" s="1"/>
  <c r="L214" i="367"/>
  <c r="M214" i="367" s="1"/>
  <c r="K211" i="367"/>
  <c r="K243" i="367" s="1"/>
  <c r="J211" i="367"/>
  <c r="J243" i="367" s="1"/>
  <c r="I211" i="367"/>
  <c r="I243" i="367" s="1"/>
  <c r="H211" i="367"/>
  <c r="H243" i="367" s="1"/>
  <c r="G211" i="367"/>
  <c r="G243" i="367" s="1"/>
  <c r="E211" i="367"/>
  <c r="E243" i="367" s="1"/>
  <c r="L210" i="367"/>
  <c r="M210" i="367" s="1"/>
  <c r="L209" i="367"/>
  <c r="M209" i="367" s="1"/>
  <c r="L208" i="367"/>
  <c r="M208" i="367" s="1"/>
  <c r="L207" i="367"/>
  <c r="M207" i="367" s="1"/>
  <c r="L206" i="367"/>
  <c r="M206" i="367" s="1"/>
  <c r="L205" i="367"/>
  <c r="M205" i="367" s="1"/>
  <c r="L203" i="367"/>
  <c r="M203" i="367" s="1"/>
  <c r="L202" i="367"/>
  <c r="M202" i="367" s="1"/>
  <c r="M201" i="367"/>
  <c r="L201" i="367"/>
  <c r="L200" i="367"/>
  <c r="M200" i="367" s="1"/>
  <c r="M199" i="367"/>
  <c r="L199" i="367"/>
  <c r="L198" i="367"/>
  <c r="M198" i="367" s="1"/>
  <c r="M197" i="367"/>
  <c r="L197" i="367"/>
  <c r="L211" i="367" s="1"/>
  <c r="K193" i="367"/>
  <c r="J193" i="367"/>
  <c r="I193" i="367"/>
  <c r="H193" i="367"/>
  <c r="G193" i="367"/>
  <c r="E193" i="367"/>
  <c r="L192" i="367"/>
  <c r="M192" i="367" s="1"/>
  <c r="M188" i="367"/>
  <c r="L188" i="367"/>
  <c r="L187" i="367"/>
  <c r="M187" i="367" s="1"/>
  <c r="M186" i="367"/>
  <c r="M193" i="367" s="1"/>
  <c r="L186" i="367"/>
  <c r="K183" i="367"/>
  <c r="J183" i="367"/>
  <c r="I183" i="367"/>
  <c r="H183" i="367"/>
  <c r="G183" i="367"/>
  <c r="E183" i="367"/>
  <c r="L182" i="367"/>
  <c r="M182" i="367" s="1"/>
  <c r="M181" i="367"/>
  <c r="L181" i="367"/>
  <c r="L180" i="367"/>
  <c r="M180" i="367" s="1"/>
  <c r="M179" i="367"/>
  <c r="L179" i="367"/>
  <c r="L178" i="367"/>
  <c r="M178" i="367" s="1"/>
  <c r="K171" i="367"/>
  <c r="J171" i="367"/>
  <c r="I171" i="367"/>
  <c r="H171" i="367"/>
  <c r="G171" i="367"/>
  <c r="F171" i="367"/>
  <c r="E171" i="367"/>
  <c r="M170" i="367"/>
  <c r="L170" i="367"/>
  <c r="M169" i="367"/>
  <c r="M171" i="367" s="1"/>
  <c r="L169" i="367"/>
  <c r="L171" i="367" s="1"/>
  <c r="K166" i="367"/>
  <c r="J166" i="367"/>
  <c r="I166" i="367"/>
  <c r="H166" i="367"/>
  <c r="G166" i="367"/>
  <c r="E166" i="367"/>
  <c r="M165" i="367"/>
  <c r="M166" i="367" s="1"/>
  <c r="L165" i="367"/>
  <c r="L166" i="367" s="1"/>
  <c r="K162" i="367"/>
  <c r="J162" i="367"/>
  <c r="I162" i="367"/>
  <c r="H162" i="367"/>
  <c r="G162" i="367"/>
  <c r="F162" i="367"/>
  <c r="E162" i="367"/>
  <c r="M161" i="367"/>
  <c r="L161" i="367"/>
  <c r="L160" i="367"/>
  <c r="M160" i="367" s="1"/>
  <c r="L159" i="367"/>
  <c r="M159" i="367" s="1"/>
  <c r="K156" i="367"/>
  <c r="J156" i="367"/>
  <c r="I156" i="367"/>
  <c r="H156" i="367"/>
  <c r="G156" i="367"/>
  <c r="E156" i="367"/>
  <c r="L155" i="367"/>
  <c r="M155" i="367" s="1"/>
  <c r="M154" i="367"/>
  <c r="L154" i="367"/>
  <c r="L151" i="367"/>
  <c r="K151" i="367"/>
  <c r="J151" i="367"/>
  <c r="I151" i="367"/>
  <c r="H151" i="367"/>
  <c r="G151" i="367"/>
  <c r="E151" i="367"/>
  <c r="M150" i="367"/>
  <c r="L150" i="367"/>
  <c r="M149" i="367"/>
  <c r="L149" i="367"/>
  <c r="M148" i="367"/>
  <c r="L148" i="367"/>
  <c r="M147" i="367"/>
  <c r="M151" i="367" s="1"/>
  <c r="L147" i="367"/>
  <c r="K144" i="367"/>
  <c r="J144" i="367"/>
  <c r="I144" i="367"/>
  <c r="H144" i="367"/>
  <c r="G144" i="367"/>
  <c r="E144" i="367"/>
  <c r="M143" i="367"/>
  <c r="L143" i="367"/>
  <c r="L142" i="367"/>
  <c r="M142" i="367" s="1"/>
  <c r="M141" i="367"/>
  <c r="L141" i="367"/>
  <c r="M140" i="367"/>
  <c r="L139" i="367"/>
  <c r="M139" i="367" s="1"/>
  <c r="M144" i="367" s="1"/>
  <c r="K136" i="367"/>
  <c r="J136" i="367"/>
  <c r="I136" i="367"/>
  <c r="H136" i="367"/>
  <c r="G136" i="367"/>
  <c r="F136" i="367"/>
  <c r="E136" i="367"/>
  <c r="L135" i="367"/>
  <c r="L136" i="367" s="1"/>
  <c r="K132" i="367"/>
  <c r="J132" i="367"/>
  <c r="I132" i="367"/>
  <c r="H132" i="367"/>
  <c r="G132" i="367"/>
  <c r="E132" i="367"/>
  <c r="M131" i="367"/>
  <c r="M132" i="367" s="1"/>
  <c r="L131" i="367"/>
  <c r="L132" i="367" s="1"/>
  <c r="K128" i="367"/>
  <c r="J128" i="367"/>
  <c r="I128" i="367"/>
  <c r="H128" i="367"/>
  <c r="G128" i="367"/>
  <c r="F128" i="367"/>
  <c r="E128" i="367"/>
  <c r="L127" i="367"/>
  <c r="M127" i="367" s="1"/>
  <c r="M126" i="367"/>
  <c r="L125" i="367"/>
  <c r="M125" i="367" s="1"/>
  <c r="M124" i="367"/>
  <c r="L124" i="367"/>
  <c r="L123" i="367"/>
  <c r="L128" i="367" s="1"/>
  <c r="K120" i="367"/>
  <c r="J120" i="367"/>
  <c r="I120" i="367"/>
  <c r="H120" i="367"/>
  <c r="G120" i="367"/>
  <c r="E120" i="367"/>
  <c r="M119" i="367"/>
  <c r="M120" i="367" s="1"/>
  <c r="L119" i="367"/>
  <c r="L120" i="367" s="1"/>
  <c r="K116" i="367"/>
  <c r="J116" i="367"/>
  <c r="I116" i="367"/>
  <c r="H116" i="367"/>
  <c r="G116" i="367"/>
  <c r="E116" i="367"/>
  <c r="L115" i="367"/>
  <c r="M115" i="367" s="1"/>
  <c r="M114" i="367"/>
  <c r="L114" i="367"/>
  <c r="L113" i="367"/>
  <c r="L116" i="367" s="1"/>
  <c r="K110" i="367"/>
  <c r="J110" i="367"/>
  <c r="I110" i="367"/>
  <c r="H110" i="367"/>
  <c r="G110" i="367"/>
  <c r="E110" i="367"/>
  <c r="M109" i="367"/>
  <c r="L109" i="367"/>
  <c r="L110" i="367" s="1"/>
  <c r="L108" i="367"/>
  <c r="M108" i="367" s="1"/>
  <c r="M110" i="367" s="1"/>
  <c r="K105" i="367"/>
  <c r="J105" i="367"/>
  <c r="I105" i="367"/>
  <c r="H105" i="367"/>
  <c r="G105" i="367"/>
  <c r="E105" i="367"/>
  <c r="M104" i="367"/>
  <c r="L104" i="367"/>
  <c r="L105" i="367" s="1"/>
  <c r="L103" i="367"/>
  <c r="M103" i="367" s="1"/>
  <c r="M105" i="367" s="1"/>
  <c r="M100" i="367"/>
  <c r="L100" i="367"/>
  <c r="L99" i="367"/>
  <c r="M99" i="367" s="1"/>
  <c r="K96" i="367"/>
  <c r="J96" i="367"/>
  <c r="I96" i="367"/>
  <c r="H96" i="367"/>
  <c r="G96" i="367"/>
  <c r="E96" i="367"/>
  <c r="M95" i="367"/>
  <c r="L95" i="367"/>
  <c r="L96" i="367" s="1"/>
  <c r="L94" i="367"/>
  <c r="M94" i="367" s="1"/>
  <c r="M96" i="367" s="1"/>
  <c r="K91" i="367"/>
  <c r="J91" i="367"/>
  <c r="I91" i="367"/>
  <c r="H91" i="367"/>
  <c r="G91" i="367"/>
  <c r="E91" i="367"/>
  <c r="M90" i="367"/>
  <c r="L90" i="367"/>
  <c r="L89" i="367"/>
  <c r="M89" i="367" s="1"/>
  <c r="M88" i="367"/>
  <c r="L88" i="367"/>
  <c r="L87" i="367"/>
  <c r="M87" i="367" s="1"/>
  <c r="L86" i="367"/>
  <c r="M86" i="367" s="1"/>
  <c r="L85" i="367"/>
  <c r="M85" i="367" s="1"/>
  <c r="M84" i="367"/>
  <c r="L84" i="367"/>
  <c r="L83" i="367"/>
  <c r="M83" i="367" s="1"/>
  <c r="M82" i="367"/>
  <c r="L82" i="367"/>
  <c r="K79" i="367"/>
  <c r="J79" i="367"/>
  <c r="I79" i="367"/>
  <c r="H79" i="367"/>
  <c r="G79" i="367"/>
  <c r="E79" i="367"/>
  <c r="L78" i="367"/>
  <c r="M78" i="367" s="1"/>
  <c r="M77" i="367"/>
  <c r="L77" i="367"/>
  <c r="M76" i="367"/>
  <c r="L76" i="367"/>
  <c r="M75" i="367"/>
  <c r="L75" i="367"/>
  <c r="M74" i="367"/>
  <c r="L74" i="367"/>
  <c r="M73" i="367"/>
  <c r="L73" i="367"/>
  <c r="L72" i="367"/>
  <c r="M72" i="367" s="1"/>
  <c r="M71" i="367"/>
  <c r="L71" i="367"/>
  <c r="M70" i="367"/>
  <c r="L70" i="367"/>
  <c r="M69" i="367"/>
  <c r="L69" i="367"/>
  <c r="M68" i="367"/>
  <c r="L68" i="367"/>
  <c r="M67" i="367"/>
  <c r="L67" i="367"/>
  <c r="M66" i="367"/>
  <c r="L66" i="367"/>
  <c r="M65" i="367"/>
  <c r="L65" i="367"/>
  <c r="M64" i="367"/>
  <c r="L64" i="367"/>
  <c r="L79" i="367" s="1"/>
  <c r="K61" i="367"/>
  <c r="J61" i="367"/>
  <c r="I61" i="367"/>
  <c r="H61" i="367"/>
  <c r="G61" i="367"/>
  <c r="E61" i="367"/>
  <c r="M60" i="367"/>
  <c r="L60" i="367"/>
  <c r="L59" i="367"/>
  <c r="L61" i="367" s="1"/>
  <c r="K56" i="367"/>
  <c r="J56" i="367"/>
  <c r="I56" i="367"/>
  <c r="H56" i="367"/>
  <c r="G56" i="367"/>
  <c r="E56" i="367"/>
  <c r="M55" i="367"/>
  <c r="L55" i="367"/>
  <c r="L54" i="367"/>
  <c r="M54" i="367" s="1"/>
  <c r="M53" i="367"/>
  <c r="L53" i="367"/>
  <c r="L52" i="367"/>
  <c r="M52" i="367" s="1"/>
  <c r="M51" i="367"/>
  <c r="L51" i="367"/>
  <c r="L56" i="367" s="1"/>
  <c r="K48" i="367"/>
  <c r="J48" i="367"/>
  <c r="I48" i="367"/>
  <c r="H48" i="367"/>
  <c r="G48" i="367"/>
  <c r="F48" i="367"/>
  <c r="E48" i="367"/>
  <c r="L47" i="367"/>
  <c r="M47" i="367" s="1"/>
  <c r="M46" i="367"/>
  <c r="M48" i="367" s="1"/>
  <c r="L46" i="367"/>
  <c r="L48" i="367" s="1"/>
  <c r="K43" i="367"/>
  <c r="J43" i="367"/>
  <c r="I43" i="367"/>
  <c r="H43" i="367"/>
  <c r="F43" i="367"/>
  <c r="E43" i="367"/>
  <c r="L42" i="367"/>
  <c r="M42" i="367" s="1"/>
  <c r="M43" i="367" s="1"/>
  <c r="K39" i="367"/>
  <c r="J39" i="367"/>
  <c r="I39" i="367"/>
  <c r="I245" i="367" s="1"/>
  <c r="H39" i="367"/>
  <c r="G39" i="367"/>
  <c r="E39" i="367"/>
  <c r="M38" i="367"/>
  <c r="L38" i="367"/>
  <c r="L37" i="367"/>
  <c r="M37" i="367" s="1"/>
  <c r="M36" i="367"/>
  <c r="L36" i="367"/>
  <c r="L35" i="367"/>
  <c r="M35" i="367" s="1"/>
  <c r="M34" i="367"/>
  <c r="L34" i="367"/>
  <c r="L39" i="367" s="1"/>
  <c r="K31" i="367"/>
  <c r="J31" i="367"/>
  <c r="I31" i="367"/>
  <c r="H31" i="367"/>
  <c r="G31" i="367"/>
  <c r="E31" i="367"/>
  <c r="L30" i="367"/>
  <c r="M30" i="367" s="1"/>
  <c r="M29" i="367"/>
  <c r="L29" i="367"/>
  <c r="L28" i="367"/>
  <c r="M28" i="367" s="1"/>
  <c r="M27" i="367"/>
  <c r="M31" i="367" s="1"/>
  <c r="L27" i="367"/>
  <c r="L24" i="367"/>
  <c r="K24" i="367"/>
  <c r="J24" i="367"/>
  <c r="I24" i="367"/>
  <c r="H24" i="367"/>
  <c r="H245" i="367" s="1"/>
  <c r="G24" i="367"/>
  <c r="F24" i="367"/>
  <c r="E24" i="367"/>
  <c r="M23" i="367"/>
  <c r="L23" i="367"/>
  <c r="L22" i="367"/>
  <c r="M22" i="367" s="1"/>
  <c r="M21" i="367"/>
  <c r="L21" i="367"/>
  <c r="L20" i="367"/>
  <c r="M20" i="367" s="1"/>
  <c r="M19" i="367"/>
  <c r="M24" i="367" s="1"/>
  <c r="L19" i="367"/>
  <c r="D186" i="364"/>
  <c r="K51" i="366"/>
  <c r="H51" i="366"/>
  <c r="E51" i="366"/>
  <c r="C51" i="366"/>
  <c r="M49" i="366"/>
  <c r="L49" i="366"/>
  <c r="K49" i="366"/>
  <c r="J49" i="366"/>
  <c r="I49" i="366"/>
  <c r="H49" i="366"/>
  <c r="G49" i="366"/>
  <c r="F49" i="366"/>
  <c r="E49" i="366"/>
  <c r="L48" i="366"/>
  <c r="K44" i="366"/>
  <c r="J44" i="366"/>
  <c r="J51" i="366" s="1"/>
  <c r="I44" i="366"/>
  <c r="I51" i="366" s="1"/>
  <c r="H44" i="366"/>
  <c r="G44" i="366"/>
  <c r="G51" i="366" s="1"/>
  <c r="F44" i="366"/>
  <c r="F51" i="366" s="1"/>
  <c r="E44" i="366"/>
  <c r="L43" i="366"/>
  <c r="L42" i="366"/>
  <c r="L41" i="366"/>
  <c r="L40" i="366"/>
  <c r="L39" i="366"/>
  <c r="L38" i="366"/>
  <c r="L37" i="366"/>
  <c r="L36" i="366"/>
  <c r="L35" i="366"/>
  <c r="L34" i="366"/>
  <c r="L33" i="366"/>
  <c r="L32" i="366"/>
  <c r="L31" i="366"/>
  <c r="L30" i="366"/>
  <c r="L29" i="366"/>
  <c r="L28" i="366"/>
  <c r="L27" i="366"/>
  <c r="L26" i="366"/>
  <c r="L25" i="366"/>
  <c r="L24" i="366"/>
  <c r="L23" i="366"/>
  <c r="L22" i="366"/>
  <c r="L21" i="366"/>
  <c r="L20" i="366"/>
  <c r="L19" i="366"/>
  <c r="L18" i="366"/>
  <c r="L17" i="366"/>
  <c r="L44" i="366" s="1"/>
  <c r="L51" i="366" s="1"/>
  <c r="M16" i="366"/>
  <c r="M44" i="366" s="1"/>
  <c r="M51" i="366" s="1"/>
  <c r="M46" i="365"/>
  <c r="L46" i="365"/>
  <c r="J46" i="365"/>
  <c r="I46" i="365"/>
  <c r="H46" i="365"/>
  <c r="G46" i="365"/>
  <c r="E46" i="365"/>
  <c r="D46" i="365"/>
  <c r="M44" i="365"/>
  <c r="L44" i="365"/>
  <c r="M43" i="365"/>
  <c r="L43" i="365"/>
  <c r="M37" i="365"/>
  <c r="L37" i="365"/>
  <c r="M36" i="365"/>
  <c r="L36" i="365"/>
  <c r="M32" i="365"/>
  <c r="L32" i="365"/>
  <c r="M31" i="365"/>
  <c r="L31" i="365"/>
  <c r="M28" i="365"/>
  <c r="L28" i="365"/>
  <c r="M27" i="365"/>
  <c r="L27" i="365"/>
  <c r="M24" i="365"/>
  <c r="L24" i="365"/>
  <c r="K24" i="365"/>
  <c r="J24" i="365"/>
  <c r="I24" i="365"/>
  <c r="H24" i="365"/>
  <c r="G24" i="365"/>
  <c r="E24" i="365"/>
  <c r="M23" i="365"/>
  <c r="L23" i="365"/>
  <c r="M20" i="365"/>
  <c r="L20" i="365"/>
  <c r="K20" i="365"/>
  <c r="J20" i="365"/>
  <c r="I20" i="365"/>
  <c r="H20" i="365"/>
  <c r="G20" i="365"/>
  <c r="F20" i="365"/>
  <c r="E20" i="365"/>
  <c r="M19" i="365"/>
  <c r="L19" i="365"/>
  <c r="M16" i="365"/>
  <c r="L16" i="365"/>
  <c r="K16" i="365"/>
  <c r="J16" i="365"/>
  <c r="I16" i="365"/>
  <c r="H16" i="365"/>
  <c r="G16" i="365"/>
  <c r="F16" i="365"/>
  <c r="E16" i="365"/>
  <c r="M15" i="365"/>
  <c r="L15" i="365"/>
  <c r="P183" i="364"/>
  <c r="O183" i="364"/>
  <c r="N183" i="364"/>
  <c r="M183" i="364"/>
  <c r="L183" i="364"/>
  <c r="K183" i="364"/>
  <c r="J183" i="364"/>
  <c r="H183" i="364"/>
  <c r="D183" i="364"/>
  <c r="P181" i="364"/>
  <c r="O181" i="364"/>
  <c r="N181" i="364"/>
  <c r="M181" i="364"/>
  <c r="L181" i="364"/>
  <c r="K181" i="364"/>
  <c r="J181" i="364"/>
  <c r="H181" i="364"/>
  <c r="P180" i="364"/>
  <c r="O180" i="364"/>
  <c r="N180" i="364"/>
  <c r="M180" i="364"/>
  <c r="L180" i="364"/>
  <c r="K180" i="364"/>
  <c r="J180" i="364"/>
  <c r="H180" i="364"/>
  <c r="P179" i="364"/>
  <c r="O179" i="364"/>
  <c r="P178" i="364"/>
  <c r="O178" i="364"/>
  <c r="P177" i="364"/>
  <c r="O177" i="364"/>
  <c r="P176" i="364"/>
  <c r="O176" i="364"/>
  <c r="P175" i="364"/>
  <c r="O175" i="364"/>
  <c r="P174" i="364"/>
  <c r="O174" i="364"/>
  <c r="P173" i="364"/>
  <c r="O173" i="364"/>
  <c r="P172" i="364"/>
  <c r="O172" i="364"/>
  <c r="P171" i="364"/>
  <c r="O171" i="364"/>
  <c r="P168" i="364"/>
  <c r="O168" i="364"/>
  <c r="N168" i="364"/>
  <c r="M168" i="364"/>
  <c r="L168" i="364"/>
  <c r="K168" i="364"/>
  <c r="J168" i="364"/>
  <c r="H168" i="364"/>
  <c r="P167" i="364"/>
  <c r="O167" i="364"/>
  <c r="P166" i="364"/>
  <c r="O166" i="364"/>
  <c r="P165" i="364"/>
  <c r="O165" i="364"/>
  <c r="P164" i="364"/>
  <c r="O164" i="364"/>
  <c r="P163" i="364"/>
  <c r="O163" i="364"/>
  <c r="P162" i="364"/>
  <c r="O162" i="364"/>
  <c r="P161" i="364"/>
  <c r="O161" i="364"/>
  <c r="P160" i="364"/>
  <c r="O160" i="364"/>
  <c r="P159" i="364"/>
  <c r="O159" i="364"/>
  <c r="P156" i="364"/>
  <c r="O156" i="364"/>
  <c r="N156" i="364"/>
  <c r="M156" i="364"/>
  <c r="L156" i="364"/>
  <c r="K156" i="364"/>
  <c r="J156" i="364"/>
  <c r="H156" i="364"/>
  <c r="P155" i="364"/>
  <c r="O155" i="364"/>
  <c r="P154" i="364"/>
  <c r="O154" i="364"/>
  <c r="P153" i="364"/>
  <c r="O153" i="364"/>
  <c r="P152" i="364"/>
  <c r="O152" i="364"/>
  <c r="P151" i="364"/>
  <c r="O151" i="364"/>
  <c r="P150" i="364"/>
  <c r="O150" i="364"/>
  <c r="P149" i="364"/>
  <c r="O149" i="364"/>
  <c r="P146" i="364"/>
  <c r="O146" i="364"/>
  <c r="N146" i="364"/>
  <c r="M146" i="364"/>
  <c r="L146" i="364"/>
  <c r="K146" i="364"/>
  <c r="J146" i="364"/>
  <c r="H146" i="364"/>
  <c r="P145" i="364"/>
  <c r="O145" i="364"/>
  <c r="P144" i="364"/>
  <c r="O144" i="364"/>
  <c r="P143" i="364"/>
  <c r="O143" i="364"/>
  <c r="P142" i="364"/>
  <c r="O142" i="364"/>
  <c r="P141" i="364"/>
  <c r="O141" i="364"/>
  <c r="P140" i="364"/>
  <c r="O140" i="364"/>
  <c r="P139" i="364"/>
  <c r="O139" i="364"/>
  <c r="P138" i="364"/>
  <c r="O138" i="364"/>
  <c r="P137" i="364"/>
  <c r="O137" i="364"/>
  <c r="P136" i="364"/>
  <c r="O136" i="364"/>
  <c r="P132" i="364"/>
  <c r="O132" i="364"/>
  <c r="N132" i="364"/>
  <c r="M132" i="364"/>
  <c r="L132" i="364"/>
  <c r="K132" i="364"/>
  <c r="J132" i="364"/>
  <c r="H132" i="364"/>
  <c r="P131" i="364"/>
  <c r="O131" i="364"/>
  <c r="P128" i="364"/>
  <c r="O128" i="364"/>
  <c r="N128" i="364"/>
  <c r="M128" i="364"/>
  <c r="L128" i="364"/>
  <c r="K128" i="364"/>
  <c r="J128" i="364"/>
  <c r="I128" i="364"/>
  <c r="H128" i="364"/>
  <c r="P127" i="364"/>
  <c r="O127" i="364"/>
  <c r="P126" i="364"/>
  <c r="O126" i="364"/>
  <c r="P125" i="364"/>
  <c r="O125" i="364"/>
  <c r="P124" i="364"/>
  <c r="O124" i="364"/>
  <c r="P123" i="364"/>
  <c r="O123" i="364"/>
  <c r="P122" i="364"/>
  <c r="O122" i="364"/>
  <c r="P121" i="364"/>
  <c r="O121" i="364"/>
  <c r="P118" i="364"/>
  <c r="O118" i="364"/>
  <c r="N118" i="364"/>
  <c r="P117" i="364"/>
  <c r="O117" i="364"/>
  <c r="P114" i="364"/>
  <c r="O114" i="364"/>
  <c r="N114" i="364"/>
  <c r="M114" i="364"/>
  <c r="L114" i="364"/>
  <c r="K114" i="364"/>
  <c r="J114" i="364"/>
  <c r="I114" i="364"/>
  <c r="H114" i="364"/>
  <c r="P113" i="364"/>
  <c r="O113" i="364"/>
  <c r="P112" i="364"/>
  <c r="O112" i="364"/>
  <c r="P111" i="364"/>
  <c r="O111" i="364"/>
  <c r="P108" i="364"/>
  <c r="O108" i="364"/>
  <c r="N108" i="364"/>
  <c r="M108" i="364"/>
  <c r="L108" i="364"/>
  <c r="K108" i="364"/>
  <c r="J108" i="364"/>
  <c r="I108" i="364"/>
  <c r="H108" i="364"/>
  <c r="P107" i="364"/>
  <c r="O107" i="364"/>
  <c r="P104" i="364"/>
  <c r="O104" i="364"/>
  <c r="N104" i="364"/>
  <c r="M104" i="364"/>
  <c r="L104" i="364"/>
  <c r="K104" i="364"/>
  <c r="J104" i="364"/>
  <c r="H104" i="364"/>
  <c r="P103" i="364"/>
  <c r="O103" i="364"/>
  <c r="P102" i="364"/>
  <c r="O102" i="364"/>
  <c r="P101" i="364"/>
  <c r="O101" i="364"/>
  <c r="P100" i="364"/>
  <c r="O100" i="364"/>
  <c r="P99" i="364"/>
  <c r="O99" i="364"/>
  <c r="P98" i="364"/>
  <c r="O98" i="364"/>
  <c r="P97" i="364"/>
  <c r="P94" i="364"/>
  <c r="O94" i="364"/>
  <c r="N94" i="364"/>
  <c r="M94" i="364"/>
  <c r="L94" i="364"/>
  <c r="K94" i="364"/>
  <c r="J94" i="364"/>
  <c r="H94" i="364"/>
  <c r="P92" i="364"/>
  <c r="O92" i="364"/>
  <c r="P91" i="364"/>
  <c r="O91" i="364"/>
  <c r="P90" i="364"/>
  <c r="O90" i="364"/>
  <c r="P89" i="364"/>
  <c r="O89" i="364"/>
  <c r="P88" i="364"/>
  <c r="O88" i="364"/>
  <c r="P87" i="364"/>
  <c r="O87" i="364"/>
  <c r="P84" i="364"/>
  <c r="O84" i="364"/>
  <c r="P83" i="364"/>
  <c r="O83" i="364"/>
  <c r="P80" i="364"/>
  <c r="O80" i="364"/>
  <c r="N80" i="364"/>
  <c r="M80" i="364"/>
  <c r="L80" i="364"/>
  <c r="K80" i="364"/>
  <c r="J80" i="364"/>
  <c r="H80" i="364"/>
  <c r="P79" i="364"/>
  <c r="O79" i="364"/>
  <c r="P78" i="364"/>
  <c r="P77" i="364"/>
  <c r="O77" i="364"/>
  <c r="P76" i="364"/>
  <c r="O76" i="364"/>
  <c r="P73" i="364"/>
  <c r="O73" i="364"/>
  <c r="N73" i="364"/>
  <c r="M73" i="364"/>
  <c r="L73" i="364"/>
  <c r="K73" i="364"/>
  <c r="J73" i="364"/>
  <c r="I73" i="364"/>
  <c r="H73" i="364"/>
  <c r="P72" i="364"/>
  <c r="O72" i="364"/>
  <c r="P70" i="364"/>
  <c r="O70" i="364"/>
  <c r="P69" i="364"/>
  <c r="O69" i="364"/>
  <c r="P66" i="364"/>
  <c r="O66" i="364"/>
  <c r="N66" i="364"/>
  <c r="M66" i="364"/>
  <c r="L66" i="364"/>
  <c r="K66" i="364"/>
  <c r="J66" i="364"/>
  <c r="I66" i="364"/>
  <c r="H66" i="364"/>
  <c r="P65" i="364"/>
  <c r="O65" i="364"/>
  <c r="P64" i="364"/>
  <c r="O64" i="364"/>
  <c r="P62" i="364"/>
  <c r="O62" i="364"/>
  <c r="P61" i="364"/>
  <c r="O61" i="364"/>
  <c r="P58" i="364"/>
  <c r="O58" i="364"/>
  <c r="P57" i="364"/>
  <c r="O57" i="364"/>
  <c r="P54" i="364"/>
  <c r="O54" i="364"/>
  <c r="P53" i="364"/>
  <c r="O53" i="364"/>
  <c r="P50" i="364"/>
  <c r="O50" i="364"/>
  <c r="N50" i="364"/>
  <c r="M50" i="364"/>
  <c r="L50" i="364"/>
  <c r="K50" i="364"/>
  <c r="J50" i="364"/>
  <c r="H50" i="364"/>
  <c r="P49" i="364"/>
  <c r="O49" i="364"/>
  <c r="P48" i="364"/>
  <c r="O48" i="364"/>
  <c r="P45" i="364"/>
  <c r="O45" i="364"/>
  <c r="P44" i="364"/>
  <c r="O44" i="364"/>
  <c r="P41" i="364"/>
  <c r="O41" i="364"/>
  <c r="N41" i="364"/>
  <c r="M41" i="364"/>
  <c r="L41" i="364"/>
  <c r="K41" i="364"/>
  <c r="J41" i="364"/>
  <c r="H41" i="364"/>
  <c r="P40" i="364"/>
  <c r="O40" i="364"/>
  <c r="P39" i="364"/>
  <c r="O39" i="364"/>
  <c r="P36" i="364"/>
  <c r="O36" i="364"/>
  <c r="P35" i="364"/>
  <c r="O35" i="364"/>
  <c r="P32" i="364"/>
  <c r="O32" i="364"/>
  <c r="P31" i="364"/>
  <c r="O31" i="364"/>
  <c r="P29" i="364"/>
  <c r="O29" i="364"/>
  <c r="P28" i="364"/>
  <c r="O28" i="364"/>
  <c r="P25" i="364"/>
  <c r="O25" i="364"/>
  <c r="N25" i="364"/>
  <c r="M25" i="364"/>
  <c r="L25" i="364"/>
  <c r="K25" i="364"/>
  <c r="J25" i="364"/>
  <c r="H25" i="364"/>
  <c r="P24" i="364"/>
  <c r="O24" i="364"/>
  <c r="P23" i="364"/>
  <c r="O23" i="364"/>
  <c r="P19" i="364"/>
  <c r="O19" i="364"/>
  <c r="N19" i="364"/>
  <c r="M19" i="364"/>
  <c r="L19" i="364"/>
  <c r="K19" i="364"/>
  <c r="J19" i="364"/>
  <c r="I19" i="364"/>
  <c r="H19" i="364"/>
  <c r="P18" i="364"/>
  <c r="O18" i="364"/>
  <c r="P15" i="364"/>
  <c r="O15" i="364"/>
  <c r="N15" i="364"/>
  <c r="M15" i="364"/>
  <c r="L15" i="364"/>
  <c r="K15" i="364"/>
  <c r="J15" i="364"/>
  <c r="H15" i="364"/>
  <c r="P14" i="364"/>
  <c r="O14" i="364"/>
  <c r="P13" i="364"/>
  <c r="M245" i="363"/>
  <c r="L245" i="363"/>
  <c r="K245" i="363"/>
  <c r="J245" i="363"/>
  <c r="I245" i="363"/>
  <c r="H245" i="363"/>
  <c r="G245" i="363"/>
  <c r="E245" i="363"/>
  <c r="C245" i="363"/>
  <c r="M243" i="363"/>
  <c r="L243" i="363"/>
  <c r="K243" i="363"/>
  <c r="J243" i="363"/>
  <c r="I243" i="363"/>
  <c r="H243" i="363"/>
  <c r="G243" i="363"/>
  <c r="E243" i="363"/>
  <c r="M242" i="363"/>
  <c r="L242" i="363"/>
  <c r="K242" i="363"/>
  <c r="J242" i="363"/>
  <c r="I242" i="363"/>
  <c r="H242" i="363"/>
  <c r="G242" i="363"/>
  <c r="E242" i="363"/>
  <c r="M241" i="363"/>
  <c r="L241" i="363"/>
  <c r="M240" i="363"/>
  <c r="L240" i="363"/>
  <c r="M239" i="363"/>
  <c r="L239" i="363"/>
  <c r="M238" i="363"/>
  <c r="L238" i="363"/>
  <c r="M237" i="363"/>
  <c r="M236" i="363"/>
  <c r="L236" i="363"/>
  <c r="M235" i="363"/>
  <c r="L235" i="363"/>
  <c r="M232" i="363"/>
  <c r="L232" i="363"/>
  <c r="K232" i="363"/>
  <c r="J232" i="363"/>
  <c r="I232" i="363"/>
  <c r="H232" i="363"/>
  <c r="G232" i="363"/>
  <c r="E232" i="363"/>
  <c r="M231" i="363"/>
  <c r="M230" i="363"/>
  <c r="M229" i="363"/>
  <c r="L229" i="363"/>
  <c r="M228" i="363"/>
  <c r="L228" i="363"/>
  <c r="M226" i="363"/>
  <c r="L226" i="363"/>
  <c r="M225" i="363"/>
  <c r="L225" i="363"/>
  <c r="M222" i="363"/>
  <c r="L222" i="363"/>
  <c r="K222" i="363"/>
  <c r="J222" i="363"/>
  <c r="I222" i="363"/>
  <c r="H222" i="363"/>
  <c r="G222" i="363"/>
  <c r="E222" i="363"/>
  <c r="M221" i="363"/>
  <c r="M220" i="363"/>
  <c r="L220" i="363"/>
  <c r="M219" i="363"/>
  <c r="L219" i="363"/>
  <c r="M218" i="363"/>
  <c r="L218" i="363"/>
  <c r="M216" i="363"/>
  <c r="L216" i="363"/>
  <c r="M215" i="363"/>
  <c r="L215" i="363"/>
  <c r="M214" i="363"/>
  <c r="L214" i="363"/>
  <c r="M211" i="363"/>
  <c r="L211" i="363"/>
  <c r="K211" i="363"/>
  <c r="J211" i="363"/>
  <c r="I211" i="363"/>
  <c r="H211" i="363"/>
  <c r="G211" i="363"/>
  <c r="E211" i="363"/>
  <c r="M210" i="363"/>
  <c r="L210" i="363"/>
  <c r="M209" i="363"/>
  <c r="L209" i="363"/>
  <c r="M208" i="363"/>
  <c r="L208" i="363"/>
  <c r="M207" i="363"/>
  <c r="L207" i="363"/>
  <c r="M206" i="363"/>
  <c r="L206" i="363"/>
  <c r="M205" i="363"/>
  <c r="L205" i="363"/>
  <c r="M203" i="363"/>
  <c r="L203" i="363"/>
  <c r="M202" i="363"/>
  <c r="L202" i="363"/>
  <c r="M201" i="363"/>
  <c r="L201" i="363"/>
  <c r="M200" i="363"/>
  <c r="L200" i="363"/>
  <c r="M199" i="363"/>
  <c r="L199" i="363"/>
  <c r="M198" i="363"/>
  <c r="L198" i="363"/>
  <c r="M197" i="363"/>
  <c r="L197" i="363"/>
  <c r="M193" i="363"/>
  <c r="L193" i="363"/>
  <c r="K193" i="363"/>
  <c r="J193" i="363"/>
  <c r="I193" i="363"/>
  <c r="H193" i="363"/>
  <c r="G193" i="363"/>
  <c r="E193" i="363"/>
  <c r="M192" i="363"/>
  <c r="L192" i="363"/>
  <c r="M188" i="363"/>
  <c r="L188" i="363"/>
  <c r="M187" i="363"/>
  <c r="L187" i="363"/>
  <c r="M186" i="363"/>
  <c r="L186" i="363"/>
  <c r="M183" i="363"/>
  <c r="L183" i="363"/>
  <c r="K183" i="363"/>
  <c r="J183" i="363"/>
  <c r="I183" i="363"/>
  <c r="H183" i="363"/>
  <c r="G183" i="363"/>
  <c r="E183" i="363"/>
  <c r="M182" i="363"/>
  <c r="L182" i="363"/>
  <c r="M181" i="363"/>
  <c r="L181" i="363"/>
  <c r="M180" i="363"/>
  <c r="L180" i="363"/>
  <c r="M179" i="363"/>
  <c r="L179" i="363"/>
  <c r="M178" i="363"/>
  <c r="L178" i="363"/>
  <c r="M171" i="363"/>
  <c r="L171" i="363"/>
  <c r="K171" i="363"/>
  <c r="J171" i="363"/>
  <c r="I171" i="363"/>
  <c r="H171" i="363"/>
  <c r="G171" i="363"/>
  <c r="F171" i="363"/>
  <c r="E171" i="363"/>
  <c r="M170" i="363"/>
  <c r="L170" i="363"/>
  <c r="M169" i="363"/>
  <c r="L169" i="363"/>
  <c r="M166" i="363"/>
  <c r="L166" i="363"/>
  <c r="K166" i="363"/>
  <c r="J166" i="363"/>
  <c r="I166" i="363"/>
  <c r="H166" i="363"/>
  <c r="G166" i="363"/>
  <c r="E166" i="363"/>
  <c r="M165" i="363"/>
  <c r="L165" i="363"/>
  <c r="M162" i="363"/>
  <c r="L162" i="363"/>
  <c r="K162" i="363"/>
  <c r="J162" i="363"/>
  <c r="I162" i="363"/>
  <c r="H162" i="363"/>
  <c r="G162" i="363"/>
  <c r="F162" i="363"/>
  <c r="E162" i="363"/>
  <c r="M161" i="363"/>
  <c r="L161" i="363"/>
  <c r="M160" i="363"/>
  <c r="L160" i="363"/>
  <c r="M159" i="363"/>
  <c r="L159" i="363"/>
  <c r="M156" i="363"/>
  <c r="L156" i="363"/>
  <c r="K156" i="363"/>
  <c r="J156" i="363"/>
  <c r="I156" i="363"/>
  <c r="H156" i="363"/>
  <c r="G156" i="363"/>
  <c r="E156" i="363"/>
  <c r="M155" i="363"/>
  <c r="L155" i="363"/>
  <c r="M154" i="363"/>
  <c r="L154" i="363"/>
  <c r="M151" i="363"/>
  <c r="L151" i="363"/>
  <c r="K151" i="363"/>
  <c r="J151" i="363"/>
  <c r="I151" i="363"/>
  <c r="H151" i="363"/>
  <c r="G151" i="363"/>
  <c r="E151" i="363"/>
  <c r="M150" i="363"/>
  <c r="L150" i="363"/>
  <c r="M149" i="363"/>
  <c r="L149" i="363"/>
  <c r="M148" i="363"/>
  <c r="L148" i="363"/>
  <c r="M147" i="363"/>
  <c r="L147" i="363"/>
  <c r="M144" i="363"/>
  <c r="L144" i="363"/>
  <c r="K144" i="363"/>
  <c r="J144" i="363"/>
  <c r="I144" i="363"/>
  <c r="H144" i="363"/>
  <c r="G144" i="363"/>
  <c r="E144" i="363"/>
  <c r="M143" i="363"/>
  <c r="L143" i="363"/>
  <c r="M142" i="363"/>
  <c r="L142" i="363"/>
  <c r="M141" i="363"/>
  <c r="L141" i="363"/>
  <c r="M140" i="363"/>
  <c r="M139" i="363"/>
  <c r="L139" i="363"/>
  <c r="M136" i="363"/>
  <c r="L136" i="363"/>
  <c r="K136" i="363"/>
  <c r="J136" i="363"/>
  <c r="I136" i="363"/>
  <c r="H136" i="363"/>
  <c r="G136" i="363"/>
  <c r="F136" i="363"/>
  <c r="E136" i="363"/>
  <c r="M135" i="363"/>
  <c r="L135" i="363"/>
  <c r="M132" i="363"/>
  <c r="L132" i="363"/>
  <c r="K132" i="363"/>
  <c r="J132" i="363"/>
  <c r="I132" i="363"/>
  <c r="H132" i="363"/>
  <c r="G132" i="363"/>
  <c r="E132" i="363"/>
  <c r="M131" i="363"/>
  <c r="L131" i="363"/>
  <c r="M128" i="363"/>
  <c r="L128" i="363"/>
  <c r="K128" i="363"/>
  <c r="J128" i="363"/>
  <c r="I128" i="363"/>
  <c r="H128" i="363"/>
  <c r="G128" i="363"/>
  <c r="F128" i="363"/>
  <c r="E128" i="363"/>
  <c r="M127" i="363"/>
  <c r="L127" i="363"/>
  <c r="M126" i="363"/>
  <c r="M125" i="363"/>
  <c r="L125" i="363"/>
  <c r="M124" i="363"/>
  <c r="L124" i="363"/>
  <c r="M123" i="363"/>
  <c r="L123" i="363"/>
  <c r="M120" i="363"/>
  <c r="L120" i="363"/>
  <c r="K120" i="363"/>
  <c r="J120" i="363"/>
  <c r="I120" i="363"/>
  <c r="H120" i="363"/>
  <c r="G120" i="363"/>
  <c r="E120" i="363"/>
  <c r="M119" i="363"/>
  <c r="L119" i="363"/>
  <c r="M116" i="363"/>
  <c r="L116" i="363"/>
  <c r="K116" i="363"/>
  <c r="J116" i="363"/>
  <c r="I116" i="363"/>
  <c r="H116" i="363"/>
  <c r="G116" i="363"/>
  <c r="E116" i="363"/>
  <c r="M115" i="363"/>
  <c r="L115" i="363"/>
  <c r="M114" i="363"/>
  <c r="L114" i="363"/>
  <c r="M113" i="363"/>
  <c r="L113" i="363"/>
  <c r="M110" i="363"/>
  <c r="L110" i="363"/>
  <c r="K110" i="363"/>
  <c r="J110" i="363"/>
  <c r="I110" i="363"/>
  <c r="H110" i="363"/>
  <c r="G110" i="363"/>
  <c r="E110" i="363"/>
  <c r="M109" i="363"/>
  <c r="L109" i="363"/>
  <c r="M108" i="363"/>
  <c r="L108" i="363"/>
  <c r="M105" i="363"/>
  <c r="L105" i="363"/>
  <c r="K105" i="363"/>
  <c r="J105" i="363"/>
  <c r="I105" i="363"/>
  <c r="H105" i="363"/>
  <c r="G105" i="363"/>
  <c r="E105" i="363"/>
  <c r="M104" i="363"/>
  <c r="L104" i="363"/>
  <c r="M103" i="363"/>
  <c r="L103" i="363"/>
  <c r="M100" i="363"/>
  <c r="L100" i="363"/>
  <c r="M99" i="363"/>
  <c r="L99" i="363"/>
  <c r="M96" i="363"/>
  <c r="L96" i="363"/>
  <c r="K96" i="363"/>
  <c r="J96" i="363"/>
  <c r="I96" i="363"/>
  <c r="H96" i="363"/>
  <c r="G96" i="363"/>
  <c r="E96" i="363"/>
  <c r="M95" i="363"/>
  <c r="L95" i="363"/>
  <c r="M94" i="363"/>
  <c r="L94" i="363"/>
  <c r="M91" i="363"/>
  <c r="L91" i="363"/>
  <c r="K91" i="363"/>
  <c r="J91" i="363"/>
  <c r="I91" i="363"/>
  <c r="H91" i="363"/>
  <c r="G91" i="363"/>
  <c r="E91" i="363"/>
  <c r="M90" i="363"/>
  <c r="L90" i="363"/>
  <c r="M89" i="363"/>
  <c r="L89" i="363"/>
  <c r="M88" i="363"/>
  <c r="L88" i="363"/>
  <c r="M87" i="363"/>
  <c r="L87" i="363"/>
  <c r="M86" i="363"/>
  <c r="L86" i="363"/>
  <c r="M85" i="363"/>
  <c r="L85" i="363"/>
  <c r="M84" i="363"/>
  <c r="L84" i="363"/>
  <c r="M83" i="363"/>
  <c r="L83" i="363"/>
  <c r="M82" i="363"/>
  <c r="L82" i="363"/>
  <c r="M79" i="363"/>
  <c r="L79" i="363"/>
  <c r="K79" i="363"/>
  <c r="J79" i="363"/>
  <c r="I79" i="363"/>
  <c r="H79" i="363"/>
  <c r="G79" i="363"/>
  <c r="E79" i="363"/>
  <c r="M78" i="363"/>
  <c r="L78" i="363"/>
  <c r="M77" i="363"/>
  <c r="L77" i="363"/>
  <c r="M76" i="363"/>
  <c r="L76" i="363"/>
  <c r="M75" i="363"/>
  <c r="L75" i="363"/>
  <c r="M74" i="363"/>
  <c r="L74" i="363"/>
  <c r="M73" i="363"/>
  <c r="L73" i="363"/>
  <c r="M72" i="363"/>
  <c r="L72" i="363"/>
  <c r="M71" i="363"/>
  <c r="L71" i="363"/>
  <c r="M70" i="363"/>
  <c r="L70" i="363"/>
  <c r="M69" i="363"/>
  <c r="L69" i="363"/>
  <c r="M68" i="363"/>
  <c r="L68" i="363"/>
  <c r="M67" i="363"/>
  <c r="L67" i="363"/>
  <c r="M66" i="363"/>
  <c r="L66" i="363"/>
  <c r="M65" i="363"/>
  <c r="L65" i="363"/>
  <c r="M64" i="363"/>
  <c r="L64" i="363"/>
  <c r="M61" i="363"/>
  <c r="L61" i="363"/>
  <c r="K61" i="363"/>
  <c r="J61" i="363"/>
  <c r="I61" i="363"/>
  <c r="H61" i="363"/>
  <c r="G61" i="363"/>
  <c r="E61" i="363"/>
  <c r="M60" i="363"/>
  <c r="L60" i="363"/>
  <c r="M59" i="363"/>
  <c r="L59" i="363"/>
  <c r="M56" i="363"/>
  <c r="L56" i="363"/>
  <c r="K56" i="363"/>
  <c r="J56" i="363"/>
  <c r="I56" i="363"/>
  <c r="H56" i="363"/>
  <c r="G56" i="363"/>
  <c r="E56" i="363"/>
  <c r="M55" i="363"/>
  <c r="L55" i="363"/>
  <c r="M54" i="363"/>
  <c r="L54" i="363"/>
  <c r="M53" i="363"/>
  <c r="L53" i="363"/>
  <c r="M52" i="363"/>
  <c r="L52" i="363"/>
  <c r="M51" i="363"/>
  <c r="L51" i="363"/>
  <c r="M48" i="363"/>
  <c r="L48" i="363"/>
  <c r="K48" i="363"/>
  <c r="J48" i="363"/>
  <c r="I48" i="363"/>
  <c r="H48" i="363"/>
  <c r="G48" i="363"/>
  <c r="F48" i="363"/>
  <c r="E48" i="363"/>
  <c r="M47" i="363"/>
  <c r="L47" i="363"/>
  <c r="M46" i="363"/>
  <c r="L46" i="363"/>
  <c r="M43" i="363"/>
  <c r="L43" i="363"/>
  <c r="K43" i="363"/>
  <c r="J43" i="363"/>
  <c r="I43" i="363"/>
  <c r="H43" i="363"/>
  <c r="F43" i="363"/>
  <c r="E43" i="363"/>
  <c r="M42" i="363"/>
  <c r="L42" i="363"/>
  <c r="M39" i="363"/>
  <c r="L39" i="363"/>
  <c r="K39" i="363"/>
  <c r="J39" i="363"/>
  <c r="I39" i="363"/>
  <c r="H39" i="363"/>
  <c r="G39" i="363"/>
  <c r="E39" i="363"/>
  <c r="M38" i="363"/>
  <c r="L38" i="363"/>
  <c r="M37" i="363"/>
  <c r="L37" i="363"/>
  <c r="M36" i="363"/>
  <c r="L36" i="363"/>
  <c r="M35" i="363"/>
  <c r="L35" i="363"/>
  <c r="M34" i="363"/>
  <c r="L34" i="363"/>
  <c r="M31" i="363"/>
  <c r="L31" i="363"/>
  <c r="K31" i="363"/>
  <c r="J31" i="363"/>
  <c r="I31" i="363"/>
  <c r="H31" i="363"/>
  <c r="G31" i="363"/>
  <c r="E31" i="363"/>
  <c r="M30" i="363"/>
  <c r="L30" i="363"/>
  <c r="M29" i="363"/>
  <c r="L29" i="363"/>
  <c r="M28" i="363"/>
  <c r="L28" i="363"/>
  <c r="M27" i="363"/>
  <c r="L27" i="363"/>
  <c r="M24" i="363"/>
  <c r="L24" i="363"/>
  <c r="K24" i="363"/>
  <c r="J24" i="363"/>
  <c r="I24" i="363"/>
  <c r="H24" i="363"/>
  <c r="G24" i="363"/>
  <c r="F24" i="363"/>
  <c r="E24" i="363"/>
  <c r="M23" i="363"/>
  <c r="L23" i="363"/>
  <c r="M22" i="363"/>
  <c r="L22" i="363"/>
  <c r="M21" i="363"/>
  <c r="L21" i="363"/>
  <c r="M20" i="363"/>
  <c r="L20" i="363"/>
  <c r="M19" i="363"/>
  <c r="L19" i="363"/>
  <c r="M47" i="362"/>
  <c r="L47" i="362"/>
  <c r="K47" i="362"/>
  <c r="J47" i="362"/>
  <c r="I47" i="362"/>
  <c r="H47" i="362"/>
  <c r="G47" i="362"/>
  <c r="F47" i="362"/>
  <c r="E47" i="362"/>
  <c r="C47" i="362"/>
  <c r="M45" i="362"/>
  <c r="L45" i="362"/>
  <c r="K45" i="362"/>
  <c r="J45" i="362"/>
  <c r="I45" i="362"/>
  <c r="H45" i="362"/>
  <c r="G45" i="362"/>
  <c r="F45" i="362"/>
  <c r="E45" i="362"/>
  <c r="L44" i="362"/>
  <c r="M40" i="362"/>
  <c r="L40" i="362"/>
  <c r="K40" i="362"/>
  <c r="J40" i="362"/>
  <c r="I40" i="362"/>
  <c r="H40" i="362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1" i="361"/>
  <c r="L41" i="361"/>
  <c r="J41" i="361"/>
  <c r="I41" i="361"/>
  <c r="H41" i="361"/>
  <c r="G41" i="361"/>
  <c r="E41" i="361"/>
  <c r="D41" i="361"/>
  <c r="M39" i="361"/>
  <c r="M38" i="361"/>
  <c r="M32" i="361"/>
  <c r="L32" i="361"/>
  <c r="M31" i="361"/>
  <c r="L31" i="361"/>
  <c r="M28" i="361"/>
  <c r="L28" i="361"/>
  <c r="M27" i="361"/>
  <c r="L27" i="361"/>
  <c r="M24" i="361"/>
  <c r="L24" i="361"/>
  <c r="K24" i="361"/>
  <c r="J24" i="361"/>
  <c r="I24" i="361"/>
  <c r="H24" i="361"/>
  <c r="G24" i="361"/>
  <c r="E24" i="361"/>
  <c r="M23" i="361"/>
  <c r="L23" i="361"/>
  <c r="M20" i="361"/>
  <c r="L20" i="361"/>
  <c r="K20" i="361"/>
  <c r="J20" i="361"/>
  <c r="I20" i="361"/>
  <c r="H20" i="361"/>
  <c r="G20" i="361"/>
  <c r="F20" i="361"/>
  <c r="E20" i="361"/>
  <c r="M19" i="361"/>
  <c r="L19" i="361"/>
  <c r="M16" i="361"/>
  <c r="L16" i="361"/>
  <c r="K16" i="361"/>
  <c r="J16" i="361"/>
  <c r="I16" i="361"/>
  <c r="H16" i="361"/>
  <c r="G16" i="361"/>
  <c r="F16" i="361"/>
  <c r="E16" i="361"/>
  <c r="M15" i="361"/>
  <c r="L15" i="361"/>
  <c r="M22" i="360"/>
  <c r="L22" i="360"/>
  <c r="J22" i="360"/>
  <c r="I22" i="360"/>
  <c r="H22" i="360"/>
  <c r="G22" i="360"/>
  <c r="E22" i="360"/>
  <c r="D22" i="360"/>
  <c r="M19" i="360"/>
  <c r="L19" i="360"/>
  <c r="J19" i="360"/>
  <c r="I19" i="360"/>
  <c r="H19" i="360"/>
  <c r="G19" i="360"/>
  <c r="E19" i="360"/>
  <c r="M18" i="360"/>
  <c r="L18" i="360"/>
  <c r="M15" i="360"/>
  <c r="L15" i="360"/>
  <c r="J15" i="360"/>
  <c r="I15" i="360"/>
  <c r="H15" i="360"/>
  <c r="G15" i="360"/>
  <c r="E15" i="360"/>
  <c r="M14" i="360"/>
  <c r="L14" i="360"/>
  <c r="P175" i="359"/>
  <c r="O175" i="359"/>
  <c r="N175" i="359"/>
  <c r="M175" i="359"/>
  <c r="L175" i="359"/>
  <c r="K175" i="359"/>
  <c r="J175" i="359"/>
  <c r="H175" i="359"/>
  <c r="D175" i="359"/>
  <c r="P173" i="359"/>
  <c r="O173" i="359"/>
  <c r="N173" i="359"/>
  <c r="M173" i="359"/>
  <c r="L173" i="359"/>
  <c r="K173" i="359"/>
  <c r="J173" i="359"/>
  <c r="H173" i="359"/>
  <c r="P172" i="359"/>
  <c r="O172" i="359"/>
  <c r="N172" i="359"/>
  <c r="M172" i="359"/>
  <c r="L172" i="359"/>
  <c r="K172" i="359"/>
  <c r="J172" i="359"/>
  <c r="H172" i="359"/>
  <c r="P171" i="359"/>
  <c r="O171" i="359"/>
  <c r="P170" i="359"/>
  <c r="O170" i="359"/>
  <c r="P169" i="359"/>
  <c r="O169" i="359"/>
  <c r="P168" i="359"/>
  <c r="O168" i="359"/>
  <c r="P167" i="359"/>
  <c r="O167" i="359"/>
  <c r="P166" i="359"/>
  <c r="O166" i="359"/>
  <c r="P165" i="359"/>
  <c r="O165" i="359"/>
  <c r="P164" i="359"/>
  <c r="O164" i="359"/>
  <c r="P163" i="359"/>
  <c r="O163" i="359"/>
  <c r="P160" i="359"/>
  <c r="O160" i="359"/>
  <c r="N160" i="359"/>
  <c r="M160" i="359"/>
  <c r="L160" i="359"/>
  <c r="K160" i="359"/>
  <c r="J160" i="359"/>
  <c r="H160" i="359"/>
  <c r="P159" i="359"/>
  <c r="O159" i="359"/>
  <c r="P158" i="359"/>
  <c r="O158" i="359"/>
  <c r="P157" i="359"/>
  <c r="O157" i="359"/>
  <c r="P156" i="359"/>
  <c r="O156" i="359"/>
  <c r="P155" i="359"/>
  <c r="O155" i="359"/>
  <c r="P154" i="359"/>
  <c r="O154" i="359"/>
  <c r="P153" i="359"/>
  <c r="O153" i="359"/>
  <c r="P152" i="359"/>
  <c r="O152" i="359"/>
  <c r="P151" i="359"/>
  <c r="O151" i="359"/>
  <c r="P148" i="359"/>
  <c r="O148" i="359"/>
  <c r="N148" i="359"/>
  <c r="M148" i="359"/>
  <c r="L148" i="359"/>
  <c r="K148" i="359"/>
  <c r="J148" i="359"/>
  <c r="H148" i="359"/>
  <c r="P147" i="359"/>
  <c r="O147" i="359"/>
  <c r="P146" i="359"/>
  <c r="O146" i="359"/>
  <c r="P145" i="359"/>
  <c r="O145" i="359"/>
  <c r="P144" i="359"/>
  <c r="O144" i="359"/>
  <c r="P143" i="359"/>
  <c r="O143" i="359"/>
  <c r="P142" i="359"/>
  <c r="O142" i="359"/>
  <c r="P141" i="359"/>
  <c r="O141" i="359"/>
  <c r="P138" i="359"/>
  <c r="O138" i="359"/>
  <c r="N138" i="359"/>
  <c r="M138" i="359"/>
  <c r="L138" i="359"/>
  <c r="K138" i="359"/>
  <c r="J138" i="359"/>
  <c r="H138" i="359"/>
  <c r="P137" i="359"/>
  <c r="O137" i="359"/>
  <c r="P136" i="359"/>
  <c r="O136" i="359"/>
  <c r="P135" i="359"/>
  <c r="O135" i="359"/>
  <c r="P134" i="359"/>
  <c r="O134" i="359"/>
  <c r="P133" i="359"/>
  <c r="O133" i="359"/>
  <c r="P132" i="359"/>
  <c r="O132" i="359"/>
  <c r="P131" i="359"/>
  <c r="O131" i="359"/>
  <c r="P130" i="359"/>
  <c r="O130" i="359"/>
  <c r="P129" i="359"/>
  <c r="O129" i="359"/>
  <c r="P128" i="359"/>
  <c r="O128" i="359"/>
  <c r="P124" i="359"/>
  <c r="O124" i="359"/>
  <c r="N124" i="359"/>
  <c r="M124" i="359"/>
  <c r="L124" i="359"/>
  <c r="K124" i="359"/>
  <c r="J124" i="359"/>
  <c r="H124" i="359"/>
  <c r="P123" i="359"/>
  <c r="O123" i="359"/>
  <c r="P120" i="359"/>
  <c r="O120" i="359"/>
  <c r="N120" i="359"/>
  <c r="M120" i="359"/>
  <c r="L120" i="359"/>
  <c r="K120" i="359"/>
  <c r="J120" i="359"/>
  <c r="I120" i="359"/>
  <c r="H120" i="359"/>
  <c r="P119" i="359"/>
  <c r="O119" i="359"/>
  <c r="P118" i="359"/>
  <c r="O118" i="359"/>
  <c r="P117" i="359"/>
  <c r="O117" i="359"/>
  <c r="P116" i="359"/>
  <c r="O116" i="359"/>
  <c r="P115" i="359"/>
  <c r="O115" i="359"/>
  <c r="P114" i="359"/>
  <c r="O114" i="359"/>
  <c r="P113" i="359"/>
  <c r="O113" i="359"/>
  <c r="P110" i="359"/>
  <c r="O110" i="359"/>
  <c r="N110" i="359"/>
  <c r="P109" i="359"/>
  <c r="O109" i="359"/>
  <c r="P106" i="359"/>
  <c r="O106" i="359"/>
  <c r="N106" i="359"/>
  <c r="M106" i="359"/>
  <c r="L106" i="359"/>
  <c r="K106" i="359"/>
  <c r="J106" i="359"/>
  <c r="I106" i="359"/>
  <c r="H106" i="359"/>
  <c r="P105" i="359"/>
  <c r="O105" i="359"/>
  <c r="P104" i="359"/>
  <c r="O104" i="359"/>
  <c r="P103" i="359"/>
  <c r="O103" i="359"/>
  <c r="P100" i="359"/>
  <c r="O100" i="359"/>
  <c r="N100" i="359"/>
  <c r="M100" i="359"/>
  <c r="L100" i="359"/>
  <c r="K100" i="359"/>
  <c r="J100" i="359"/>
  <c r="I100" i="359"/>
  <c r="H100" i="359"/>
  <c r="P99" i="359"/>
  <c r="O99" i="359"/>
  <c r="P96" i="359"/>
  <c r="O96" i="359"/>
  <c r="N96" i="359"/>
  <c r="M96" i="359"/>
  <c r="L96" i="359"/>
  <c r="K96" i="359"/>
  <c r="J96" i="359"/>
  <c r="H96" i="359"/>
  <c r="P95" i="359"/>
  <c r="O95" i="359"/>
  <c r="P94" i="359"/>
  <c r="O94" i="359"/>
  <c r="P93" i="359"/>
  <c r="O93" i="359"/>
  <c r="P92" i="359"/>
  <c r="O92" i="359"/>
  <c r="P91" i="359"/>
  <c r="O91" i="359"/>
  <c r="P90" i="359"/>
  <c r="P87" i="359"/>
  <c r="O87" i="359"/>
  <c r="N87" i="359"/>
  <c r="M87" i="359"/>
  <c r="L87" i="359"/>
  <c r="K87" i="359"/>
  <c r="J87" i="359"/>
  <c r="H87" i="359"/>
  <c r="P85" i="359"/>
  <c r="O85" i="359"/>
  <c r="P84" i="359"/>
  <c r="O84" i="359"/>
  <c r="P83" i="359"/>
  <c r="O83" i="359"/>
  <c r="P82" i="359"/>
  <c r="O82" i="359"/>
  <c r="P81" i="359"/>
  <c r="O81" i="359"/>
  <c r="P80" i="359"/>
  <c r="O80" i="359"/>
  <c r="P77" i="359"/>
  <c r="O77" i="359"/>
  <c r="P76" i="359"/>
  <c r="O76" i="359"/>
  <c r="P73" i="359"/>
  <c r="O73" i="359"/>
  <c r="N73" i="359"/>
  <c r="M73" i="359"/>
  <c r="L73" i="359"/>
  <c r="K73" i="359"/>
  <c r="J73" i="359"/>
  <c r="H73" i="359"/>
  <c r="P72" i="359"/>
  <c r="O72" i="359"/>
  <c r="P71" i="359"/>
  <c r="P70" i="359"/>
  <c r="O70" i="359"/>
  <c r="P69" i="359"/>
  <c r="O69" i="359"/>
  <c r="P66" i="359"/>
  <c r="O66" i="359"/>
  <c r="N66" i="359"/>
  <c r="M66" i="359"/>
  <c r="L66" i="359"/>
  <c r="K66" i="359"/>
  <c r="J66" i="359"/>
  <c r="I66" i="359"/>
  <c r="H66" i="359"/>
  <c r="P65" i="359"/>
  <c r="O65" i="359"/>
  <c r="P63" i="359"/>
  <c r="O63" i="359"/>
  <c r="P62" i="359"/>
  <c r="O62" i="359"/>
  <c r="P59" i="359"/>
  <c r="O59" i="359"/>
  <c r="N59" i="359"/>
  <c r="M59" i="359"/>
  <c r="L59" i="359"/>
  <c r="K59" i="359"/>
  <c r="J59" i="359"/>
  <c r="I59" i="359"/>
  <c r="H59" i="359"/>
  <c r="P58" i="359"/>
  <c r="O58" i="359"/>
  <c r="P57" i="359"/>
  <c r="O57" i="359"/>
  <c r="P55" i="359"/>
  <c r="O55" i="359"/>
  <c r="P54" i="359"/>
  <c r="O54" i="359"/>
  <c r="P47" i="359"/>
  <c r="O47" i="359"/>
  <c r="P46" i="359"/>
  <c r="O46" i="359"/>
  <c r="P43" i="359"/>
  <c r="O43" i="359"/>
  <c r="N43" i="359"/>
  <c r="M43" i="359"/>
  <c r="L43" i="359"/>
  <c r="K43" i="359"/>
  <c r="J43" i="359"/>
  <c r="H43" i="359"/>
  <c r="P42" i="359"/>
  <c r="O42" i="359"/>
  <c r="P41" i="359"/>
  <c r="O41" i="359"/>
  <c r="P38" i="359"/>
  <c r="O38" i="359"/>
  <c r="N38" i="359"/>
  <c r="M38" i="359"/>
  <c r="L38" i="359"/>
  <c r="K38" i="359"/>
  <c r="J38" i="359"/>
  <c r="H38" i="359"/>
  <c r="P37" i="359"/>
  <c r="O37" i="359"/>
  <c r="P36" i="359"/>
  <c r="O36" i="359"/>
  <c r="P33" i="359"/>
  <c r="P32" i="359"/>
  <c r="O32" i="359"/>
  <c r="P29" i="359"/>
  <c r="O29" i="359"/>
  <c r="N29" i="359"/>
  <c r="M29" i="359"/>
  <c r="L29" i="359"/>
  <c r="K29" i="359"/>
  <c r="J29" i="359"/>
  <c r="H29" i="359"/>
  <c r="P28" i="359"/>
  <c r="O28" i="359"/>
  <c r="P27" i="359"/>
  <c r="O27" i="359"/>
  <c r="P24" i="359"/>
  <c r="O24" i="359"/>
  <c r="P23" i="359"/>
  <c r="O23" i="359"/>
  <c r="P20" i="359"/>
  <c r="O20" i="359"/>
  <c r="N20" i="359"/>
  <c r="M20" i="359"/>
  <c r="L20" i="359"/>
  <c r="K20" i="359"/>
  <c r="J20" i="359"/>
  <c r="I20" i="359"/>
  <c r="H20" i="359"/>
  <c r="P19" i="359"/>
  <c r="O19" i="359"/>
  <c r="P16" i="359"/>
  <c r="O16" i="359"/>
  <c r="N16" i="359"/>
  <c r="M16" i="359"/>
  <c r="L16" i="359"/>
  <c r="K16" i="359"/>
  <c r="J16" i="359"/>
  <c r="H16" i="359"/>
  <c r="P15" i="359"/>
  <c r="O15" i="359"/>
  <c r="P14" i="359"/>
  <c r="M245" i="358"/>
  <c r="L245" i="358"/>
  <c r="K245" i="358"/>
  <c r="J245" i="358"/>
  <c r="I245" i="358"/>
  <c r="H245" i="358"/>
  <c r="G245" i="358"/>
  <c r="E245" i="358"/>
  <c r="C245" i="358"/>
  <c r="M243" i="358"/>
  <c r="L243" i="358"/>
  <c r="K243" i="358"/>
  <c r="J243" i="358"/>
  <c r="I243" i="358"/>
  <c r="H243" i="358"/>
  <c r="G243" i="358"/>
  <c r="E243" i="358"/>
  <c r="M242" i="358"/>
  <c r="L242" i="358"/>
  <c r="K242" i="358"/>
  <c r="J242" i="358"/>
  <c r="I242" i="358"/>
  <c r="H242" i="358"/>
  <c r="G242" i="358"/>
  <c r="E242" i="358"/>
  <c r="M241" i="358"/>
  <c r="L241" i="358"/>
  <c r="M240" i="358"/>
  <c r="L240" i="358"/>
  <c r="M239" i="358"/>
  <c r="L239" i="358"/>
  <c r="M238" i="358"/>
  <c r="M237" i="358"/>
  <c r="L237" i="358"/>
  <c r="M236" i="358"/>
  <c r="L236" i="358"/>
  <c r="M233" i="358"/>
  <c r="L233" i="358"/>
  <c r="K233" i="358"/>
  <c r="J233" i="358"/>
  <c r="I233" i="358"/>
  <c r="H233" i="358"/>
  <c r="G233" i="358"/>
  <c r="E233" i="358"/>
  <c r="M232" i="358"/>
  <c r="M231" i="358"/>
  <c r="M230" i="358"/>
  <c r="L230" i="358"/>
  <c r="M229" i="358"/>
  <c r="L229" i="358"/>
  <c r="M227" i="358"/>
  <c r="L227" i="358"/>
  <c r="M226" i="358"/>
  <c r="L226" i="358"/>
  <c r="M223" i="358"/>
  <c r="L223" i="358"/>
  <c r="K223" i="358"/>
  <c r="J223" i="358"/>
  <c r="I223" i="358"/>
  <c r="H223" i="358"/>
  <c r="G223" i="358"/>
  <c r="E223" i="358"/>
  <c r="M222" i="358"/>
  <c r="M221" i="358"/>
  <c r="L221" i="358"/>
  <c r="M220" i="358"/>
  <c r="L220" i="358"/>
  <c r="M219" i="358"/>
  <c r="L219" i="358"/>
  <c r="M217" i="358"/>
  <c r="L217" i="358"/>
  <c r="M216" i="358"/>
  <c r="L216" i="358"/>
  <c r="M215" i="358"/>
  <c r="L215" i="358"/>
  <c r="M214" i="358"/>
  <c r="L214" i="358"/>
  <c r="M211" i="358"/>
  <c r="L211" i="358"/>
  <c r="K211" i="358"/>
  <c r="J211" i="358"/>
  <c r="I211" i="358"/>
  <c r="H211" i="358"/>
  <c r="G211" i="358"/>
  <c r="E211" i="358"/>
  <c r="M210" i="358"/>
  <c r="M209" i="358"/>
  <c r="L209" i="358"/>
  <c r="M208" i="358"/>
  <c r="L208" i="358"/>
  <c r="M207" i="358"/>
  <c r="L207" i="358"/>
  <c r="M206" i="358"/>
  <c r="L206" i="358"/>
  <c r="M205" i="358"/>
  <c r="L205" i="358"/>
  <c r="M203" i="358"/>
  <c r="L203" i="358"/>
  <c r="M202" i="358"/>
  <c r="L202" i="358"/>
  <c r="M201" i="358"/>
  <c r="L201" i="358"/>
  <c r="M200" i="358"/>
  <c r="M199" i="358"/>
  <c r="L199" i="358"/>
  <c r="M198" i="358"/>
  <c r="L198" i="358"/>
  <c r="M197" i="358"/>
  <c r="L197" i="358"/>
  <c r="M193" i="358"/>
  <c r="L193" i="358"/>
  <c r="K193" i="358"/>
  <c r="J193" i="358"/>
  <c r="I193" i="358"/>
  <c r="H193" i="358"/>
  <c r="G193" i="358"/>
  <c r="E193" i="358"/>
  <c r="M190" i="358"/>
  <c r="L190" i="358"/>
  <c r="M189" i="358"/>
  <c r="L189" i="358"/>
  <c r="M188" i="358"/>
  <c r="L188" i="358"/>
  <c r="M185" i="358"/>
  <c r="L185" i="358"/>
  <c r="K185" i="358"/>
  <c r="J185" i="358"/>
  <c r="I185" i="358"/>
  <c r="H185" i="358"/>
  <c r="G185" i="358"/>
  <c r="E185" i="358"/>
  <c r="M184" i="358"/>
  <c r="L184" i="358"/>
  <c r="M183" i="358"/>
  <c r="L183" i="358"/>
  <c r="M182" i="358"/>
  <c r="L182" i="358"/>
  <c r="M181" i="358"/>
  <c r="L181" i="358"/>
  <c r="M180" i="358"/>
  <c r="L180" i="358"/>
  <c r="M173" i="358"/>
  <c r="L173" i="358"/>
  <c r="K173" i="358"/>
  <c r="J173" i="358"/>
  <c r="I173" i="358"/>
  <c r="H173" i="358"/>
  <c r="G173" i="358"/>
  <c r="F173" i="358"/>
  <c r="E173" i="358"/>
  <c r="M172" i="358"/>
  <c r="L172" i="358"/>
  <c r="M171" i="358"/>
  <c r="L171" i="358"/>
  <c r="M168" i="358"/>
  <c r="L168" i="358"/>
  <c r="K168" i="358"/>
  <c r="J168" i="358"/>
  <c r="I168" i="358"/>
  <c r="H168" i="358"/>
  <c r="G168" i="358"/>
  <c r="E168" i="358"/>
  <c r="M167" i="358"/>
  <c r="L167" i="358"/>
  <c r="M164" i="358"/>
  <c r="L164" i="358"/>
  <c r="K164" i="358"/>
  <c r="J164" i="358"/>
  <c r="I164" i="358"/>
  <c r="H164" i="358"/>
  <c r="G164" i="358"/>
  <c r="F164" i="358"/>
  <c r="E164" i="358"/>
  <c r="M163" i="358"/>
  <c r="L163" i="358"/>
  <c r="M162" i="358"/>
  <c r="L162" i="358"/>
  <c r="M161" i="358"/>
  <c r="L161" i="358"/>
  <c r="L158" i="358"/>
  <c r="K158" i="358"/>
  <c r="J158" i="358"/>
  <c r="I158" i="358"/>
  <c r="H158" i="358"/>
  <c r="G158" i="358"/>
  <c r="F158" i="358"/>
  <c r="E158" i="358"/>
  <c r="M157" i="358"/>
  <c r="L157" i="358"/>
  <c r="M154" i="358"/>
  <c r="L154" i="358"/>
  <c r="K154" i="358"/>
  <c r="J154" i="358"/>
  <c r="I154" i="358"/>
  <c r="H154" i="358"/>
  <c r="G154" i="358"/>
  <c r="E154" i="358"/>
  <c r="M153" i="358"/>
  <c r="L153" i="358"/>
  <c r="M152" i="358"/>
  <c r="L152" i="358"/>
  <c r="M149" i="358"/>
  <c r="L149" i="358"/>
  <c r="K149" i="358"/>
  <c r="J149" i="358"/>
  <c r="I149" i="358"/>
  <c r="H149" i="358"/>
  <c r="G149" i="358"/>
  <c r="E149" i="358"/>
  <c r="M148" i="358"/>
  <c r="L148" i="358"/>
  <c r="M147" i="358"/>
  <c r="L147" i="358"/>
  <c r="M146" i="358"/>
  <c r="L146" i="358"/>
  <c r="M145" i="358"/>
  <c r="L145" i="358"/>
  <c r="M142" i="358"/>
  <c r="L142" i="358"/>
  <c r="K142" i="358"/>
  <c r="J142" i="358"/>
  <c r="I142" i="358"/>
  <c r="H142" i="358"/>
  <c r="G142" i="358"/>
  <c r="E142" i="358"/>
  <c r="M141" i="358"/>
  <c r="L141" i="358"/>
  <c r="M140" i="358"/>
  <c r="L140" i="358"/>
  <c r="M139" i="358"/>
  <c r="L139" i="358"/>
  <c r="M138" i="358"/>
  <c r="M137" i="358"/>
  <c r="L137" i="358"/>
  <c r="M134" i="358"/>
  <c r="L134" i="358"/>
  <c r="K134" i="358"/>
  <c r="J134" i="358"/>
  <c r="I134" i="358"/>
  <c r="H134" i="358"/>
  <c r="G134" i="358"/>
  <c r="F134" i="358"/>
  <c r="E134" i="358"/>
  <c r="M133" i="358"/>
  <c r="L133" i="358"/>
  <c r="M130" i="358"/>
  <c r="L130" i="358"/>
  <c r="K130" i="358"/>
  <c r="J130" i="358"/>
  <c r="I130" i="358"/>
  <c r="H130" i="358"/>
  <c r="G130" i="358"/>
  <c r="E130" i="358"/>
  <c r="M129" i="358"/>
  <c r="L129" i="358"/>
  <c r="M126" i="358"/>
  <c r="L126" i="358"/>
  <c r="K126" i="358"/>
  <c r="J126" i="358"/>
  <c r="I126" i="358"/>
  <c r="H126" i="358"/>
  <c r="G126" i="358"/>
  <c r="F126" i="358"/>
  <c r="E126" i="358"/>
  <c r="M125" i="358"/>
  <c r="L125" i="358"/>
  <c r="M124" i="358"/>
  <c r="M123" i="358"/>
  <c r="L123" i="358"/>
  <c r="M122" i="358"/>
  <c r="L122" i="358"/>
  <c r="M121" i="358"/>
  <c r="L121" i="358"/>
  <c r="M118" i="358"/>
  <c r="L118" i="358"/>
  <c r="K118" i="358"/>
  <c r="J118" i="358"/>
  <c r="I118" i="358"/>
  <c r="H118" i="358"/>
  <c r="G118" i="358"/>
  <c r="E118" i="358"/>
  <c r="M117" i="358"/>
  <c r="L117" i="358"/>
  <c r="M114" i="358"/>
  <c r="L114" i="358"/>
  <c r="K114" i="358"/>
  <c r="J114" i="358"/>
  <c r="I114" i="358"/>
  <c r="H114" i="358"/>
  <c r="G114" i="358"/>
  <c r="E114" i="358"/>
  <c r="M113" i="358"/>
  <c r="L113" i="358"/>
  <c r="M112" i="358"/>
  <c r="L112" i="358"/>
  <c r="M111" i="358"/>
  <c r="L111" i="358"/>
  <c r="M108" i="358"/>
  <c r="L108" i="358"/>
  <c r="K108" i="358"/>
  <c r="J108" i="358"/>
  <c r="I108" i="358"/>
  <c r="H108" i="358"/>
  <c r="G108" i="358"/>
  <c r="E108" i="358"/>
  <c r="M106" i="358"/>
  <c r="L106" i="358"/>
  <c r="M103" i="358"/>
  <c r="L103" i="358"/>
  <c r="K103" i="358"/>
  <c r="J103" i="358"/>
  <c r="I103" i="358"/>
  <c r="H103" i="358"/>
  <c r="G103" i="358"/>
  <c r="E103" i="358"/>
  <c r="M102" i="358"/>
  <c r="L102" i="358"/>
  <c r="M101" i="358"/>
  <c r="L101" i="358"/>
  <c r="M98" i="358"/>
  <c r="L98" i="358"/>
  <c r="K98" i="358"/>
  <c r="J98" i="358"/>
  <c r="I98" i="358"/>
  <c r="H98" i="358"/>
  <c r="G98" i="358"/>
  <c r="F98" i="358"/>
  <c r="E98" i="358"/>
  <c r="M97" i="358"/>
  <c r="L97" i="358"/>
  <c r="M94" i="358"/>
  <c r="L94" i="358"/>
  <c r="K94" i="358"/>
  <c r="J94" i="358"/>
  <c r="I94" i="358"/>
  <c r="H94" i="358"/>
  <c r="G94" i="358"/>
  <c r="E94" i="358"/>
  <c r="M93" i="358"/>
  <c r="L93" i="358"/>
  <c r="M92" i="358"/>
  <c r="L92" i="358"/>
  <c r="M91" i="358"/>
  <c r="L91" i="358"/>
  <c r="M90" i="358"/>
  <c r="L90" i="358"/>
  <c r="M89" i="358"/>
  <c r="L89" i="358"/>
  <c r="M88" i="358"/>
  <c r="L88" i="358"/>
  <c r="M87" i="358"/>
  <c r="L87" i="358"/>
  <c r="M86" i="358"/>
  <c r="L86" i="358"/>
  <c r="M85" i="358"/>
  <c r="L85" i="358"/>
  <c r="M84" i="358"/>
  <c r="L84" i="358"/>
  <c r="M81" i="358"/>
  <c r="L81" i="358"/>
  <c r="K81" i="358"/>
  <c r="J81" i="358"/>
  <c r="I81" i="358"/>
  <c r="H81" i="358"/>
  <c r="G81" i="358"/>
  <c r="E81" i="358"/>
  <c r="M80" i="358"/>
  <c r="L80" i="358"/>
  <c r="M79" i="358"/>
  <c r="L79" i="358"/>
  <c r="M78" i="358"/>
  <c r="L78" i="358"/>
  <c r="M77" i="358"/>
  <c r="L77" i="358"/>
  <c r="M76" i="358"/>
  <c r="L76" i="358"/>
  <c r="M75" i="358"/>
  <c r="L75" i="358"/>
  <c r="M74" i="358"/>
  <c r="L74" i="358"/>
  <c r="M73" i="358"/>
  <c r="L73" i="358"/>
  <c r="M72" i="358"/>
  <c r="L72" i="358"/>
  <c r="M71" i="358"/>
  <c r="L71" i="358"/>
  <c r="M70" i="358"/>
  <c r="L70" i="358"/>
  <c r="M69" i="358"/>
  <c r="L69" i="358"/>
  <c r="M68" i="358"/>
  <c r="L68" i="358"/>
  <c r="M67" i="358"/>
  <c r="L67" i="358"/>
  <c r="M66" i="358"/>
  <c r="L66" i="358"/>
  <c r="M63" i="358"/>
  <c r="L63" i="358"/>
  <c r="K63" i="358"/>
  <c r="J63" i="358"/>
  <c r="I63" i="358"/>
  <c r="H63" i="358"/>
  <c r="G63" i="358"/>
  <c r="E63" i="358"/>
  <c r="M62" i="358"/>
  <c r="L62" i="358"/>
  <c r="M61" i="358"/>
  <c r="L61" i="358"/>
  <c r="M60" i="358"/>
  <c r="L60" i="358"/>
  <c r="M57" i="358"/>
  <c r="L57" i="358"/>
  <c r="K57" i="358"/>
  <c r="J57" i="358"/>
  <c r="I57" i="358"/>
  <c r="H57" i="358"/>
  <c r="G57" i="358"/>
  <c r="E57" i="358"/>
  <c r="M56" i="358"/>
  <c r="L56" i="358"/>
  <c r="M55" i="358"/>
  <c r="L55" i="358"/>
  <c r="M54" i="358"/>
  <c r="L54" i="358"/>
  <c r="M53" i="358"/>
  <c r="L53" i="358"/>
  <c r="M52" i="358"/>
  <c r="L52" i="358"/>
  <c r="M51" i="358"/>
  <c r="L51" i="358"/>
  <c r="M48" i="358"/>
  <c r="L48" i="358"/>
  <c r="K48" i="358"/>
  <c r="J48" i="358"/>
  <c r="I48" i="358"/>
  <c r="H48" i="358"/>
  <c r="G48" i="358"/>
  <c r="F48" i="358"/>
  <c r="E48" i="358"/>
  <c r="M47" i="358"/>
  <c r="L47" i="358"/>
  <c r="M46" i="358"/>
  <c r="L46" i="358"/>
  <c r="M43" i="358"/>
  <c r="L43" i="358"/>
  <c r="K43" i="358"/>
  <c r="J43" i="358"/>
  <c r="I43" i="358"/>
  <c r="H43" i="358"/>
  <c r="F43" i="358"/>
  <c r="E43" i="358"/>
  <c r="M42" i="358"/>
  <c r="L42" i="358"/>
  <c r="M39" i="358"/>
  <c r="L39" i="358"/>
  <c r="K39" i="358"/>
  <c r="J39" i="358"/>
  <c r="I39" i="358"/>
  <c r="H39" i="358"/>
  <c r="G39" i="358"/>
  <c r="E39" i="358"/>
  <c r="M38" i="358"/>
  <c r="L38" i="358"/>
  <c r="M37" i="358"/>
  <c r="L37" i="358"/>
  <c r="M36" i="358"/>
  <c r="L36" i="358"/>
  <c r="M35" i="358"/>
  <c r="L35" i="358"/>
  <c r="M32" i="358"/>
  <c r="L32" i="358"/>
  <c r="K32" i="358"/>
  <c r="J32" i="358"/>
  <c r="I32" i="358"/>
  <c r="H32" i="358"/>
  <c r="G32" i="358"/>
  <c r="E32" i="358"/>
  <c r="M31" i="358"/>
  <c r="L31" i="358"/>
  <c r="M30" i="358"/>
  <c r="L30" i="358"/>
  <c r="M29" i="358"/>
  <c r="L29" i="358"/>
  <c r="M28" i="358"/>
  <c r="L28" i="358"/>
  <c r="M25" i="358"/>
  <c r="L25" i="358"/>
  <c r="K25" i="358"/>
  <c r="J25" i="358"/>
  <c r="I25" i="358"/>
  <c r="H25" i="358"/>
  <c r="G25" i="358"/>
  <c r="F25" i="358"/>
  <c r="E25" i="358"/>
  <c r="M24" i="358"/>
  <c r="L24" i="358"/>
  <c r="M23" i="358"/>
  <c r="L23" i="358"/>
  <c r="M22" i="358"/>
  <c r="L22" i="358"/>
  <c r="M21" i="358"/>
  <c r="L21" i="358"/>
  <c r="M20" i="358"/>
  <c r="L20" i="358"/>
  <c r="M47" i="356"/>
  <c r="L47" i="356"/>
  <c r="K47" i="356"/>
  <c r="J47" i="356"/>
  <c r="I47" i="356"/>
  <c r="H47" i="356"/>
  <c r="G47" i="356"/>
  <c r="F47" i="356"/>
  <c r="E47" i="356"/>
  <c r="C47" i="356"/>
  <c r="M45" i="356"/>
  <c r="L45" i="356"/>
  <c r="K45" i="356"/>
  <c r="J45" i="356"/>
  <c r="I45" i="356"/>
  <c r="H45" i="356"/>
  <c r="G45" i="356"/>
  <c r="F45" i="356"/>
  <c r="E45" i="356"/>
  <c r="L44" i="356"/>
  <c r="M40" i="356"/>
  <c r="L40" i="356"/>
  <c r="K40" i="356"/>
  <c r="J40" i="356"/>
  <c r="I40" i="356"/>
  <c r="H40" i="356"/>
  <c r="G40" i="356"/>
  <c r="F40" i="356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M16" i="356"/>
  <c r="M41" i="355"/>
  <c r="L41" i="355"/>
  <c r="J41" i="355"/>
  <c r="I41" i="355"/>
  <c r="H41" i="355"/>
  <c r="G41" i="355"/>
  <c r="E41" i="355"/>
  <c r="D41" i="355"/>
  <c r="M39" i="355"/>
  <c r="M38" i="355"/>
  <c r="M32" i="355"/>
  <c r="L32" i="355"/>
  <c r="M31" i="355"/>
  <c r="L31" i="355"/>
  <c r="M28" i="355"/>
  <c r="L28" i="355"/>
  <c r="M27" i="355"/>
  <c r="L27" i="355"/>
  <c r="M24" i="355"/>
  <c r="L24" i="355"/>
  <c r="K24" i="355"/>
  <c r="J24" i="355"/>
  <c r="I24" i="355"/>
  <c r="H24" i="355"/>
  <c r="G24" i="355"/>
  <c r="E24" i="355"/>
  <c r="M23" i="355"/>
  <c r="L23" i="355"/>
  <c r="M20" i="355"/>
  <c r="L20" i="355"/>
  <c r="K20" i="355"/>
  <c r="J20" i="355"/>
  <c r="I20" i="355"/>
  <c r="H20" i="355"/>
  <c r="G20" i="355"/>
  <c r="F20" i="355"/>
  <c r="E20" i="355"/>
  <c r="M19" i="355"/>
  <c r="L19" i="355"/>
  <c r="M16" i="355"/>
  <c r="L16" i="355"/>
  <c r="K16" i="355"/>
  <c r="J16" i="355"/>
  <c r="I16" i="355"/>
  <c r="H16" i="355"/>
  <c r="G16" i="355"/>
  <c r="F16" i="355"/>
  <c r="E16" i="355"/>
  <c r="M15" i="355"/>
  <c r="L15" i="355"/>
  <c r="M22" i="354"/>
  <c r="L22" i="354"/>
  <c r="J22" i="354"/>
  <c r="I22" i="354"/>
  <c r="H22" i="354"/>
  <c r="G22" i="354"/>
  <c r="E22" i="354"/>
  <c r="D22" i="354"/>
  <c r="M19" i="354"/>
  <c r="L19" i="354"/>
  <c r="J19" i="354"/>
  <c r="I19" i="354"/>
  <c r="H19" i="354"/>
  <c r="G19" i="354"/>
  <c r="E19" i="354"/>
  <c r="M18" i="354"/>
  <c r="L18" i="354"/>
  <c r="M15" i="354"/>
  <c r="L15" i="354"/>
  <c r="J15" i="354"/>
  <c r="I15" i="354"/>
  <c r="H15" i="354"/>
  <c r="G15" i="354"/>
  <c r="E15" i="354"/>
  <c r="M14" i="354"/>
  <c r="L14" i="354"/>
  <c r="P174" i="357"/>
  <c r="O174" i="357"/>
  <c r="N174" i="357"/>
  <c r="M174" i="357"/>
  <c r="L174" i="357"/>
  <c r="K174" i="357"/>
  <c r="J174" i="357"/>
  <c r="H174" i="357"/>
  <c r="D174" i="357"/>
  <c r="P172" i="357"/>
  <c r="O172" i="357"/>
  <c r="N172" i="357"/>
  <c r="M172" i="357"/>
  <c r="L172" i="357"/>
  <c r="K172" i="357"/>
  <c r="J172" i="357"/>
  <c r="H172" i="357"/>
  <c r="P171" i="357"/>
  <c r="O171" i="357"/>
  <c r="N171" i="357"/>
  <c r="M171" i="357"/>
  <c r="L171" i="357"/>
  <c r="K171" i="357"/>
  <c r="J171" i="357"/>
  <c r="H171" i="357"/>
  <c r="P170" i="357"/>
  <c r="O170" i="357"/>
  <c r="P169" i="357"/>
  <c r="O169" i="357"/>
  <c r="P168" i="357"/>
  <c r="O168" i="357"/>
  <c r="P167" i="357"/>
  <c r="O167" i="357"/>
  <c r="P166" i="357"/>
  <c r="O166" i="357"/>
  <c r="P165" i="357"/>
  <c r="O165" i="357"/>
  <c r="P164" i="357"/>
  <c r="O164" i="357"/>
  <c r="P163" i="357"/>
  <c r="O163" i="357"/>
  <c r="P160" i="357"/>
  <c r="O160" i="357"/>
  <c r="N160" i="357"/>
  <c r="M160" i="357"/>
  <c r="L160" i="357"/>
  <c r="K160" i="357"/>
  <c r="J160" i="357"/>
  <c r="H160" i="357"/>
  <c r="P159" i="357"/>
  <c r="O159" i="357"/>
  <c r="P158" i="357"/>
  <c r="O158" i="357"/>
  <c r="P157" i="357"/>
  <c r="O157" i="357"/>
  <c r="P156" i="357"/>
  <c r="O156" i="357"/>
  <c r="P155" i="357"/>
  <c r="O155" i="357"/>
  <c r="P154" i="357"/>
  <c r="O154" i="357"/>
  <c r="P153" i="357"/>
  <c r="O153" i="357"/>
  <c r="P152" i="357"/>
  <c r="O152" i="357"/>
  <c r="P151" i="357"/>
  <c r="O151" i="357"/>
  <c r="P148" i="357"/>
  <c r="O148" i="357"/>
  <c r="N148" i="357"/>
  <c r="M148" i="357"/>
  <c r="L148" i="357"/>
  <c r="K148" i="357"/>
  <c r="J148" i="357"/>
  <c r="H148" i="357"/>
  <c r="P147" i="357"/>
  <c r="O147" i="357"/>
  <c r="P146" i="357"/>
  <c r="O146" i="357"/>
  <c r="P145" i="357"/>
  <c r="O145" i="357"/>
  <c r="P144" i="357"/>
  <c r="O144" i="357"/>
  <c r="P143" i="357"/>
  <c r="O143" i="357"/>
  <c r="P142" i="357"/>
  <c r="O142" i="357"/>
  <c r="P141" i="357"/>
  <c r="O141" i="357"/>
  <c r="P138" i="357"/>
  <c r="O138" i="357"/>
  <c r="N138" i="357"/>
  <c r="M138" i="357"/>
  <c r="L138" i="357"/>
  <c r="K138" i="357"/>
  <c r="J138" i="357"/>
  <c r="H138" i="357"/>
  <c r="P137" i="357"/>
  <c r="O137" i="357"/>
  <c r="P136" i="357"/>
  <c r="O136" i="357"/>
  <c r="P135" i="357"/>
  <c r="O135" i="357"/>
  <c r="P134" i="357"/>
  <c r="O134" i="357"/>
  <c r="P133" i="357"/>
  <c r="O133" i="357"/>
  <c r="P132" i="357"/>
  <c r="O132" i="357"/>
  <c r="P131" i="357"/>
  <c r="O131" i="357"/>
  <c r="P130" i="357"/>
  <c r="O130" i="357"/>
  <c r="P129" i="357"/>
  <c r="O129" i="357"/>
  <c r="P128" i="357"/>
  <c r="O128" i="357"/>
  <c r="P124" i="357"/>
  <c r="O124" i="357"/>
  <c r="N124" i="357"/>
  <c r="M124" i="357"/>
  <c r="L124" i="357"/>
  <c r="K124" i="357"/>
  <c r="J124" i="357"/>
  <c r="H124" i="357"/>
  <c r="P123" i="357"/>
  <c r="O123" i="357"/>
  <c r="P120" i="357"/>
  <c r="O120" i="357"/>
  <c r="N120" i="357"/>
  <c r="M120" i="357"/>
  <c r="L120" i="357"/>
  <c r="K120" i="357"/>
  <c r="J120" i="357"/>
  <c r="I120" i="357"/>
  <c r="H120" i="357"/>
  <c r="P119" i="357"/>
  <c r="O119" i="357"/>
  <c r="P118" i="357"/>
  <c r="O118" i="357"/>
  <c r="P117" i="357"/>
  <c r="O117" i="357"/>
  <c r="P116" i="357"/>
  <c r="O116" i="357"/>
  <c r="P115" i="357"/>
  <c r="O115" i="357"/>
  <c r="P114" i="357"/>
  <c r="O114" i="357"/>
  <c r="P113" i="357"/>
  <c r="O113" i="357"/>
  <c r="P110" i="357"/>
  <c r="O110" i="357"/>
  <c r="N110" i="357"/>
  <c r="P109" i="357"/>
  <c r="O109" i="357"/>
  <c r="P106" i="357"/>
  <c r="O106" i="357"/>
  <c r="N106" i="357"/>
  <c r="M106" i="357"/>
  <c r="L106" i="357"/>
  <c r="K106" i="357"/>
  <c r="J106" i="357"/>
  <c r="I106" i="357"/>
  <c r="H106" i="357"/>
  <c r="P105" i="357"/>
  <c r="O105" i="357"/>
  <c r="P104" i="357"/>
  <c r="O104" i="357"/>
  <c r="P103" i="357"/>
  <c r="O103" i="357"/>
  <c r="P100" i="357"/>
  <c r="O100" i="357"/>
  <c r="N100" i="357"/>
  <c r="M100" i="357"/>
  <c r="L100" i="357"/>
  <c r="K100" i="357"/>
  <c r="J100" i="357"/>
  <c r="I100" i="357"/>
  <c r="H100" i="357"/>
  <c r="P99" i="357"/>
  <c r="O99" i="357"/>
  <c r="P96" i="357"/>
  <c r="O96" i="357"/>
  <c r="N96" i="357"/>
  <c r="M96" i="357"/>
  <c r="L96" i="357"/>
  <c r="K96" i="357"/>
  <c r="J96" i="357"/>
  <c r="H96" i="357"/>
  <c r="P95" i="357"/>
  <c r="O95" i="357"/>
  <c r="P94" i="357"/>
  <c r="O94" i="357"/>
  <c r="P93" i="357"/>
  <c r="O93" i="357"/>
  <c r="P92" i="357"/>
  <c r="O92" i="357"/>
  <c r="P91" i="357"/>
  <c r="O91" i="357"/>
  <c r="P90" i="357"/>
  <c r="P87" i="357"/>
  <c r="O87" i="357"/>
  <c r="N87" i="357"/>
  <c r="M87" i="357"/>
  <c r="L87" i="357"/>
  <c r="K87" i="357"/>
  <c r="J87" i="357"/>
  <c r="H87" i="357"/>
  <c r="P85" i="357"/>
  <c r="O85" i="357"/>
  <c r="P84" i="357"/>
  <c r="O84" i="357"/>
  <c r="P83" i="357"/>
  <c r="O83" i="357"/>
  <c r="P82" i="357"/>
  <c r="O82" i="357"/>
  <c r="P81" i="357"/>
  <c r="O81" i="357"/>
  <c r="P80" i="357"/>
  <c r="O80" i="357"/>
  <c r="P77" i="357"/>
  <c r="O77" i="357"/>
  <c r="P76" i="357"/>
  <c r="O76" i="357"/>
  <c r="P73" i="357"/>
  <c r="O73" i="357"/>
  <c r="N73" i="357"/>
  <c r="M73" i="357"/>
  <c r="L73" i="357"/>
  <c r="K73" i="357"/>
  <c r="J73" i="357"/>
  <c r="H73" i="357"/>
  <c r="P72" i="357"/>
  <c r="O72" i="357"/>
  <c r="P71" i="357"/>
  <c r="P70" i="357"/>
  <c r="O70" i="357"/>
  <c r="P69" i="357"/>
  <c r="O69" i="357"/>
  <c r="P66" i="357"/>
  <c r="O66" i="357"/>
  <c r="N66" i="357"/>
  <c r="M66" i="357"/>
  <c r="L66" i="357"/>
  <c r="K66" i="357"/>
  <c r="J66" i="357"/>
  <c r="I66" i="357"/>
  <c r="H66" i="357"/>
  <c r="P65" i="357"/>
  <c r="O65" i="357"/>
  <c r="P63" i="357"/>
  <c r="O63" i="357"/>
  <c r="P62" i="357"/>
  <c r="O62" i="357"/>
  <c r="P59" i="357"/>
  <c r="O59" i="357"/>
  <c r="N59" i="357"/>
  <c r="M59" i="357"/>
  <c r="L59" i="357"/>
  <c r="K59" i="357"/>
  <c r="J59" i="357"/>
  <c r="I59" i="357"/>
  <c r="H59" i="357"/>
  <c r="P58" i="357"/>
  <c r="O58" i="357"/>
  <c r="P57" i="357"/>
  <c r="O57" i="357"/>
  <c r="P55" i="357"/>
  <c r="O55" i="357"/>
  <c r="P54" i="357"/>
  <c r="O54" i="357"/>
  <c r="P47" i="357"/>
  <c r="O47" i="357"/>
  <c r="P46" i="357"/>
  <c r="O46" i="357"/>
  <c r="P43" i="357"/>
  <c r="O43" i="357"/>
  <c r="N43" i="357"/>
  <c r="M43" i="357"/>
  <c r="L43" i="357"/>
  <c r="K43" i="357"/>
  <c r="J43" i="357"/>
  <c r="H43" i="357"/>
  <c r="P42" i="357"/>
  <c r="O42" i="357"/>
  <c r="P41" i="357"/>
  <c r="O41" i="357"/>
  <c r="P38" i="357"/>
  <c r="O38" i="357"/>
  <c r="N38" i="357"/>
  <c r="M38" i="357"/>
  <c r="L38" i="357"/>
  <c r="K38" i="357"/>
  <c r="J38" i="357"/>
  <c r="H38" i="357"/>
  <c r="P37" i="357"/>
  <c r="O37" i="357"/>
  <c r="P36" i="357"/>
  <c r="O36" i="357"/>
  <c r="P33" i="357"/>
  <c r="P32" i="357"/>
  <c r="O32" i="357"/>
  <c r="P29" i="357"/>
  <c r="O29" i="357"/>
  <c r="N29" i="357"/>
  <c r="M29" i="357"/>
  <c r="L29" i="357"/>
  <c r="K29" i="357"/>
  <c r="J29" i="357"/>
  <c r="H29" i="357"/>
  <c r="P28" i="357"/>
  <c r="O28" i="357"/>
  <c r="P27" i="357"/>
  <c r="O27" i="357"/>
  <c r="P24" i="357"/>
  <c r="O24" i="357"/>
  <c r="P23" i="357"/>
  <c r="O23" i="357"/>
  <c r="P20" i="357"/>
  <c r="O20" i="357"/>
  <c r="N20" i="357"/>
  <c r="M20" i="357"/>
  <c r="L20" i="357"/>
  <c r="K20" i="357"/>
  <c r="J20" i="357"/>
  <c r="I20" i="357"/>
  <c r="H20" i="357"/>
  <c r="P19" i="357"/>
  <c r="O19" i="357"/>
  <c r="P16" i="357"/>
  <c r="O16" i="357"/>
  <c r="N16" i="357"/>
  <c r="M16" i="357"/>
  <c r="L16" i="357"/>
  <c r="K16" i="357"/>
  <c r="J16" i="357"/>
  <c r="H16" i="357"/>
  <c r="P15" i="357"/>
  <c r="O15" i="357"/>
  <c r="P14" i="357"/>
  <c r="M245" i="352"/>
  <c r="L245" i="352"/>
  <c r="K245" i="352"/>
  <c r="J245" i="352"/>
  <c r="I245" i="352"/>
  <c r="H245" i="352"/>
  <c r="G245" i="352"/>
  <c r="E245" i="352"/>
  <c r="C245" i="352"/>
  <c r="M243" i="352"/>
  <c r="L243" i="352"/>
  <c r="K243" i="352"/>
  <c r="J243" i="352"/>
  <c r="I243" i="352"/>
  <c r="H243" i="352"/>
  <c r="G243" i="352"/>
  <c r="E243" i="352"/>
  <c r="M242" i="352"/>
  <c r="L242" i="352"/>
  <c r="K242" i="352"/>
  <c r="J242" i="352"/>
  <c r="I242" i="352"/>
  <c r="H242" i="352"/>
  <c r="G242" i="352"/>
  <c r="E242" i="352"/>
  <c r="M241" i="352"/>
  <c r="L241" i="352"/>
  <c r="M240" i="352"/>
  <c r="L240" i="352"/>
  <c r="M239" i="352"/>
  <c r="L239" i="352"/>
  <c r="M238" i="352"/>
  <c r="M237" i="352"/>
  <c r="L237" i="352"/>
  <c r="M236" i="352"/>
  <c r="L236" i="352"/>
  <c r="M233" i="352"/>
  <c r="L233" i="352"/>
  <c r="K233" i="352"/>
  <c r="J233" i="352"/>
  <c r="I233" i="352"/>
  <c r="H233" i="352"/>
  <c r="G233" i="352"/>
  <c r="E233" i="352"/>
  <c r="M232" i="352"/>
  <c r="M231" i="352"/>
  <c r="M230" i="352"/>
  <c r="L230" i="352"/>
  <c r="M229" i="352"/>
  <c r="L229" i="352"/>
  <c r="M227" i="352"/>
  <c r="L227" i="352"/>
  <c r="M226" i="352"/>
  <c r="L226" i="352"/>
  <c r="M223" i="352"/>
  <c r="L223" i="352"/>
  <c r="K223" i="352"/>
  <c r="J223" i="352"/>
  <c r="I223" i="352"/>
  <c r="H223" i="352"/>
  <c r="G223" i="352"/>
  <c r="E223" i="352"/>
  <c r="M222" i="352"/>
  <c r="M221" i="352"/>
  <c r="L221" i="352"/>
  <c r="M220" i="352"/>
  <c r="L220" i="352"/>
  <c r="M219" i="352"/>
  <c r="L219" i="352"/>
  <c r="M217" i="352"/>
  <c r="L217" i="352"/>
  <c r="M216" i="352"/>
  <c r="L216" i="352"/>
  <c r="M215" i="352"/>
  <c r="L215" i="352"/>
  <c r="M214" i="352"/>
  <c r="L214" i="352"/>
  <c r="M211" i="352"/>
  <c r="L211" i="352"/>
  <c r="K211" i="352"/>
  <c r="J211" i="352"/>
  <c r="I211" i="352"/>
  <c r="H211" i="352"/>
  <c r="G211" i="352"/>
  <c r="E211" i="352"/>
  <c r="M210" i="352"/>
  <c r="M209" i="352"/>
  <c r="L209" i="352"/>
  <c r="M208" i="352"/>
  <c r="L208" i="352"/>
  <c r="M207" i="352"/>
  <c r="L207" i="352"/>
  <c r="M206" i="352"/>
  <c r="L206" i="352"/>
  <c r="M205" i="352"/>
  <c r="L205" i="352"/>
  <c r="M203" i="352"/>
  <c r="L203" i="352"/>
  <c r="M202" i="352"/>
  <c r="L202" i="352"/>
  <c r="M201" i="352"/>
  <c r="L201" i="352"/>
  <c r="M200" i="352"/>
  <c r="M199" i="352"/>
  <c r="L199" i="352"/>
  <c r="M198" i="352"/>
  <c r="L198" i="352"/>
  <c r="M197" i="352"/>
  <c r="L197" i="352"/>
  <c r="M193" i="352"/>
  <c r="L193" i="352"/>
  <c r="K193" i="352"/>
  <c r="J193" i="352"/>
  <c r="I193" i="352"/>
  <c r="H193" i="352"/>
  <c r="G193" i="352"/>
  <c r="E193" i="352"/>
  <c r="M190" i="352"/>
  <c r="L190" i="352"/>
  <c r="M189" i="352"/>
  <c r="L189" i="352"/>
  <c r="M188" i="352"/>
  <c r="L188" i="352"/>
  <c r="M185" i="352"/>
  <c r="L185" i="352"/>
  <c r="K185" i="352"/>
  <c r="J185" i="352"/>
  <c r="I185" i="352"/>
  <c r="H185" i="352"/>
  <c r="G185" i="352"/>
  <c r="E185" i="352"/>
  <c r="M184" i="352"/>
  <c r="L184" i="352"/>
  <c r="M183" i="352"/>
  <c r="L183" i="352"/>
  <c r="M182" i="352"/>
  <c r="L182" i="352"/>
  <c r="M181" i="352"/>
  <c r="L181" i="352"/>
  <c r="M180" i="352"/>
  <c r="L180" i="352"/>
  <c r="M173" i="352"/>
  <c r="L173" i="352"/>
  <c r="K173" i="352"/>
  <c r="J173" i="352"/>
  <c r="I173" i="352"/>
  <c r="H173" i="352"/>
  <c r="G173" i="352"/>
  <c r="F173" i="352"/>
  <c r="E173" i="352"/>
  <c r="M172" i="352"/>
  <c r="L172" i="352"/>
  <c r="M171" i="352"/>
  <c r="L171" i="352"/>
  <c r="M168" i="352"/>
  <c r="L168" i="352"/>
  <c r="K168" i="352"/>
  <c r="J168" i="352"/>
  <c r="I168" i="352"/>
  <c r="H168" i="352"/>
  <c r="G168" i="352"/>
  <c r="E168" i="352"/>
  <c r="M167" i="352"/>
  <c r="L167" i="352"/>
  <c r="M164" i="352"/>
  <c r="L164" i="352"/>
  <c r="K164" i="352"/>
  <c r="J164" i="352"/>
  <c r="I164" i="352"/>
  <c r="H164" i="352"/>
  <c r="G164" i="352"/>
  <c r="F164" i="352"/>
  <c r="E164" i="352"/>
  <c r="M163" i="352"/>
  <c r="L163" i="352"/>
  <c r="M162" i="352"/>
  <c r="L162" i="352"/>
  <c r="M161" i="352"/>
  <c r="L161" i="352"/>
  <c r="L158" i="352"/>
  <c r="K158" i="352"/>
  <c r="J158" i="352"/>
  <c r="I158" i="352"/>
  <c r="H158" i="352"/>
  <c r="G158" i="352"/>
  <c r="F158" i="352"/>
  <c r="E158" i="352"/>
  <c r="M157" i="352"/>
  <c r="L157" i="352"/>
  <c r="M154" i="352"/>
  <c r="L154" i="352"/>
  <c r="K154" i="352"/>
  <c r="J154" i="352"/>
  <c r="I154" i="352"/>
  <c r="H154" i="352"/>
  <c r="G154" i="352"/>
  <c r="E154" i="352"/>
  <c r="M153" i="352"/>
  <c r="L153" i="352"/>
  <c r="M152" i="352"/>
  <c r="L152" i="352"/>
  <c r="M149" i="352"/>
  <c r="L149" i="352"/>
  <c r="K149" i="352"/>
  <c r="J149" i="352"/>
  <c r="I149" i="352"/>
  <c r="H149" i="352"/>
  <c r="G149" i="352"/>
  <c r="E149" i="352"/>
  <c r="M148" i="352"/>
  <c r="L148" i="352"/>
  <c r="M147" i="352"/>
  <c r="L147" i="352"/>
  <c r="M146" i="352"/>
  <c r="L146" i="352"/>
  <c r="M145" i="352"/>
  <c r="L145" i="352"/>
  <c r="M142" i="352"/>
  <c r="L142" i="352"/>
  <c r="K142" i="352"/>
  <c r="J142" i="352"/>
  <c r="I142" i="352"/>
  <c r="H142" i="352"/>
  <c r="G142" i="352"/>
  <c r="E142" i="352"/>
  <c r="M141" i="352"/>
  <c r="L141" i="352"/>
  <c r="M140" i="352"/>
  <c r="L140" i="352"/>
  <c r="M139" i="352"/>
  <c r="L139" i="352"/>
  <c r="M138" i="352"/>
  <c r="M137" i="352"/>
  <c r="L137" i="352"/>
  <c r="M134" i="352"/>
  <c r="L134" i="352"/>
  <c r="K134" i="352"/>
  <c r="J134" i="352"/>
  <c r="I134" i="352"/>
  <c r="H134" i="352"/>
  <c r="G134" i="352"/>
  <c r="F134" i="352"/>
  <c r="E134" i="352"/>
  <c r="M133" i="352"/>
  <c r="L133" i="352"/>
  <c r="M130" i="352"/>
  <c r="L130" i="352"/>
  <c r="K130" i="352"/>
  <c r="J130" i="352"/>
  <c r="I130" i="352"/>
  <c r="H130" i="352"/>
  <c r="G130" i="352"/>
  <c r="E130" i="352"/>
  <c r="M129" i="352"/>
  <c r="L129" i="352"/>
  <c r="M126" i="352"/>
  <c r="L126" i="352"/>
  <c r="K126" i="352"/>
  <c r="J126" i="352"/>
  <c r="I126" i="352"/>
  <c r="H126" i="352"/>
  <c r="G126" i="352"/>
  <c r="F126" i="352"/>
  <c r="E126" i="352"/>
  <c r="M125" i="352"/>
  <c r="L125" i="352"/>
  <c r="M124" i="352"/>
  <c r="M123" i="352"/>
  <c r="L123" i="352"/>
  <c r="M122" i="352"/>
  <c r="L122" i="352"/>
  <c r="M121" i="352"/>
  <c r="L121" i="352"/>
  <c r="M118" i="352"/>
  <c r="L118" i="352"/>
  <c r="K118" i="352"/>
  <c r="J118" i="352"/>
  <c r="I118" i="352"/>
  <c r="H118" i="352"/>
  <c r="G118" i="352"/>
  <c r="E118" i="352"/>
  <c r="M117" i="352"/>
  <c r="L117" i="352"/>
  <c r="M114" i="352"/>
  <c r="L114" i="352"/>
  <c r="K114" i="352"/>
  <c r="J114" i="352"/>
  <c r="I114" i="352"/>
  <c r="H114" i="352"/>
  <c r="G114" i="352"/>
  <c r="E114" i="352"/>
  <c r="M113" i="352"/>
  <c r="L113" i="352"/>
  <c r="M112" i="352"/>
  <c r="L112" i="352"/>
  <c r="M111" i="352"/>
  <c r="L111" i="352"/>
  <c r="M108" i="352"/>
  <c r="L108" i="352"/>
  <c r="K108" i="352"/>
  <c r="J108" i="352"/>
  <c r="I108" i="352"/>
  <c r="H108" i="352"/>
  <c r="G108" i="352"/>
  <c r="E108" i="352"/>
  <c r="M106" i="352"/>
  <c r="L106" i="352"/>
  <c r="M103" i="352"/>
  <c r="L103" i="352"/>
  <c r="K103" i="352"/>
  <c r="J103" i="352"/>
  <c r="I103" i="352"/>
  <c r="H103" i="352"/>
  <c r="G103" i="352"/>
  <c r="E103" i="352"/>
  <c r="M102" i="352"/>
  <c r="L102" i="352"/>
  <c r="M101" i="352"/>
  <c r="L101" i="352"/>
  <c r="M98" i="352"/>
  <c r="L98" i="352"/>
  <c r="K98" i="352"/>
  <c r="J98" i="352"/>
  <c r="I98" i="352"/>
  <c r="H98" i="352"/>
  <c r="G98" i="352"/>
  <c r="F98" i="352"/>
  <c r="E98" i="352"/>
  <c r="M97" i="352"/>
  <c r="L97" i="352"/>
  <c r="M94" i="352"/>
  <c r="L94" i="352"/>
  <c r="K94" i="352"/>
  <c r="J94" i="352"/>
  <c r="I94" i="352"/>
  <c r="H94" i="352"/>
  <c r="G94" i="352"/>
  <c r="E94" i="352"/>
  <c r="M93" i="352"/>
  <c r="L93" i="352"/>
  <c r="M92" i="352"/>
  <c r="L92" i="352"/>
  <c r="M91" i="352"/>
  <c r="L91" i="352"/>
  <c r="M90" i="352"/>
  <c r="L90" i="352"/>
  <c r="M89" i="352"/>
  <c r="L89" i="352"/>
  <c r="M88" i="352"/>
  <c r="L88" i="352"/>
  <c r="M87" i="352"/>
  <c r="L87" i="352"/>
  <c r="M86" i="352"/>
  <c r="L86" i="352"/>
  <c r="M85" i="352"/>
  <c r="L85" i="352"/>
  <c r="M84" i="352"/>
  <c r="L84" i="352"/>
  <c r="M81" i="352"/>
  <c r="L81" i="352"/>
  <c r="K81" i="352"/>
  <c r="J81" i="352"/>
  <c r="I81" i="352"/>
  <c r="H81" i="352"/>
  <c r="G81" i="352"/>
  <c r="E81" i="352"/>
  <c r="M80" i="352"/>
  <c r="L80" i="352"/>
  <c r="M79" i="352"/>
  <c r="L79" i="352"/>
  <c r="M78" i="352"/>
  <c r="L78" i="352"/>
  <c r="M77" i="352"/>
  <c r="L77" i="352"/>
  <c r="M76" i="352"/>
  <c r="L76" i="352"/>
  <c r="M75" i="352"/>
  <c r="L75" i="352"/>
  <c r="M74" i="352"/>
  <c r="L74" i="352"/>
  <c r="M73" i="352"/>
  <c r="L73" i="352"/>
  <c r="M72" i="352"/>
  <c r="L72" i="352"/>
  <c r="M71" i="352"/>
  <c r="L71" i="352"/>
  <c r="M70" i="352"/>
  <c r="L70" i="352"/>
  <c r="M69" i="352"/>
  <c r="L69" i="352"/>
  <c r="M68" i="352"/>
  <c r="L68" i="352"/>
  <c r="M67" i="352"/>
  <c r="L67" i="352"/>
  <c r="M66" i="352"/>
  <c r="L66" i="352"/>
  <c r="M63" i="352"/>
  <c r="L63" i="352"/>
  <c r="K63" i="352"/>
  <c r="J63" i="352"/>
  <c r="I63" i="352"/>
  <c r="H63" i="352"/>
  <c r="G63" i="352"/>
  <c r="E63" i="352"/>
  <c r="M62" i="352"/>
  <c r="L62" i="352"/>
  <c r="M61" i="352"/>
  <c r="L61" i="352"/>
  <c r="M60" i="352"/>
  <c r="L60" i="352"/>
  <c r="M57" i="352"/>
  <c r="L57" i="352"/>
  <c r="K57" i="352"/>
  <c r="J57" i="352"/>
  <c r="I57" i="352"/>
  <c r="H57" i="352"/>
  <c r="G57" i="352"/>
  <c r="E57" i="352"/>
  <c r="M56" i="352"/>
  <c r="L56" i="352"/>
  <c r="M55" i="352"/>
  <c r="L55" i="352"/>
  <c r="M54" i="352"/>
  <c r="L54" i="352"/>
  <c r="M53" i="352"/>
  <c r="L53" i="352"/>
  <c r="M52" i="352"/>
  <c r="L52" i="352"/>
  <c r="M51" i="352"/>
  <c r="L51" i="352"/>
  <c r="M48" i="352"/>
  <c r="L48" i="352"/>
  <c r="K48" i="352"/>
  <c r="J48" i="352"/>
  <c r="I48" i="352"/>
  <c r="H48" i="352"/>
  <c r="G48" i="352"/>
  <c r="F48" i="352"/>
  <c r="E48" i="352"/>
  <c r="M47" i="352"/>
  <c r="L47" i="352"/>
  <c r="M46" i="352"/>
  <c r="L46" i="352"/>
  <c r="M43" i="352"/>
  <c r="L43" i="352"/>
  <c r="K43" i="352"/>
  <c r="J43" i="352"/>
  <c r="I43" i="352"/>
  <c r="H43" i="352"/>
  <c r="F43" i="352"/>
  <c r="E43" i="352"/>
  <c r="M42" i="352"/>
  <c r="L42" i="352"/>
  <c r="M39" i="352"/>
  <c r="L39" i="352"/>
  <c r="K39" i="352"/>
  <c r="J39" i="352"/>
  <c r="I39" i="352"/>
  <c r="H39" i="352"/>
  <c r="G39" i="352"/>
  <c r="E39" i="352"/>
  <c r="M38" i="352"/>
  <c r="L38" i="352"/>
  <c r="M37" i="352"/>
  <c r="L37" i="352"/>
  <c r="M36" i="352"/>
  <c r="L36" i="352"/>
  <c r="M35" i="352"/>
  <c r="L35" i="352"/>
  <c r="M32" i="352"/>
  <c r="L32" i="352"/>
  <c r="K32" i="352"/>
  <c r="J32" i="352"/>
  <c r="I32" i="352"/>
  <c r="H32" i="352"/>
  <c r="G32" i="352"/>
  <c r="E32" i="352"/>
  <c r="M31" i="352"/>
  <c r="L31" i="352"/>
  <c r="M30" i="352"/>
  <c r="L30" i="352"/>
  <c r="M29" i="352"/>
  <c r="L29" i="352"/>
  <c r="M28" i="352"/>
  <c r="L28" i="352"/>
  <c r="M25" i="352"/>
  <c r="L25" i="352"/>
  <c r="K25" i="352"/>
  <c r="J25" i="352"/>
  <c r="I25" i="352"/>
  <c r="H25" i="352"/>
  <c r="G25" i="352"/>
  <c r="F25" i="352"/>
  <c r="E25" i="352"/>
  <c r="M24" i="352"/>
  <c r="L24" i="352"/>
  <c r="M23" i="352"/>
  <c r="L23" i="352"/>
  <c r="M22" i="352"/>
  <c r="L22" i="352"/>
  <c r="M21" i="352"/>
  <c r="L21" i="352"/>
  <c r="M20" i="352"/>
  <c r="L20" i="352"/>
  <c r="M47" i="351"/>
  <c r="L47" i="351"/>
  <c r="K47" i="351"/>
  <c r="J47" i="351"/>
  <c r="I47" i="351"/>
  <c r="H47" i="351"/>
  <c r="G47" i="351"/>
  <c r="F47" i="351"/>
  <c r="E47" i="351"/>
  <c r="C47" i="351"/>
  <c r="M45" i="351"/>
  <c r="L45" i="351"/>
  <c r="K45" i="351"/>
  <c r="J45" i="351"/>
  <c r="I45" i="351"/>
  <c r="H45" i="351"/>
  <c r="G45" i="351"/>
  <c r="F45" i="351"/>
  <c r="E45" i="351"/>
  <c r="L44" i="351"/>
  <c r="M40" i="351"/>
  <c r="L40" i="351"/>
  <c r="K40" i="351"/>
  <c r="J40" i="351"/>
  <c r="I40" i="351"/>
  <c r="H40" i="351"/>
  <c r="G40" i="351"/>
  <c r="F40" i="351"/>
  <c r="E40" i="35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M16" i="351"/>
  <c r="M41" i="350"/>
  <c r="L41" i="350"/>
  <c r="J41" i="350"/>
  <c r="I41" i="350"/>
  <c r="H41" i="350"/>
  <c r="G41" i="350"/>
  <c r="E41" i="350"/>
  <c r="D41" i="350"/>
  <c r="M39" i="350"/>
  <c r="M38" i="350"/>
  <c r="M32" i="350"/>
  <c r="L32" i="350"/>
  <c r="M31" i="350"/>
  <c r="L31" i="350"/>
  <c r="M28" i="350"/>
  <c r="L28" i="350"/>
  <c r="M27" i="350"/>
  <c r="L27" i="350"/>
  <c r="M24" i="350"/>
  <c r="L24" i="350"/>
  <c r="K24" i="350"/>
  <c r="J24" i="350"/>
  <c r="I24" i="350"/>
  <c r="H24" i="350"/>
  <c r="G24" i="350"/>
  <c r="E24" i="350"/>
  <c r="M23" i="350"/>
  <c r="L23" i="350"/>
  <c r="M20" i="350"/>
  <c r="L20" i="350"/>
  <c r="K20" i="350"/>
  <c r="J20" i="350"/>
  <c r="I20" i="350"/>
  <c r="H20" i="350"/>
  <c r="G20" i="350"/>
  <c r="F20" i="350"/>
  <c r="E20" i="350"/>
  <c r="M19" i="350"/>
  <c r="L19" i="350"/>
  <c r="M16" i="350"/>
  <c r="L16" i="350"/>
  <c r="K16" i="350"/>
  <c r="J16" i="350"/>
  <c r="I16" i="350"/>
  <c r="H16" i="350"/>
  <c r="G16" i="350"/>
  <c r="F16" i="350"/>
  <c r="E16" i="350"/>
  <c r="M15" i="350"/>
  <c r="L15" i="350"/>
  <c r="M22" i="349"/>
  <c r="L22" i="349"/>
  <c r="J22" i="349"/>
  <c r="I22" i="349"/>
  <c r="H22" i="349"/>
  <c r="G22" i="349"/>
  <c r="E22" i="349"/>
  <c r="D22" i="349"/>
  <c r="M19" i="349"/>
  <c r="L19" i="349"/>
  <c r="J19" i="349"/>
  <c r="I19" i="349"/>
  <c r="H19" i="349"/>
  <c r="G19" i="349"/>
  <c r="E19" i="349"/>
  <c r="M18" i="349"/>
  <c r="L18" i="349"/>
  <c r="M15" i="349"/>
  <c r="L15" i="349"/>
  <c r="J15" i="349"/>
  <c r="I15" i="349"/>
  <c r="H15" i="349"/>
  <c r="G15" i="349"/>
  <c r="E15" i="349"/>
  <c r="M14" i="349"/>
  <c r="L14" i="349"/>
  <c r="P172" i="348"/>
  <c r="O172" i="348"/>
  <c r="N172" i="348"/>
  <c r="M172" i="348"/>
  <c r="L172" i="348"/>
  <c r="K172" i="348"/>
  <c r="J172" i="348"/>
  <c r="H172" i="348"/>
  <c r="D172" i="348"/>
  <c r="P170" i="348"/>
  <c r="O170" i="348"/>
  <c r="N170" i="348"/>
  <c r="M170" i="348"/>
  <c r="L170" i="348"/>
  <c r="K170" i="348"/>
  <c r="J170" i="348"/>
  <c r="H170" i="348"/>
  <c r="P169" i="348"/>
  <c r="O169" i="348"/>
  <c r="N169" i="348"/>
  <c r="M169" i="348"/>
  <c r="L169" i="348"/>
  <c r="K169" i="348"/>
  <c r="J169" i="348"/>
  <c r="H169" i="348"/>
  <c r="P168" i="348"/>
  <c r="O168" i="348"/>
  <c r="P167" i="348"/>
  <c r="O167" i="348"/>
  <c r="P166" i="348"/>
  <c r="O166" i="348"/>
  <c r="P165" i="348"/>
  <c r="O165" i="348"/>
  <c r="P164" i="348"/>
  <c r="O164" i="348"/>
  <c r="P163" i="348"/>
  <c r="O163" i="348"/>
  <c r="P162" i="348"/>
  <c r="O162" i="348"/>
  <c r="P161" i="348"/>
  <c r="O161" i="348"/>
  <c r="P158" i="348"/>
  <c r="O158" i="348"/>
  <c r="N158" i="348"/>
  <c r="M158" i="348"/>
  <c r="L158" i="348"/>
  <c r="K158" i="348"/>
  <c r="J158" i="348"/>
  <c r="H158" i="348"/>
  <c r="P157" i="348"/>
  <c r="O157" i="348"/>
  <c r="P156" i="348"/>
  <c r="O156" i="348"/>
  <c r="P155" i="348"/>
  <c r="O155" i="348"/>
  <c r="P154" i="348"/>
  <c r="O154" i="348"/>
  <c r="P153" i="348"/>
  <c r="O153" i="348"/>
  <c r="P152" i="348"/>
  <c r="O152" i="348"/>
  <c r="P151" i="348"/>
  <c r="O151" i="348"/>
  <c r="P150" i="348"/>
  <c r="O150" i="348"/>
  <c r="P149" i="348"/>
  <c r="O149" i="348"/>
  <c r="P146" i="348"/>
  <c r="O146" i="348"/>
  <c r="N146" i="348"/>
  <c r="M146" i="348"/>
  <c r="L146" i="348"/>
  <c r="K146" i="348"/>
  <c r="J146" i="348"/>
  <c r="H146" i="348"/>
  <c r="P145" i="348"/>
  <c r="O145" i="348"/>
  <c r="P144" i="348"/>
  <c r="O144" i="348"/>
  <c r="P143" i="348"/>
  <c r="O143" i="348"/>
  <c r="P142" i="348"/>
  <c r="O142" i="348"/>
  <c r="P141" i="348"/>
  <c r="O141" i="348"/>
  <c r="P140" i="348"/>
  <c r="O140" i="348"/>
  <c r="P139" i="348"/>
  <c r="O139" i="348"/>
  <c r="P136" i="348"/>
  <c r="O136" i="348"/>
  <c r="N136" i="348"/>
  <c r="M136" i="348"/>
  <c r="L136" i="348"/>
  <c r="K136" i="348"/>
  <c r="J136" i="348"/>
  <c r="H136" i="348"/>
  <c r="P135" i="348"/>
  <c r="O135" i="348"/>
  <c r="P134" i="348"/>
  <c r="O134" i="348"/>
  <c r="P133" i="348"/>
  <c r="O133" i="348"/>
  <c r="P132" i="348"/>
  <c r="O132" i="348"/>
  <c r="P131" i="348"/>
  <c r="O131" i="348"/>
  <c r="P130" i="348"/>
  <c r="O130" i="348"/>
  <c r="P129" i="348"/>
  <c r="O129" i="348"/>
  <c r="P128" i="348"/>
  <c r="O128" i="348"/>
  <c r="P127" i="348"/>
  <c r="O127" i="348"/>
  <c r="P126" i="348"/>
  <c r="O126" i="348"/>
  <c r="P122" i="348"/>
  <c r="O122" i="348"/>
  <c r="N122" i="348"/>
  <c r="M122" i="348"/>
  <c r="L122" i="348"/>
  <c r="K122" i="348"/>
  <c r="J122" i="348"/>
  <c r="H122" i="348"/>
  <c r="P121" i="348"/>
  <c r="O121" i="348"/>
  <c r="P118" i="348"/>
  <c r="O118" i="348"/>
  <c r="N118" i="348"/>
  <c r="M118" i="348"/>
  <c r="L118" i="348"/>
  <c r="K118" i="348"/>
  <c r="J118" i="348"/>
  <c r="I118" i="348"/>
  <c r="H118" i="348"/>
  <c r="P117" i="348"/>
  <c r="O117" i="348"/>
  <c r="P116" i="348"/>
  <c r="O116" i="348"/>
  <c r="P115" i="348"/>
  <c r="O115" i="348"/>
  <c r="P114" i="348"/>
  <c r="O114" i="348"/>
  <c r="P113" i="348"/>
  <c r="O113" i="348"/>
  <c r="P112" i="348"/>
  <c r="O112" i="348"/>
  <c r="P111" i="348"/>
  <c r="O111" i="348"/>
  <c r="P108" i="348"/>
  <c r="O108" i="348"/>
  <c r="N108" i="348"/>
  <c r="P107" i="348"/>
  <c r="O107" i="348"/>
  <c r="P104" i="348"/>
  <c r="O104" i="348"/>
  <c r="N104" i="348"/>
  <c r="M104" i="348"/>
  <c r="L104" i="348"/>
  <c r="K104" i="348"/>
  <c r="J104" i="348"/>
  <c r="I104" i="348"/>
  <c r="H104" i="348"/>
  <c r="P103" i="348"/>
  <c r="O103" i="348"/>
  <c r="P102" i="348"/>
  <c r="O102" i="348"/>
  <c r="P101" i="348"/>
  <c r="O101" i="348"/>
  <c r="P98" i="348"/>
  <c r="O98" i="348"/>
  <c r="N98" i="348"/>
  <c r="M98" i="348"/>
  <c r="L98" i="348"/>
  <c r="K98" i="348"/>
  <c r="J98" i="348"/>
  <c r="I98" i="348"/>
  <c r="H98" i="348"/>
  <c r="P97" i="348"/>
  <c r="O97" i="348"/>
  <c r="P94" i="348"/>
  <c r="O94" i="348"/>
  <c r="N94" i="348"/>
  <c r="M94" i="348"/>
  <c r="L94" i="348"/>
  <c r="K94" i="348"/>
  <c r="J94" i="348"/>
  <c r="H94" i="348"/>
  <c r="P93" i="348"/>
  <c r="O93" i="348"/>
  <c r="P92" i="348"/>
  <c r="O92" i="348"/>
  <c r="P91" i="348"/>
  <c r="O91" i="348"/>
  <c r="P90" i="348"/>
  <c r="O90" i="348"/>
  <c r="P89" i="348"/>
  <c r="O89" i="348"/>
  <c r="P88" i="348"/>
  <c r="P85" i="348"/>
  <c r="O85" i="348"/>
  <c r="N85" i="348"/>
  <c r="M85" i="348"/>
  <c r="L85" i="348"/>
  <c r="K85" i="348"/>
  <c r="J85" i="348"/>
  <c r="H85" i="348"/>
  <c r="P83" i="348"/>
  <c r="O83" i="348"/>
  <c r="P82" i="348"/>
  <c r="O82" i="348"/>
  <c r="P81" i="348"/>
  <c r="O81" i="348"/>
  <c r="P80" i="348"/>
  <c r="O80" i="348"/>
  <c r="P79" i="348"/>
  <c r="O79" i="348"/>
  <c r="P78" i="348"/>
  <c r="O78" i="348"/>
  <c r="P75" i="348"/>
  <c r="O75" i="348"/>
  <c r="P74" i="348"/>
  <c r="O74" i="348"/>
  <c r="P71" i="348"/>
  <c r="O71" i="348"/>
  <c r="N71" i="348"/>
  <c r="M71" i="348"/>
  <c r="L71" i="348"/>
  <c r="K71" i="348"/>
  <c r="J71" i="348"/>
  <c r="I71" i="348"/>
  <c r="H71" i="348"/>
  <c r="P70" i="348"/>
  <c r="O70" i="348"/>
  <c r="P69" i="348"/>
  <c r="P68" i="348"/>
  <c r="O68" i="348"/>
  <c r="P67" i="348"/>
  <c r="O67" i="348"/>
  <c r="P64" i="348"/>
  <c r="O64" i="348"/>
  <c r="N64" i="348"/>
  <c r="M64" i="348"/>
  <c r="L64" i="348"/>
  <c r="K64" i="348"/>
  <c r="J64" i="348"/>
  <c r="I64" i="348"/>
  <c r="H64" i="348"/>
  <c r="P63" i="348"/>
  <c r="O63" i="348"/>
  <c r="P60" i="348"/>
  <c r="O60" i="348"/>
  <c r="N60" i="348"/>
  <c r="M60" i="348"/>
  <c r="L60" i="348"/>
  <c r="K60" i="348"/>
  <c r="J60" i="348"/>
  <c r="I60" i="348"/>
  <c r="H60" i="348"/>
  <c r="P59" i="348"/>
  <c r="O59" i="348"/>
  <c r="P58" i="348"/>
  <c r="O58" i="348"/>
  <c r="P56" i="348"/>
  <c r="O56" i="348"/>
  <c r="P55" i="348"/>
  <c r="O55" i="348"/>
  <c r="P48" i="348"/>
  <c r="O48" i="348"/>
  <c r="P47" i="348"/>
  <c r="O47" i="348"/>
  <c r="P44" i="348"/>
  <c r="O44" i="348"/>
  <c r="N44" i="348"/>
  <c r="M44" i="348"/>
  <c r="L44" i="348"/>
  <c r="K44" i="348"/>
  <c r="J44" i="348"/>
  <c r="H44" i="348"/>
  <c r="P43" i="348"/>
  <c r="O43" i="348"/>
  <c r="P42" i="348"/>
  <c r="O42" i="348"/>
  <c r="P39" i="348"/>
  <c r="O39" i="348"/>
  <c r="N39" i="348"/>
  <c r="M39" i="348"/>
  <c r="L39" i="348"/>
  <c r="K39" i="348"/>
  <c r="J39" i="348"/>
  <c r="H39" i="348"/>
  <c r="P38" i="348"/>
  <c r="O38" i="348"/>
  <c r="P36" i="348"/>
  <c r="O36" i="348"/>
  <c r="P33" i="348"/>
  <c r="P32" i="348"/>
  <c r="O32" i="348"/>
  <c r="P29" i="348"/>
  <c r="O29" i="348"/>
  <c r="N29" i="348"/>
  <c r="M29" i="348"/>
  <c r="L29" i="348"/>
  <c r="K29" i="348"/>
  <c r="J29" i="348"/>
  <c r="H29" i="348"/>
  <c r="P28" i="348"/>
  <c r="O28" i="348"/>
  <c r="P27" i="348"/>
  <c r="O27" i="348"/>
  <c r="P24" i="348"/>
  <c r="O24" i="348"/>
  <c r="P23" i="348"/>
  <c r="O23" i="348"/>
  <c r="P20" i="348"/>
  <c r="O20" i="348"/>
  <c r="N20" i="348"/>
  <c r="M20" i="348"/>
  <c r="L20" i="348"/>
  <c r="K20" i="348"/>
  <c r="J20" i="348"/>
  <c r="I20" i="348"/>
  <c r="H20" i="348"/>
  <c r="P19" i="348"/>
  <c r="O19" i="348"/>
  <c r="P16" i="348"/>
  <c r="O16" i="348"/>
  <c r="N16" i="348"/>
  <c r="M16" i="348"/>
  <c r="L16" i="348"/>
  <c r="K16" i="348"/>
  <c r="J16" i="348"/>
  <c r="H16" i="348"/>
  <c r="P15" i="348"/>
  <c r="O15" i="348"/>
  <c r="P14" i="348"/>
  <c r="M244" i="347"/>
  <c r="L244" i="347"/>
  <c r="K244" i="347"/>
  <c r="J244" i="347"/>
  <c r="I244" i="347"/>
  <c r="H244" i="347"/>
  <c r="G244" i="347"/>
  <c r="E244" i="347"/>
  <c r="C244" i="347"/>
  <c r="M242" i="347"/>
  <c r="L242" i="347"/>
  <c r="K242" i="347"/>
  <c r="J242" i="347"/>
  <c r="I242" i="347"/>
  <c r="H242" i="347"/>
  <c r="G242" i="347"/>
  <c r="E242" i="347"/>
  <c r="M241" i="347"/>
  <c r="L241" i="347"/>
  <c r="K241" i="347"/>
  <c r="J241" i="347"/>
  <c r="I241" i="347"/>
  <c r="H241" i="347"/>
  <c r="G241" i="347"/>
  <c r="E241" i="347"/>
  <c r="M240" i="347"/>
  <c r="L240" i="347"/>
  <c r="M239" i="347"/>
  <c r="L239" i="347"/>
  <c r="M238" i="347"/>
  <c r="L238" i="347"/>
  <c r="M237" i="347"/>
  <c r="M236" i="347"/>
  <c r="L236" i="347"/>
  <c r="M235" i="347"/>
  <c r="L235" i="347"/>
  <c r="M232" i="347"/>
  <c r="L232" i="347"/>
  <c r="K232" i="347"/>
  <c r="J232" i="347"/>
  <c r="I232" i="347"/>
  <c r="H232" i="347"/>
  <c r="G232" i="347"/>
  <c r="E232" i="347"/>
  <c r="M231" i="347"/>
  <c r="M230" i="347"/>
  <c r="M229" i="347"/>
  <c r="L229" i="347"/>
  <c r="M228" i="347"/>
  <c r="L228" i="347"/>
  <c r="M226" i="347"/>
  <c r="L226" i="347"/>
  <c r="M225" i="347"/>
  <c r="L225" i="347"/>
  <c r="M222" i="347"/>
  <c r="L222" i="347"/>
  <c r="K222" i="347"/>
  <c r="J222" i="347"/>
  <c r="I222" i="347"/>
  <c r="H222" i="347"/>
  <c r="G222" i="347"/>
  <c r="E222" i="347"/>
  <c r="M221" i="347"/>
  <c r="M220" i="347"/>
  <c r="L220" i="347"/>
  <c r="M219" i="347"/>
  <c r="L219" i="347"/>
  <c r="M218" i="347"/>
  <c r="L218" i="347"/>
  <c r="M216" i="347"/>
  <c r="L216" i="347"/>
  <c r="M215" i="347"/>
  <c r="L215" i="347"/>
  <c r="M214" i="347"/>
  <c r="L214" i="347"/>
  <c r="M213" i="347"/>
  <c r="L213" i="347"/>
  <c r="M210" i="347"/>
  <c r="L210" i="347"/>
  <c r="K210" i="347"/>
  <c r="J210" i="347"/>
  <c r="I210" i="347"/>
  <c r="H210" i="347"/>
  <c r="G210" i="347"/>
  <c r="E210" i="347"/>
  <c r="M209" i="347"/>
  <c r="M208" i="347"/>
  <c r="L208" i="347"/>
  <c r="M207" i="347"/>
  <c r="L207" i="347"/>
  <c r="M206" i="347"/>
  <c r="L206" i="347"/>
  <c r="M205" i="347"/>
  <c r="L205" i="347"/>
  <c r="M204" i="347"/>
  <c r="L204" i="347"/>
  <c r="M202" i="347"/>
  <c r="L202" i="347"/>
  <c r="M201" i="347"/>
  <c r="L201" i="347"/>
  <c r="M200" i="347"/>
  <c r="L200" i="347"/>
  <c r="M199" i="347"/>
  <c r="M198" i="347"/>
  <c r="L198" i="347"/>
  <c r="M197" i="347"/>
  <c r="L197" i="347"/>
  <c r="M196" i="347"/>
  <c r="L196" i="347"/>
  <c r="M192" i="347"/>
  <c r="L192" i="347"/>
  <c r="K192" i="347"/>
  <c r="J192" i="347"/>
  <c r="I192" i="347"/>
  <c r="H192" i="347"/>
  <c r="G192" i="347"/>
  <c r="E192" i="347"/>
  <c r="M189" i="347"/>
  <c r="L189" i="347"/>
  <c r="M188" i="347"/>
  <c r="L188" i="347"/>
  <c r="M187" i="347"/>
  <c r="L187" i="347"/>
  <c r="M184" i="347"/>
  <c r="L184" i="347"/>
  <c r="K184" i="347"/>
  <c r="J184" i="347"/>
  <c r="I184" i="347"/>
  <c r="H184" i="347"/>
  <c r="G184" i="347"/>
  <c r="E184" i="347"/>
  <c r="M183" i="347"/>
  <c r="L183" i="347"/>
  <c r="M182" i="347"/>
  <c r="L182" i="347"/>
  <c r="M181" i="347"/>
  <c r="L181" i="347"/>
  <c r="M180" i="347"/>
  <c r="L180" i="347"/>
  <c r="M179" i="347"/>
  <c r="L179" i="347"/>
  <c r="M172" i="347"/>
  <c r="L172" i="347"/>
  <c r="K172" i="347"/>
  <c r="J172" i="347"/>
  <c r="I172" i="347"/>
  <c r="H172" i="347"/>
  <c r="G172" i="347"/>
  <c r="F172" i="347"/>
  <c r="E172" i="347"/>
  <c r="M171" i="347"/>
  <c r="L171" i="347"/>
  <c r="M170" i="347"/>
  <c r="L170" i="347"/>
  <c r="M167" i="347"/>
  <c r="L167" i="347"/>
  <c r="K167" i="347"/>
  <c r="J167" i="347"/>
  <c r="I167" i="347"/>
  <c r="H167" i="347"/>
  <c r="G167" i="347"/>
  <c r="E167" i="347"/>
  <c r="M166" i="347"/>
  <c r="L166" i="347"/>
  <c r="M163" i="347"/>
  <c r="L163" i="347"/>
  <c r="K163" i="347"/>
  <c r="J163" i="347"/>
  <c r="I163" i="347"/>
  <c r="H163" i="347"/>
  <c r="G163" i="347"/>
  <c r="F163" i="347"/>
  <c r="E163" i="347"/>
  <c r="M162" i="347"/>
  <c r="L162" i="347"/>
  <c r="M161" i="347"/>
  <c r="L161" i="347"/>
  <c r="M160" i="347"/>
  <c r="L160" i="347"/>
  <c r="L157" i="347"/>
  <c r="K157" i="347"/>
  <c r="J157" i="347"/>
  <c r="I157" i="347"/>
  <c r="H157" i="347"/>
  <c r="G157" i="347"/>
  <c r="F157" i="347"/>
  <c r="E157" i="347"/>
  <c r="M156" i="347"/>
  <c r="L156" i="347"/>
  <c r="M153" i="347"/>
  <c r="L153" i="347"/>
  <c r="K153" i="347"/>
  <c r="J153" i="347"/>
  <c r="I153" i="347"/>
  <c r="H153" i="347"/>
  <c r="G153" i="347"/>
  <c r="E153" i="347"/>
  <c r="M152" i="347"/>
  <c r="L152" i="347"/>
  <c r="M151" i="347"/>
  <c r="L151" i="347"/>
  <c r="M148" i="347"/>
  <c r="L148" i="347"/>
  <c r="K148" i="347"/>
  <c r="J148" i="347"/>
  <c r="I148" i="347"/>
  <c r="H148" i="347"/>
  <c r="G148" i="347"/>
  <c r="E148" i="347"/>
  <c r="M147" i="347"/>
  <c r="L147" i="347"/>
  <c r="M146" i="347"/>
  <c r="L146" i="347"/>
  <c r="M145" i="347"/>
  <c r="L145" i="347"/>
  <c r="M144" i="347"/>
  <c r="L144" i="347"/>
  <c r="M141" i="347"/>
  <c r="L141" i="347"/>
  <c r="K141" i="347"/>
  <c r="J141" i="347"/>
  <c r="I141" i="347"/>
  <c r="H141" i="347"/>
  <c r="G141" i="347"/>
  <c r="F141" i="347"/>
  <c r="E141" i="347"/>
  <c r="M140" i="347"/>
  <c r="L140" i="347"/>
  <c r="M139" i="347"/>
  <c r="L139" i="347"/>
  <c r="M138" i="347"/>
  <c r="M137" i="347"/>
  <c r="L137" i="347"/>
  <c r="M134" i="347"/>
  <c r="L134" i="347"/>
  <c r="K134" i="347"/>
  <c r="J134" i="347"/>
  <c r="I134" i="347"/>
  <c r="H134" i="347"/>
  <c r="G134" i="347"/>
  <c r="F134" i="347"/>
  <c r="E134" i="347"/>
  <c r="M133" i="347"/>
  <c r="L133" i="347"/>
  <c r="M130" i="347"/>
  <c r="L130" i="347"/>
  <c r="K130" i="347"/>
  <c r="J130" i="347"/>
  <c r="I130" i="347"/>
  <c r="H130" i="347"/>
  <c r="G130" i="347"/>
  <c r="E130" i="347"/>
  <c r="M129" i="347"/>
  <c r="L129" i="347"/>
  <c r="M126" i="347"/>
  <c r="L126" i="347"/>
  <c r="K126" i="347"/>
  <c r="J126" i="347"/>
  <c r="I126" i="347"/>
  <c r="H126" i="347"/>
  <c r="G126" i="347"/>
  <c r="F126" i="347"/>
  <c r="E126" i="347"/>
  <c r="M125" i="347"/>
  <c r="L125" i="347"/>
  <c r="M124" i="347"/>
  <c r="M123" i="347"/>
  <c r="L123" i="347"/>
  <c r="M122" i="347"/>
  <c r="L122" i="347"/>
  <c r="M121" i="347"/>
  <c r="L121" i="347"/>
  <c r="M118" i="347"/>
  <c r="L118" i="347"/>
  <c r="K118" i="347"/>
  <c r="J118" i="347"/>
  <c r="I118" i="347"/>
  <c r="H118" i="347"/>
  <c r="G118" i="347"/>
  <c r="E118" i="347"/>
  <c r="M117" i="347"/>
  <c r="L117" i="347"/>
  <c r="M114" i="347"/>
  <c r="L114" i="347"/>
  <c r="K114" i="347"/>
  <c r="J114" i="347"/>
  <c r="I114" i="347"/>
  <c r="H114" i="347"/>
  <c r="G114" i="347"/>
  <c r="E114" i="347"/>
  <c r="M113" i="347"/>
  <c r="L113" i="347"/>
  <c r="M112" i="347"/>
  <c r="L112" i="347"/>
  <c r="M111" i="347"/>
  <c r="L111" i="347"/>
  <c r="M108" i="347"/>
  <c r="L108" i="347"/>
  <c r="K108" i="347"/>
  <c r="J108" i="347"/>
  <c r="I108" i="347"/>
  <c r="H108" i="347"/>
  <c r="G108" i="347"/>
  <c r="E108" i="347"/>
  <c r="M106" i="347"/>
  <c r="L106" i="347"/>
  <c r="M103" i="347"/>
  <c r="L103" i="347"/>
  <c r="K103" i="347"/>
  <c r="J103" i="347"/>
  <c r="I103" i="347"/>
  <c r="H103" i="347"/>
  <c r="G103" i="347"/>
  <c r="E103" i="347"/>
  <c r="M102" i="347"/>
  <c r="L102" i="347"/>
  <c r="M101" i="347"/>
  <c r="L101" i="347"/>
  <c r="M98" i="347"/>
  <c r="L98" i="347"/>
  <c r="K98" i="347"/>
  <c r="J98" i="347"/>
  <c r="I98" i="347"/>
  <c r="H98" i="347"/>
  <c r="G98" i="347"/>
  <c r="F98" i="347"/>
  <c r="E98" i="347"/>
  <c r="M97" i="347"/>
  <c r="L97" i="347"/>
  <c r="M94" i="347"/>
  <c r="L94" i="347"/>
  <c r="K94" i="347"/>
  <c r="J94" i="347"/>
  <c r="I94" i="347"/>
  <c r="H94" i="347"/>
  <c r="G94" i="347"/>
  <c r="E94" i="347"/>
  <c r="M93" i="347"/>
  <c r="L93" i="347"/>
  <c r="M92" i="347"/>
  <c r="L92" i="347"/>
  <c r="M91" i="347"/>
  <c r="L91" i="347"/>
  <c r="M90" i="347"/>
  <c r="L90" i="347"/>
  <c r="M89" i="347"/>
  <c r="L89" i="347"/>
  <c r="M88" i="347"/>
  <c r="L88" i="347"/>
  <c r="M87" i="347"/>
  <c r="L87" i="347"/>
  <c r="M86" i="347"/>
  <c r="L86" i="347"/>
  <c r="M85" i="347"/>
  <c r="L85" i="347"/>
  <c r="M84" i="347"/>
  <c r="L84" i="347"/>
  <c r="M81" i="347"/>
  <c r="L81" i="347"/>
  <c r="K81" i="347"/>
  <c r="J81" i="347"/>
  <c r="I81" i="347"/>
  <c r="H81" i="347"/>
  <c r="G81" i="347"/>
  <c r="E81" i="347"/>
  <c r="M80" i="347"/>
  <c r="L80" i="347"/>
  <c r="M79" i="347"/>
  <c r="L79" i="347"/>
  <c r="M78" i="347"/>
  <c r="L78" i="347"/>
  <c r="M77" i="347"/>
  <c r="L77" i="347"/>
  <c r="M76" i="347"/>
  <c r="L76" i="347"/>
  <c r="M75" i="347"/>
  <c r="L75" i="347"/>
  <c r="M74" i="347"/>
  <c r="L74" i="347"/>
  <c r="M73" i="347"/>
  <c r="L73" i="347"/>
  <c r="M72" i="347"/>
  <c r="L72" i="347"/>
  <c r="M71" i="347"/>
  <c r="L71" i="347"/>
  <c r="M70" i="347"/>
  <c r="L70" i="347"/>
  <c r="M69" i="347"/>
  <c r="L69" i="347"/>
  <c r="M68" i="347"/>
  <c r="L68" i="347"/>
  <c r="M67" i="347"/>
  <c r="L67" i="347"/>
  <c r="M66" i="347"/>
  <c r="L66" i="347"/>
  <c r="M63" i="347"/>
  <c r="L63" i="347"/>
  <c r="K63" i="347"/>
  <c r="J63" i="347"/>
  <c r="I63" i="347"/>
  <c r="H63" i="347"/>
  <c r="G63" i="347"/>
  <c r="E63" i="347"/>
  <c r="M62" i="347"/>
  <c r="L62" i="347"/>
  <c r="M61" i="347"/>
  <c r="L61" i="347"/>
  <c r="M60" i="347"/>
  <c r="L60" i="347"/>
  <c r="M57" i="347"/>
  <c r="L57" i="347"/>
  <c r="K57" i="347"/>
  <c r="J57" i="347"/>
  <c r="I57" i="347"/>
  <c r="H57" i="347"/>
  <c r="G57" i="347"/>
  <c r="E57" i="347"/>
  <c r="M56" i="347"/>
  <c r="L56" i="347"/>
  <c r="M55" i="347"/>
  <c r="L55" i="347"/>
  <c r="M54" i="347"/>
  <c r="L54" i="347"/>
  <c r="M53" i="347"/>
  <c r="L53" i="347"/>
  <c r="M52" i="347"/>
  <c r="L52" i="347"/>
  <c r="M51" i="347"/>
  <c r="L51" i="347"/>
  <c r="M48" i="347"/>
  <c r="L48" i="347"/>
  <c r="K48" i="347"/>
  <c r="J48" i="347"/>
  <c r="I48" i="347"/>
  <c r="H48" i="347"/>
  <c r="G48" i="347"/>
  <c r="F48" i="347"/>
  <c r="E48" i="347"/>
  <c r="M47" i="347"/>
  <c r="L47" i="347"/>
  <c r="M46" i="347"/>
  <c r="L46" i="347"/>
  <c r="M43" i="347"/>
  <c r="L43" i="347"/>
  <c r="K43" i="347"/>
  <c r="J43" i="347"/>
  <c r="I43" i="347"/>
  <c r="H43" i="347"/>
  <c r="F43" i="347"/>
  <c r="E43" i="347"/>
  <c r="M42" i="347"/>
  <c r="L42" i="347"/>
  <c r="M39" i="347"/>
  <c r="L39" i="347"/>
  <c r="K39" i="347"/>
  <c r="J39" i="347"/>
  <c r="I39" i="347"/>
  <c r="H39" i="347"/>
  <c r="G39" i="347"/>
  <c r="E39" i="347"/>
  <c r="M38" i="347"/>
  <c r="L38" i="347"/>
  <c r="M37" i="347"/>
  <c r="L37" i="347"/>
  <c r="M36" i="347"/>
  <c r="L36" i="347"/>
  <c r="M35" i="347"/>
  <c r="L35" i="347"/>
  <c r="M32" i="347"/>
  <c r="L32" i="347"/>
  <c r="K32" i="347"/>
  <c r="J32" i="347"/>
  <c r="I32" i="347"/>
  <c r="H32" i="347"/>
  <c r="G32" i="347"/>
  <c r="E32" i="347"/>
  <c r="M31" i="347"/>
  <c r="L31" i="347"/>
  <c r="M30" i="347"/>
  <c r="L30" i="347"/>
  <c r="M29" i="347"/>
  <c r="L29" i="347"/>
  <c r="M28" i="347"/>
  <c r="L28" i="347"/>
  <c r="M25" i="347"/>
  <c r="L25" i="347"/>
  <c r="K25" i="347"/>
  <c r="J25" i="347"/>
  <c r="I25" i="347"/>
  <c r="H25" i="347"/>
  <c r="G25" i="347"/>
  <c r="F25" i="347"/>
  <c r="E25" i="347"/>
  <c r="M24" i="347"/>
  <c r="L24" i="347"/>
  <c r="M23" i="347"/>
  <c r="L23" i="347"/>
  <c r="M22" i="347"/>
  <c r="L22" i="347"/>
  <c r="M21" i="347"/>
  <c r="L21" i="347"/>
  <c r="M20" i="347"/>
  <c r="L20" i="347"/>
  <c r="M47" i="346"/>
  <c r="L47" i="346"/>
  <c r="K47" i="346"/>
  <c r="J47" i="346"/>
  <c r="I47" i="346"/>
  <c r="H47" i="346"/>
  <c r="G47" i="346"/>
  <c r="F47" i="346"/>
  <c r="E47" i="346"/>
  <c r="C47" i="346"/>
  <c r="M45" i="346"/>
  <c r="L45" i="346"/>
  <c r="K45" i="346"/>
  <c r="J45" i="346"/>
  <c r="I45" i="346"/>
  <c r="H45" i="346"/>
  <c r="G45" i="346"/>
  <c r="F45" i="346"/>
  <c r="E45" i="346"/>
  <c r="L44" i="346"/>
  <c r="M40" i="346"/>
  <c r="L40" i="346"/>
  <c r="K40" i="346"/>
  <c r="J40" i="346"/>
  <c r="I40" i="346"/>
  <c r="H40" i="346"/>
  <c r="G40" i="346"/>
  <c r="F40" i="346"/>
  <c r="E40" i="346"/>
  <c r="L39" i="346"/>
  <c r="L38" i="346"/>
  <c r="L37" i="346"/>
  <c r="L36" i="346"/>
  <c r="L35" i="346"/>
  <c r="L34" i="346"/>
  <c r="L33" i="346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17" i="346"/>
  <c r="M16" i="346"/>
  <c r="M41" i="345"/>
  <c r="L41" i="345"/>
  <c r="J41" i="345"/>
  <c r="I41" i="345"/>
  <c r="H41" i="345"/>
  <c r="G41" i="345"/>
  <c r="E41" i="345"/>
  <c r="D41" i="345"/>
  <c r="M39" i="345"/>
  <c r="M38" i="345"/>
  <c r="M32" i="345"/>
  <c r="L32" i="345"/>
  <c r="M31" i="345"/>
  <c r="L31" i="345"/>
  <c r="M28" i="345"/>
  <c r="L28" i="345"/>
  <c r="M27" i="345"/>
  <c r="L27" i="345"/>
  <c r="M24" i="345"/>
  <c r="L24" i="345"/>
  <c r="K24" i="345"/>
  <c r="J24" i="345"/>
  <c r="I24" i="345"/>
  <c r="H24" i="345"/>
  <c r="G24" i="345"/>
  <c r="E24" i="345"/>
  <c r="M23" i="345"/>
  <c r="L23" i="345"/>
  <c r="M20" i="345"/>
  <c r="L20" i="345"/>
  <c r="K20" i="345"/>
  <c r="J20" i="345"/>
  <c r="I20" i="345"/>
  <c r="H20" i="345"/>
  <c r="G20" i="345"/>
  <c r="F20" i="345"/>
  <c r="E20" i="345"/>
  <c r="M19" i="345"/>
  <c r="L19" i="345"/>
  <c r="M16" i="345"/>
  <c r="L16" i="345"/>
  <c r="K16" i="345"/>
  <c r="J16" i="345"/>
  <c r="I16" i="345"/>
  <c r="H16" i="345"/>
  <c r="G16" i="345"/>
  <c r="F16" i="345"/>
  <c r="E16" i="345"/>
  <c r="M15" i="345"/>
  <c r="L15" i="345"/>
  <c r="M30" i="344"/>
  <c r="L30" i="344"/>
  <c r="J30" i="344"/>
  <c r="I30" i="344"/>
  <c r="H30" i="344"/>
  <c r="G30" i="344"/>
  <c r="E30" i="344"/>
  <c r="D30" i="344"/>
  <c r="M27" i="344"/>
  <c r="L27" i="344"/>
  <c r="J27" i="344"/>
  <c r="I27" i="344"/>
  <c r="H27" i="344"/>
  <c r="G27" i="344"/>
  <c r="E27" i="344"/>
  <c r="M26" i="344"/>
  <c r="L26" i="344"/>
  <c r="M23" i="344"/>
  <c r="L23" i="344"/>
  <c r="J23" i="344"/>
  <c r="I23" i="344"/>
  <c r="H23" i="344"/>
  <c r="G23" i="344"/>
  <c r="E23" i="344"/>
  <c r="M22" i="344"/>
  <c r="L22" i="344"/>
  <c r="M19" i="344"/>
  <c r="L19" i="344"/>
  <c r="J19" i="344"/>
  <c r="I19" i="344"/>
  <c r="H19" i="344"/>
  <c r="G19" i="344"/>
  <c r="E19" i="344"/>
  <c r="M18" i="344"/>
  <c r="L18" i="344"/>
  <c r="M15" i="344"/>
  <c r="L15" i="344"/>
  <c r="J15" i="344"/>
  <c r="I15" i="344"/>
  <c r="H15" i="344"/>
  <c r="G15" i="344"/>
  <c r="E15" i="344"/>
  <c r="M14" i="344"/>
  <c r="L14" i="344"/>
  <c r="P174" i="343"/>
  <c r="O174" i="343"/>
  <c r="N174" i="343"/>
  <c r="M174" i="343"/>
  <c r="L174" i="343"/>
  <c r="K174" i="343"/>
  <c r="J174" i="343"/>
  <c r="H174" i="343"/>
  <c r="D174" i="343"/>
  <c r="P172" i="343"/>
  <c r="O172" i="343"/>
  <c r="N172" i="343"/>
  <c r="M172" i="343"/>
  <c r="L172" i="343"/>
  <c r="K172" i="343"/>
  <c r="J172" i="343"/>
  <c r="H172" i="343"/>
  <c r="P171" i="343"/>
  <c r="O171" i="343"/>
  <c r="N171" i="343"/>
  <c r="M171" i="343"/>
  <c r="L171" i="343"/>
  <c r="K171" i="343"/>
  <c r="J171" i="343"/>
  <c r="H171" i="343"/>
  <c r="P170" i="343"/>
  <c r="O170" i="343"/>
  <c r="P169" i="343"/>
  <c r="O169" i="343"/>
  <c r="P168" i="343"/>
  <c r="O168" i="343"/>
  <c r="P167" i="343"/>
  <c r="O167" i="343"/>
  <c r="P166" i="343"/>
  <c r="O166" i="343"/>
  <c r="P165" i="343"/>
  <c r="O165" i="343"/>
  <c r="P164" i="343"/>
  <c r="O164" i="343"/>
  <c r="P163" i="343"/>
  <c r="O163" i="343"/>
  <c r="P160" i="343"/>
  <c r="O160" i="343"/>
  <c r="N160" i="343"/>
  <c r="M160" i="343"/>
  <c r="L160" i="343"/>
  <c r="K160" i="343"/>
  <c r="J160" i="343"/>
  <c r="H160" i="343"/>
  <c r="P159" i="343"/>
  <c r="O159" i="343"/>
  <c r="P158" i="343"/>
  <c r="O158" i="343"/>
  <c r="P157" i="343"/>
  <c r="O157" i="343"/>
  <c r="P156" i="343"/>
  <c r="O156" i="343"/>
  <c r="P155" i="343"/>
  <c r="O155" i="343"/>
  <c r="P154" i="343"/>
  <c r="O154" i="343"/>
  <c r="P153" i="343"/>
  <c r="O153" i="343"/>
  <c r="P152" i="343"/>
  <c r="O152" i="343"/>
  <c r="P151" i="343"/>
  <c r="O151" i="343"/>
  <c r="P148" i="343"/>
  <c r="O148" i="343"/>
  <c r="N148" i="343"/>
  <c r="M148" i="343"/>
  <c r="L148" i="343"/>
  <c r="K148" i="343"/>
  <c r="J148" i="343"/>
  <c r="H148" i="343"/>
  <c r="P147" i="343"/>
  <c r="O147" i="343"/>
  <c r="P146" i="343"/>
  <c r="O146" i="343"/>
  <c r="P145" i="343"/>
  <c r="O145" i="343"/>
  <c r="P144" i="343"/>
  <c r="O144" i="343"/>
  <c r="P143" i="343"/>
  <c r="O143" i="343"/>
  <c r="P142" i="343"/>
  <c r="O142" i="343"/>
  <c r="P141" i="343"/>
  <c r="O141" i="343"/>
  <c r="P140" i="343"/>
  <c r="O140" i="343"/>
  <c r="P137" i="343"/>
  <c r="O137" i="343"/>
  <c r="N137" i="343"/>
  <c r="M137" i="343"/>
  <c r="L137" i="343"/>
  <c r="K137" i="343"/>
  <c r="J137" i="343"/>
  <c r="H137" i="343"/>
  <c r="P136" i="343"/>
  <c r="O136" i="343"/>
  <c r="P135" i="343"/>
  <c r="O135" i="343"/>
  <c r="P134" i="343"/>
  <c r="O134" i="343"/>
  <c r="P133" i="343"/>
  <c r="O133" i="343"/>
  <c r="P132" i="343"/>
  <c r="O132" i="343"/>
  <c r="P131" i="343"/>
  <c r="O131" i="343"/>
  <c r="P130" i="343"/>
  <c r="O130" i="343"/>
  <c r="P129" i="343"/>
  <c r="O129" i="343"/>
  <c r="P128" i="343"/>
  <c r="O128" i="343"/>
  <c r="P127" i="343"/>
  <c r="O127" i="343"/>
  <c r="P123" i="343"/>
  <c r="O123" i="343"/>
  <c r="N123" i="343"/>
  <c r="M123" i="343"/>
  <c r="L123" i="343"/>
  <c r="K123" i="343"/>
  <c r="J123" i="343"/>
  <c r="H123" i="343"/>
  <c r="P122" i="343"/>
  <c r="O122" i="343"/>
  <c r="P119" i="343"/>
  <c r="O119" i="343"/>
  <c r="N119" i="343"/>
  <c r="M119" i="343"/>
  <c r="L119" i="343"/>
  <c r="K119" i="343"/>
  <c r="J119" i="343"/>
  <c r="H119" i="343"/>
  <c r="P118" i="343"/>
  <c r="O118" i="343"/>
  <c r="P115" i="343"/>
  <c r="O115" i="343"/>
  <c r="N115" i="343"/>
  <c r="M115" i="343"/>
  <c r="L115" i="343"/>
  <c r="K115" i="343"/>
  <c r="J115" i="343"/>
  <c r="I115" i="343"/>
  <c r="H115" i="343"/>
  <c r="P114" i="343"/>
  <c r="O114" i="343"/>
  <c r="P113" i="343"/>
  <c r="O113" i="343"/>
  <c r="P112" i="343"/>
  <c r="O112" i="343"/>
  <c r="P111" i="343"/>
  <c r="O111" i="343"/>
  <c r="P110" i="343"/>
  <c r="O110" i="343"/>
  <c r="P109" i="343"/>
  <c r="O109" i="343"/>
  <c r="P108" i="343"/>
  <c r="O108" i="343"/>
  <c r="P105" i="343"/>
  <c r="O105" i="343"/>
  <c r="N105" i="343"/>
  <c r="P104" i="343"/>
  <c r="O104" i="343"/>
  <c r="P101" i="343"/>
  <c r="O101" i="343"/>
  <c r="N101" i="343"/>
  <c r="M101" i="343"/>
  <c r="L101" i="343"/>
  <c r="K101" i="343"/>
  <c r="J101" i="343"/>
  <c r="I101" i="343"/>
  <c r="H101" i="343"/>
  <c r="P100" i="343"/>
  <c r="O100" i="343"/>
  <c r="P99" i="343"/>
  <c r="O99" i="343"/>
  <c r="P98" i="343"/>
  <c r="O98" i="343"/>
  <c r="P95" i="343"/>
  <c r="O95" i="343"/>
  <c r="N95" i="343"/>
  <c r="M95" i="343"/>
  <c r="L95" i="343"/>
  <c r="K95" i="343"/>
  <c r="J95" i="343"/>
  <c r="I95" i="343"/>
  <c r="H95" i="343"/>
  <c r="P94" i="343"/>
  <c r="O94" i="343"/>
  <c r="P91" i="343"/>
  <c r="O91" i="343"/>
  <c r="N91" i="343"/>
  <c r="M91" i="343"/>
  <c r="L91" i="343"/>
  <c r="K91" i="343"/>
  <c r="J91" i="343"/>
  <c r="H91" i="343"/>
  <c r="P90" i="343"/>
  <c r="O90" i="343"/>
  <c r="P89" i="343"/>
  <c r="O89" i="343"/>
  <c r="P88" i="343"/>
  <c r="O88" i="343"/>
  <c r="P87" i="343"/>
  <c r="O87" i="343"/>
  <c r="P86" i="343"/>
  <c r="O86" i="343"/>
  <c r="P85" i="343"/>
  <c r="P82" i="343"/>
  <c r="O82" i="343"/>
  <c r="N82" i="343"/>
  <c r="M82" i="343"/>
  <c r="L82" i="343"/>
  <c r="K82" i="343"/>
  <c r="J82" i="343"/>
  <c r="H82" i="343"/>
  <c r="P80" i="343"/>
  <c r="O80" i="343"/>
  <c r="P79" i="343"/>
  <c r="O79" i="343"/>
  <c r="P78" i="343"/>
  <c r="O78" i="343"/>
  <c r="P77" i="343"/>
  <c r="O77" i="343"/>
  <c r="P76" i="343"/>
  <c r="O76" i="343"/>
  <c r="P75" i="343"/>
  <c r="O75" i="343"/>
  <c r="P72" i="343"/>
  <c r="O72" i="343"/>
  <c r="P71" i="343"/>
  <c r="O71" i="343"/>
  <c r="P68" i="343"/>
  <c r="O68" i="343"/>
  <c r="N68" i="343"/>
  <c r="M68" i="343"/>
  <c r="L68" i="343"/>
  <c r="K68" i="343"/>
  <c r="J68" i="343"/>
  <c r="I68" i="343"/>
  <c r="H68" i="343"/>
  <c r="P67" i="343"/>
  <c r="P66" i="343"/>
  <c r="O66" i="343"/>
  <c r="P65" i="343"/>
  <c r="O65" i="343"/>
  <c r="P62" i="343"/>
  <c r="O62" i="343"/>
  <c r="N62" i="343"/>
  <c r="M62" i="343"/>
  <c r="L62" i="343"/>
  <c r="K62" i="343"/>
  <c r="J62" i="343"/>
  <c r="I62" i="343"/>
  <c r="H62" i="343"/>
  <c r="P61" i="343"/>
  <c r="O61" i="343"/>
  <c r="P58" i="343"/>
  <c r="O58" i="343"/>
  <c r="N58" i="343"/>
  <c r="M58" i="343"/>
  <c r="L58" i="343"/>
  <c r="K58" i="343"/>
  <c r="J58" i="343"/>
  <c r="I58" i="343"/>
  <c r="H58" i="343"/>
  <c r="P57" i="343"/>
  <c r="O57" i="343"/>
  <c r="P56" i="343"/>
  <c r="O56" i="343"/>
  <c r="P49" i="343"/>
  <c r="O49" i="343"/>
  <c r="P48" i="343"/>
  <c r="O48" i="343"/>
  <c r="P45" i="343"/>
  <c r="O45" i="343"/>
  <c r="N45" i="343"/>
  <c r="M45" i="343"/>
  <c r="L45" i="343"/>
  <c r="K45" i="343"/>
  <c r="J45" i="343"/>
  <c r="H45" i="343"/>
  <c r="P44" i="343"/>
  <c r="O44" i="343"/>
  <c r="P43" i="343"/>
  <c r="O43" i="343"/>
  <c r="P40" i="343"/>
  <c r="O40" i="343"/>
  <c r="N40" i="343"/>
  <c r="M40" i="343"/>
  <c r="L40" i="343"/>
  <c r="K40" i="343"/>
  <c r="J40" i="343"/>
  <c r="H40" i="343"/>
  <c r="P39" i="343"/>
  <c r="O39" i="343"/>
  <c r="P38" i="343"/>
  <c r="O38" i="343"/>
  <c r="P37" i="343"/>
  <c r="O37" i="343"/>
  <c r="P34" i="343"/>
  <c r="P33" i="343"/>
  <c r="O33" i="343"/>
  <c r="P30" i="343"/>
  <c r="O30" i="343"/>
  <c r="N30" i="343"/>
  <c r="M30" i="343"/>
  <c r="L30" i="343"/>
  <c r="K30" i="343"/>
  <c r="J30" i="343"/>
  <c r="H30" i="343"/>
  <c r="P29" i="343"/>
  <c r="O29" i="343"/>
  <c r="P26" i="343"/>
  <c r="O26" i="343"/>
  <c r="N26" i="343"/>
  <c r="M26" i="343"/>
  <c r="L26" i="343"/>
  <c r="K26" i="343"/>
  <c r="J26" i="343"/>
  <c r="H26" i="343"/>
  <c r="P25" i="343"/>
  <c r="O25" i="343"/>
  <c r="P24" i="343"/>
  <c r="O24" i="343"/>
  <c r="P20" i="343"/>
  <c r="O20" i="343"/>
  <c r="N20" i="343"/>
  <c r="M20" i="343"/>
  <c r="L20" i="343"/>
  <c r="K20" i="343"/>
  <c r="J20" i="343"/>
  <c r="I20" i="343"/>
  <c r="H20" i="343"/>
  <c r="P19" i="343"/>
  <c r="O19" i="343"/>
  <c r="P16" i="343"/>
  <c r="O16" i="343"/>
  <c r="N16" i="343"/>
  <c r="M16" i="343"/>
  <c r="L16" i="343"/>
  <c r="K16" i="343"/>
  <c r="J16" i="343"/>
  <c r="H16" i="343"/>
  <c r="P15" i="343"/>
  <c r="O15" i="343"/>
  <c r="P14" i="343"/>
  <c r="M242" i="342"/>
  <c r="L242" i="342"/>
  <c r="K242" i="342"/>
  <c r="J242" i="342"/>
  <c r="I242" i="342"/>
  <c r="H242" i="342"/>
  <c r="G242" i="342"/>
  <c r="E242" i="342"/>
  <c r="C242" i="342"/>
  <c r="M240" i="342"/>
  <c r="L240" i="342"/>
  <c r="K240" i="342"/>
  <c r="J240" i="342"/>
  <c r="I240" i="342"/>
  <c r="H240" i="342"/>
  <c r="G240" i="342"/>
  <c r="E240" i="342"/>
  <c r="M239" i="342"/>
  <c r="L239" i="342"/>
  <c r="K239" i="342"/>
  <c r="J239" i="342"/>
  <c r="I239" i="342"/>
  <c r="H239" i="342"/>
  <c r="G239" i="342"/>
  <c r="E239" i="342"/>
  <c r="M238" i="342"/>
  <c r="L238" i="342"/>
  <c r="M237" i="342"/>
  <c r="L237" i="342"/>
  <c r="M236" i="342"/>
  <c r="L236" i="342"/>
  <c r="M235" i="342"/>
  <c r="M234" i="342"/>
  <c r="L234" i="342"/>
  <c r="M233" i="342"/>
  <c r="L233" i="342"/>
  <c r="M230" i="342"/>
  <c r="L230" i="342"/>
  <c r="K230" i="342"/>
  <c r="J230" i="342"/>
  <c r="I230" i="342"/>
  <c r="H230" i="342"/>
  <c r="G230" i="342"/>
  <c r="E230" i="342"/>
  <c r="M229" i="342"/>
  <c r="M228" i="342"/>
  <c r="M227" i="342"/>
  <c r="L227" i="342"/>
  <c r="M226" i="342"/>
  <c r="L226" i="342"/>
  <c r="M224" i="342"/>
  <c r="L224" i="342"/>
  <c r="M223" i="342"/>
  <c r="L223" i="342"/>
  <c r="M220" i="342"/>
  <c r="L220" i="342"/>
  <c r="K220" i="342"/>
  <c r="J220" i="342"/>
  <c r="I220" i="342"/>
  <c r="H220" i="342"/>
  <c r="G220" i="342"/>
  <c r="E220" i="342"/>
  <c r="M219" i="342"/>
  <c r="M218" i="342"/>
  <c r="L218" i="342"/>
  <c r="M217" i="342"/>
  <c r="L217" i="342"/>
  <c r="M216" i="342"/>
  <c r="L216" i="342"/>
  <c r="M214" i="342"/>
  <c r="L214" i="342"/>
  <c r="M213" i="342"/>
  <c r="L213" i="342"/>
  <c r="M212" i="342"/>
  <c r="L212" i="342"/>
  <c r="M211" i="342"/>
  <c r="L211" i="342"/>
  <c r="M208" i="342"/>
  <c r="L208" i="342"/>
  <c r="K208" i="342"/>
  <c r="J208" i="342"/>
  <c r="I208" i="342"/>
  <c r="H208" i="342"/>
  <c r="G208" i="342"/>
  <c r="E208" i="342"/>
  <c r="M207" i="342"/>
  <c r="M206" i="342"/>
  <c r="L206" i="342"/>
  <c r="M205" i="342"/>
  <c r="L205" i="342"/>
  <c r="M204" i="342"/>
  <c r="L204" i="342"/>
  <c r="M203" i="342"/>
  <c r="L203" i="342"/>
  <c r="M202" i="342"/>
  <c r="L202" i="342"/>
  <c r="M200" i="342"/>
  <c r="L200" i="342"/>
  <c r="M199" i="342"/>
  <c r="L199" i="342"/>
  <c r="M198" i="342"/>
  <c r="L198" i="342"/>
  <c r="M197" i="342"/>
  <c r="M196" i="342"/>
  <c r="L196" i="342"/>
  <c r="M195" i="342"/>
  <c r="L195" i="342"/>
  <c r="M194" i="342"/>
  <c r="L194" i="342"/>
  <c r="M190" i="342"/>
  <c r="L190" i="342"/>
  <c r="K190" i="342"/>
  <c r="J190" i="342"/>
  <c r="I190" i="342"/>
  <c r="H190" i="342"/>
  <c r="G190" i="342"/>
  <c r="E190" i="342"/>
  <c r="M187" i="342"/>
  <c r="L187" i="342"/>
  <c r="M186" i="342"/>
  <c r="L186" i="342"/>
  <c r="M185" i="342"/>
  <c r="L185" i="342"/>
  <c r="M182" i="342"/>
  <c r="L182" i="342"/>
  <c r="K182" i="342"/>
  <c r="J182" i="342"/>
  <c r="I182" i="342"/>
  <c r="H182" i="342"/>
  <c r="G182" i="342"/>
  <c r="E182" i="342"/>
  <c r="M181" i="342"/>
  <c r="L181" i="342"/>
  <c r="M180" i="342"/>
  <c r="L180" i="342"/>
  <c r="M179" i="342"/>
  <c r="L179" i="342"/>
  <c r="M178" i="342"/>
  <c r="L178" i="342"/>
  <c r="M177" i="342"/>
  <c r="L177" i="342"/>
  <c r="M170" i="342"/>
  <c r="L170" i="342"/>
  <c r="K170" i="342"/>
  <c r="J170" i="342"/>
  <c r="I170" i="342"/>
  <c r="H170" i="342"/>
  <c r="G170" i="342"/>
  <c r="F170" i="342"/>
  <c r="E170" i="342"/>
  <c r="M169" i="342"/>
  <c r="L169" i="342"/>
  <c r="M168" i="342"/>
  <c r="L168" i="342"/>
  <c r="M165" i="342"/>
  <c r="L165" i="342"/>
  <c r="K165" i="342"/>
  <c r="J165" i="342"/>
  <c r="I165" i="342"/>
  <c r="H165" i="342"/>
  <c r="G165" i="342"/>
  <c r="E165" i="342"/>
  <c r="M164" i="342"/>
  <c r="L164" i="342"/>
  <c r="M161" i="342"/>
  <c r="L161" i="342"/>
  <c r="K161" i="342"/>
  <c r="J161" i="342"/>
  <c r="I161" i="342"/>
  <c r="H161" i="342"/>
  <c r="G161" i="342"/>
  <c r="F161" i="342"/>
  <c r="E161" i="342"/>
  <c r="M160" i="342"/>
  <c r="L160" i="342"/>
  <c r="M159" i="342"/>
  <c r="L159" i="342"/>
  <c r="M158" i="342"/>
  <c r="L158" i="342"/>
  <c r="L155" i="342"/>
  <c r="K155" i="342"/>
  <c r="J155" i="342"/>
  <c r="I155" i="342"/>
  <c r="H155" i="342"/>
  <c r="G155" i="342"/>
  <c r="F155" i="342"/>
  <c r="E155" i="342"/>
  <c r="M154" i="342"/>
  <c r="L154" i="342"/>
  <c r="M151" i="342"/>
  <c r="L151" i="342"/>
  <c r="K151" i="342"/>
  <c r="J151" i="342"/>
  <c r="I151" i="342"/>
  <c r="H151" i="342"/>
  <c r="G151" i="342"/>
  <c r="E151" i="342"/>
  <c r="M150" i="342"/>
  <c r="L150" i="342"/>
  <c r="M149" i="342"/>
  <c r="L149" i="342"/>
  <c r="M146" i="342"/>
  <c r="L146" i="342"/>
  <c r="K146" i="342"/>
  <c r="J146" i="342"/>
  <c r="I146" i="342"/>
  <c r="H146" i="342"/>
  <c r="G146" i="342"/>
  <c r="E146" i="342"/>
  <c r="M145" i="342"/>
  <c r="L145" i="342"/>
  <c r="M144" i="342"/>
  <c r="L144" i="342"/>
  <c r="M143" i="342"/>
  <c r="L143" i="342"/>
  <c r="M142" i="342"/>
  <c r="L142" i="342"/>
  <c r="M139" i="342"/>
  <c r="L139" i="342"/>
  <c r="K139" i="342"/>
  <c r="J139" i="342"/>
  <c r="I139" i="342"/>
  <c r="H139" i="342"/>
  <c r="G139" i="342"/>
  <c r="F139" i="342"/>
  <c r="E139" i="342"/>
  <c r="M138" i="342"/>
  <c r="L138" i="342"/>
  <c r="M137" i="342"/>
  <c r="L137" i="342"/>
  <c r="M136" i="342"/>
  <c r="M135" i="342"/>
  <c r="L135" i="342"/>
  <c r="M132" i="342"/>
  <c r="L132" i="342"/>
  <c r="K132" i="342"/>
  <c r="J132" i="342"/>
  <c r="I132" i="342"/>
  <c r="H132" i="342"/>
  <c r="G132" i="342"/>
  <c r="F132" i="342"/>
  <c r="E132" i="342"/>
  <c r="M131" i="342"/>
  <c r="L131" i="342"/>
  <c r="M128" i="342"/>
  <c r="L128" i="342"/>
  <c r="K128" i="342"/>
  <c r="J128" i="342"/>
  <c r="I128" i="342"/>
  <c r="H128" i="342"/>
  <c r="G128" i="342"/>
  <c r="E128" i="342"/>
  <c r="M127" i="342"/>
  <c r="L127" i="342"/>
  <c r="M124" i="342"/>
  <c r="L124" i="342"/>
  <c r="K124" i="342"/>
  <c r="J124" i="342"/>
  <c r="I124" i="342"/>
  <c r="H124" i="342"/>
  <c r="G124" i="342"/>
  <c r="F124" i="342"/>
  <c r="E124" i="342"/>
  <c r="M123" i="342"/>
  <c r="L123" i="342"/>
  <c r="M122" i="342"/>
  <c r="M121" i="342"/>
  <c r="L121" i="342"/>
  <c r="M120" i="342"/>
  <c r="L120" i="342"/>
  <c r="M119" i="342"/>
  <c r="L119" i="342"/>
  <c r="M116" i="342"/>
  <c r="L116" i="342"/>
  <c r="K116" i="342"/>
  <c r="J116" i="342"/>
  <c r="I116" i="342"/>
  <c r="H116" i="342"/>
  <c r="G116" i="342"/>
  <c r="E116" i="342"/>
  <c r="M115" i="342"/>
  <c r="L115" i="342"/>
  <c r="M112" i="342"/>
  <c r="L112" i="342"/>
  <c r="K112" i="342"/>
  <c r="J112" i="342"/>
  <c r="I112" i="342"/>
  <c r="H112" i="342"/>
  <c r="G112" i="342"/>
  <c r="E112" i="342"/>
  <c r="M111" i="342"/>
  <c r="L111" i="342"/>
  <c r="M110" i="342"/>
  <c r="L110" i="342"/>
  <c r="M109" i="342"/>
  <c r="L109" i="342"/>
  <c r="M106" i="342"/>
  <c r="L106" i="342"/>
  <c r="K106" i="342"/>
  <c r="J106" i="342"/>
  <c r="I106" i="342"/>
  <c r="H106" i="342"/>
  <c r="G106" i="342"/>
  <c r="E106" i="342"/>
  <c r="M104" i="342"/>
  <c r="L104" i="342"/>
  <c r="M101" i="342"/>
  <c r="L101" i="342"/>
  <c r="K101" i="342"/>
  <c r="J101" i="342"/>
  <c r="I101" i="342"/>
  <c r="H101" i="342"/>
  <c r="G101" i="342"/>
  <c r="E101" i="342"/>
  <c r="M100" i="342"/>
  <c r="L100" i="342"/>
  <c r="M99" i="342"/>
  <c r="L99" i="342"/>
  <c r="M96" i="342"/>
  <c r="L96" i="342"/>
  <c r="K96" i="342"/>
  <c r="J96" i="342"/>
  <c r="I96" i="342"/>
  <c r="H96" i="342"/>
  <c r="G96" i="342"/>
  <c r="F96" i="342"/>
  <c r="E96" i="342"/>
  <c r="M95" i="342"/>
  <c r="L95" i="342"/>
  <c r="M92" i="342"/>
  <c r="L92" i="342"/>
  <c r="K92" i="342"/>
  <c r="J92" i="342"/>
  <c r="I92" i="342"/>
  <c r="H92" i="342"/>
  <c r="G92" i="342"/>
  <c r="E92" i="342"/>
  <c r="M91" i="342"/>
  <c r="L91" i="342"/>
  <c r="M90" i="342"/>
  <c r="L90" i="342"/>
  <c r="M89" i="342"/>
  <c r="L89" i="342"/>
  <c r="M88" i="342"/>
  <c r="L88" i="342"/>
  <c r="M87" i="342"/>
  <c r="L87" i="342"/>
  <c r="M86" i="342"/>
  <c r="L86" i="342"/>
  <c r="M85" i="342"/>
  <c r="L85" i="342"/>
  <c r="M84" i="342"/>
  <c r="L84" i="342"/>
  <c r="M83" i="342"/>
  <c r="L83" i="342"/>
  <c r="M82" i="342"/>
  <c r="L82" i="342"/>
  <c r="M79" i="342"/>
  <c r="L79" i="342"/>
  <c r="K79" i="342"/>
  <c r="J79" i="342"/>
  <c r="I79" i="342"/>
  <c r="H79" i="342"/>
  <c r="G79" i="342"/>
  <c r="E79" i="342"/>
  <c r="M78" i="342"/>
  <c r="L78" i="342"/>
  <c r="M77" i="342"/>
  <c r="L77" i="342"/>
  <c r="M76" i="342"/>
  <c r="L76" i="342"/>
  <c r="M75" i="342"/>
  <c r="L75" i="342"/>
  <c r="M74" i="342"/>
  <c r="L74" i="342"/>
  <c r="M73" i="342"/>
  <c r="L73" i="342"/>
  <c r="M72" i="342"/>
  <c r="L72" i="342"/>
  <c r="M71" i="342"/>
  <c r="L71" i="342"/>
  <c r="M70" i="342"/>
  <c r="L70" i="342"/>
  <c r="M69" i="342"/>
  <c r="L69" i="342"/>
  <c r="M68" i="342"/>
  <c r="L68" i="342"/>
  <c r="M67" i="342"/>
  <c r="L67" i="342"/>
  <c r="M66" i="342"/>
  <c r="L66" i="342"/>
  <c r="M63" i="342"/>
  <c r="L63" i="342"/>
  <c r="K63" i="342"/>
  <c r="J63" i="342"/>
  <c r="I63" i="342"/>
  <c r="H63" i="342"/>
  <c r="G63" i="342"/>
  <c r="E63" i="342"/>
  <c r="M62" i="342"/>
  <c r="M61" i="342"/>
  <c r="L61" i="342"/>
  <c r="M60" i="342"/>
  <c r="L60" i="342"/>
  <c r="M57" i="342"/>
  <c r="L57" i="342"/>
  <c r="K57" i="342"/>
  <c r="J57" i="342"/>
  <c r="I57" i="342"/>
  <c r="H57" i="342"/>
  <c r="G57" i="342"/>
  <c r="E57" i="342"/>
  <c r="M56" i="342"/>
  <c r="L56" i="342"/>
  <c r="M55" i="342"/>
  <c r="L55" i="342"/>
  <c r="M54" i="342"/>
  <c r="L54" i="342"/>
  <c r="M53" i="342"/>
  <c r="L53" i="342"/>
  <c r="M52" i="342"/>
  <c r="L52" i="342"/>
  <c r="M51" i="342"/>
  <c r="L51" i="342"/>
  <c r="M48" i="342"/>
  <c r="L48" i="342"/>
  <c r="K48" i="342"/>
  <c r="J48" i="342"/>
  <c r="I48" i="342"/>
  <c r="H48" i="342"/>
  <c r="G48" i="342"/>
  <c r="F48" i="342"/>
  <c r="E48" i="342"/>
  <c r="M47" i="342"/>
  <c r="L47" i="342"/>
  <c r="M46" i="342"/>
  <c r="L46" i="342"/>
  <c r="M43" i="342"/>
  <c r="L43" i="342"/>
  <c r="K43" i="342"/>
  <c r="J43" i="342"/>
  <c r="I43" i="342"/>
  <c r="H43" i="342"/>
  <c r="F43" i="342"/>
  <c r="E43" i="342"/>
  <c r="M42" i="342"/>
  <c r="L42" i="342"/>
  <c r="M39" i="342"/>
  <c r="L39" i="342"/>
  <c r="K39" i="342"/>
  <c r="J39" i="342"/>
  <c r="I39" i="342"/>
  <c r="H39" i="342"/>
  <c r="G39" i="342"/>
  <c r="E39" i="342"/>
  <c r="M38" i="342"/>
  <c r="L38" i="342"/>
  <c r="M37" i="342"/>
  <c r="L37" i="342"/>
  <c r="M36" i="342"/>
  <c r="L36" i="342"/>
  <c r="M35" i="342"/>
  <c r="L35" i="342"/>
  <c r="M32" i="342"/>
  <c r="L32" i="342"/>
  <c r="K32" i="342"/>
  <c r="J32" i="342"/>
  <c r="I32" i="342"/>
  <c r="H32" i="342"/>
  <c r="G32" i="342"/>
  <c r="E32" i="342"/>
  <c r="M31" i="342"/>
  <c r="L31" i="342"/>
  <c r="M30" i="342"/>
  <c r="L30" i="342"/>
  <c r="M29" i="342"/>
  <c r="L29" i="342"/>
  <c r="M28" i="342"/>
  <c r="L28" i="342"/>
  <c r="M25" i="342"/>
  <c r="L25" i="342"/>
  <c r="K25" i="342"/>
  <c r="J25" i="342"/>
  <c r="I25" i="342"/>
  <c r="H25" i="342"/>
  <c r="G25" i="342"/>
  <c r="F25" i="342"/>
  <c r="E25" i="342"/>
  <c r="M24" i="342"/>
  <c r="L24" i="342"/>
  <c r="M23" i="342"/>
  <c r="L23" i="342"/>
  <c r="M22" i="342"/>
  <c r="L22" i="342"/>
  <c r="M21" i="342"/>
  <c r="L21" i="342"/>
  <c r="M40" i="341"/>
  <c r="L40" i="341"/>
  <c r="K40" i="341"/>
  <c r="J40" i="341"/>
  <c r="I40" i="341"/>
  <c r="H40" i="341"/>
  <c r="G40" i="341"/>
  <c r="F40" i="341"/>
  <c r="E40" i="341"/>
  <c r="M39" i="341"/>
  <c r="L39" i="341"/>
  <c r="K39" i="341"/>
  <c r="J39" i="341"/>
  <c r="I39" i="341"/>
  <c r="H39" i="341"/>
  <c r="G39" i="341"/>
  <c r="F39" i="341"/>
  <c r="E39" i="341"/>
  <c r="M38" i="341"/>
  <c r="L38" i="341"/>
  <c r="K38" i="341"/>
  <c r="J38" i="341"/>
  <c r="I38" i="341"/>
  <c r="H38" i="341"/>
  <c r="G38" i="341"/>
  <c r="F38" i="341"/>
  <c r="E38" i="341"/>
  <c r="L37" i="341"/>
  <c r="M34" i="341"/>
  <c r="L34" i="341"/>
  <c r="K34" i="341"/>
  <c r="J34" i="341"/>
  <c r="I34" i="341"/>
  <c r="H34" i="341"/>
  <c r="G34" i="341"/>
  <c r="F34" i="341"/>
  <c r="E34" i="341"/>
  <c r="L33" i="341"/>
  <c r="L32" i="34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L18" i="340"/>
  <c r="K18" i="340"/>
  <c r="J18" i="340"/>
  <c r="I18" i="340"/>
  <c r="H18" i="340"/>
  <c r="G18" i="340"/>
  <c r="F18" i="340"/>
  <c r="E18" i="340"/>
  <c r="D18" i="340"/>
  <c r="L16" i="340"/>
  <c r="K16" i="340"/>
  <c r="J16" i="340"/>
  <c r="I16" i="340"/>
  <c r="H16" i="340"/>
  <c r="G16" i="340"/>
  <c r="F16" i="340"/>
  <c r="E16" i="340"/>
  <c r="D16" i="340"/>
  <c r="L15" i="340"/>
  <c r="K15" i="340"/>
  <c r="M41" i="339"/>
  <c r="L41" i="339"/>
  <c r="J41" i="339"/>
  <c r="I41" i="339"/>
  <c r="H41" i="339"/>
  <c r="G41" i="339"/>
  <c r="E41" i="339"/>
  <c r="D41" i="339"/>
  <c r="M39" i="339"/>
  <c r="M38" i="339"/>
  <c r="M32" i="339"/>
  <c r="L32" i="339"/>
  <c r="M31" i="339"/>
  <c r="L31" i="339"/>
  <c r="M28" i="339"/>
  <c r="L28" i="339"/>
  <c r="M27" i="339"/>
  <c r="L27" i="339"/>
  <c r="M24" i="339"/>
  <c r="L24" i="339"/>
  <c r="K24" i="339"/>
  <c r="J24" i="339"/>
  <c r="I24" i="339"/>
  <c r="H24" i="339"/>
  <c r="G24" i="339"/>
  <c r="E24" i="339"/>
  <c r="M23" i="339"/>
  <c r="L23" i="339"/>
  <c r="M20" i="339"/>
  <c r="L20" i="339"/>
  <c r="K20" i="339"/>
  <c r="J20" i="339"/>
  <c r="I20" i="339"/>
  <c r="H20" i="339"/>
  <c r="G20" i="339"/>
  <c r="F20" i="339"/>
  <c r="E20" i="339"/>
  <c r="M19" i="339"/>
  <c r="L19" i="339"/>
  <c r="M16" i="339"/>
  <c r="L16" i="339"/>
  <c r="K16" i="339"/>
  <c r="J16" i="339"/>
  <c r="I16" i="339"/>
  <c r="H16" i="339"/>
  <c r="G16" i="339"/>
  <c r="F16" i="339"/>
  <c r="E16" i="339"/>
  <c r="M15" i="339"/>
  <c r="L15" i="339"/>
  <c r="M49" i="338"/>
  <c r="L49" i="338"/>
  <c r="J49" i="338"/>
  <c r="I49" i="338"/>
  <c r="H49" i="338"/>
  <c r="G49" i="338"/>
  <c r="E49" i="338"/>
  <c r="M46" i="338"/>
  <c r="L46" i="338"/>
  <c r="J46" i="338"/>
  <c r="I46" i="338"/>
  <c r="H46" i="338"/>
  <c r="G46" i="338"/>
  <c r="E46" i="338"/>
  <c r="M45" i="338"/>
  <c r="L45" i="338"/>
  <c r="M42" i="338"/>
  <c r="L42" i="338"/>
  <c r="J42" i="338"/>
  <c r="I42" i="338"/>
  <c r="H42" i="338"/>
  <c r="G42" i="338"/>
  <c r="E42" i="338"/>
  <c r="M41" i="338"/>
  <c r="L41" i="338"/>
  <c r="M38" i="338"/>
  <c r="L38" i="338"/>
  <c r="J38" i="338"/>
  <c r="I38" i="338"/>
  <c r="H38" i="338"/>
  <c r="G38" i="338"/>
  <c r="E38" i="338"/>
  <c r="M37" i="338"/>
  <c r="L37" i="338"/>
  <c r="M27" i="338"/>
  <c r="L27" i="338"/>
  <c r="J27" i="338"/>
  <c r="I27" i="338"/>
  <c r="H27" i="338"/>
  <c r="G27" i="338"/>
  <c r="E27" i="338"/>
  <c r="M26" i="338"/>
  <c r="L26" i="338"/>
  <c r="M23" i="338"/>
  <c r="L23" i="338"/>
  <c r="J23" i="338"/>
  <c r="I23" i="338"/>
  <c r="H23" i="338"/>
  <c r="G23" i="338"/>
  <c r="E23" i="338"/>
  <c r="M22" i="338"/>
  <c r="L22" i="338"/>
  <c r="P159" i="337"/>
  <c r="O159" i="337"/>
  <c r="N159" i="337"/>
  <c r="M159" i="337"/>
  <c r="L159" i="337"/>
  <c r="K159" i="337"/>
  <c r="J159" i="337"/>
  <c r="I159" i="337"/>
  <c r="H159" i="337"/>
  <c r="D159" i="337"/>
  <c r="P157" i="337"/>
  <c r="O157" i="337"/>
  <c r="N157" i="337"/>
  <c r="M157" i="337"/>
  <c r="L157" i="337"/>
  <c r="K157" i="337"/>
  <c r="J157" i="337"/>
  <c r="I157" i="337"/>
  <c r="H157" i="337"/>
  <c r="P156" i="337"/>
  <c r="O156" i="337"/>
  <c r="N156" i="337"/>
  <c r="M156" i="337"/>
  <c r="L156" i="337"/>
  <c r="K156" i="337"/>
  <c r="J156" i="337"/>
  <c r="I156" i="337"/>
  <c r="H156" i="337"/>
  <c r="P155" i="337"/>
  <c r="O155" i="337"/>
  <c r="P154" i="337"/>
  <c r="O154" i="337"/>
  <c r="P153" i="337"/>
  <c r="O153" i="337"/>
  <c r="P152" i="337"/>
  <c r="O152" i="337"/>
  <c r="P151" i="337"/>
  <c r="O151" i="337"/>
  <c r="P150" i="337"/>
  <c r="O150" i="337"/>
  <c r="P149" i="337"/>
  <c r="O149" i="337"/>
  <c r="P148" i="337"/>
  <c r="O148" i="337"/>
  <c r="P145" i="337"/>
  <c r="O145" i="337"/>
  <c r="N145" i="337"/>
  <c r="M145" i="337"/>
  <c r="L145" i="337"/>
  <c r="K145" i="337"/>
  <c r="J145" i="337"/>
  <c r="I145" i="337"/>
  <c r="H145" i="337"/>
  <c r="P144" i="337"/>
  <c r="O144" i="337"/>
  <c r="P143" i="337"/>
  <c r="O143" i="337"/>
  <c r="P142" i="337"/>
  <c r="O142" i="337"/>
  <c r="P141" i="337"/>
  <c r="O141" i="337"/>
  <c r="P140" i="337"/>
  <c r="O140" i="337"/>
  <c r="P139" i="337"/>
  <c r="O139" i="337"/>
  <c r="P138" i="337"/>
  <c r="O138" i="337"/>
  <c r="P137" i="337"/>
  <c r="O137" i="337"/>
  <c r="P136" i="337"/>
  <c r="O136" i="337"/>
  <c r="P133" i="337"/>
  <c r="O133" i="337"/>
  <c r="N133" i="337"/>
  <c r="M133" i="337"/>
  <c r="L133" i="337"/>
  <c r="K133" i="337"/>
  <c r="J133" i="337"/>
  <c r="I133" i="337"/>
  <c r="H133" i="337"/>
  <c r="P132" i="337"/>
  <c r="O132" i="337"/>
  <c r="P131" i="337"/>
  <c r="O131" i="337"/>
  <c r="P130" i="337"/>
  <c r="O130" i="337"/>
  <c r="P129" i="337"/>
  <c r="O129" i="337"/>
  <c r="P128" i="337"/>
  <c r="O128" i="337"/>
  <c r="P127" i="337"/>
  <c r="O127" i="337"/>
  <c r="P126" i="337"/>
  <c r="O126" i="337"/>
  <c r="P125" i="337"/>
  <c r="O125" i="337"/>
  <c r="P122" i="337"/>
  <c r="O122" i="337"/>
  <c r="N122" i="337"/>
  <c r="M122" i="337"/>
  <c r="L122" i="337"/>
  <c r="K122" i="337"/>
  <c r="J122" i="337"/>
  <c r="I122" i="337"/>
  <c r="H122" i="337"/>
  <c r="P121" i="337"/>
  <c r="O121" i="337"/>
  <c r="P120" i="337"/>
  <c r="O120" i="337"/>
  <c r="P119" i="337"/>
  <c r="O119" i="337"/>
  <c r="P118" i="337"/>
  <c r="O118" i="337"/>
  <c r="P117" i="337"/>
  <c r="O117" i="337"/>
  <c r="P116" i="337"/>
  <c r="O116" i="337"/>
  <c r="P115" i="337"/>
  <c r="O115" i="337"/>
  <c r="P114" i="337"/>
  <c r="O114" i="337"/>
  <c r="P113" i="337"/>
  <c r="O113" i="337"/>
  <c r="P109" i="337"/>
  <c r="O109" i="337"/>
  <c r="N109" i="337"/>
  <c r="M109" i="337"/>
  <c r="L109" i="337"/>
  <c r="K109" i="337"/>
  <c r="J109" i="337"/>
  <c r="H109" i="337"/>
  <c r="P108" i="337"/>
  <c r="O108" i="337"/>
  <c r="P105" i="337"/>
  <c r="O105" i="337"/>
  <c r="N105" i="337"/>
  <c r="M105" i="337"/>
  <c r="L105" i="337"/>
  <c r="K105" i="337"/>
  <c r="J105" i="337"/>
  <c r="H105" i="337"/>
  <c r="P104" i="337"/>
  <c r="O104" i="337"/>
  <c r="P103" i="337"/>
  <c r="O103" i="337"/>
  <c r="P100" i="337"/>
  <c r="O100" i="337"/>
  <c r="N100" i="337"/>
  <c r="M100" i="337"/>
  <c r="L100" i="337"/>
  <c r="K100" i="337"/>
  <c r="J100" i="337"/>
  <c r="I100" i="337"/>
  <c r="H100" i="337"/>
  <c r="P99" i="337"/>
  <c r="O99" i="337"/>
  <c r="P98" i="337"/>
  <c r="O98" i="337"/>
  <c r="P97" i="337"/>
  <c r="O97" i="337"/>
  <c r="P96" i="337"/>
  <c r="O96" i="337"/>
  <c r="P95" i="337"/>
  <c r="O95" i="337"/>
  <c r="P94" i="337"/>
  <c r="O94" i="337"/>
  <c r="P93" i="337"/>
  <c r="O93" i="337"/>
  <c r="P90" i="337"/>
  <c r="O90" i="337"/>
  <c r="N90" i="337"/>
  <c r="P89" i="337"/>
  <c r="O89" i="337"/>
  <c r="P86" i="337"/>
  <c r="O86" i="337"/>
  <c r="N86" i="337"/>
  <c r="M86" i="337"/>
  <c r="L86" i="337"/>
  <c r="K86" i="337"/>
  <c r="J86" i="337"/>
  <c r="I86" i="337"/>
  <c r="H86" i="337"/>
  <c r="P85" i="337"/>
  <c r="O85" i="337"/>
  <c r="P84" i="337"/>
  <c r="O84" i="337"/>
  <c r="P81" i="337"/>
  <c r="O81" i="337"/>
  <c r="N81" i="337"/>
  <c r="M81" i="337"/>
  <c r="L81" i="337"/>
  <c r="K81" i="337"/>
  <c r="J81" i="337"/>
  <c r="I81" i="337"/>
  <c r="H81" i="337"/>
  <c r="P80" i="337"/>
  <c r="O80" i="337"/>
  <c r="P77" i="337"/>
  <c r="O77" i="337"/>
  <c r="N77" i="337"/>
  <c r="M77" i="337"/>
  <c r="L77" i="337"/>
  <c r="K77" i="337"/>
  <c r="J77" i="337"/>
  <c r="H77" i="337"/>
  <c r="P76" i="337"/>
  <c r="O76" i="337"/>
  <c r="P75" i="337"/>
  <c r="O75" i="337"/>
  <c r="P74" i="337"/>
  <c r="O74" i="337"/>
  <c r="P73" i="337"/>
  <c r="P70" i="337"/>
  <c r="O70" i="337"/>
  <c r="N70" i="337"/>
  <c r="M70" i="337"/>
  <c r="L70" i="337"/>
  <c r="K70" i="337"/>
  <c r="J70" i="337"/>
  <c r="H70" i="337"/>
  <c r="P68" i="337"/>
  <c r="O68" i="337"/>
  <c r="P67" i="337"/>
  <c r="O67" i="337"/>
  <c r="P66" i="337"/>
  <c r="O66" i="337"/>
  <c r="P65" i="337"/>
  <c r="O65" i="337"/>
  <c r="P64" i="337"/>
  <c r="O64" i="337"/>
  <c r="P63" i="337"/>
  <c r="O63" i="337"/>
  <c r="P60" i="337"/>
  <c r="O60" i="337"/>
  <c r="N60" i="337"/>
  <c r="M60" i="337"/>
  <c r="L60" i="337"/>
  <c r="K60" i="337"/>
  <c r="J60" i="337"/>
  <c r="I60" i="337"/>
  <c r="H60" i="337"/>
  <c r="P59" i="337"/>
  <c r="P58" i="337"/>
  <c r="O58" i="337"/>
  <c r="P57" i="337"/>
  <c r="O57" i="337"/>
  <c r="P54" i="337"/>
  <c r="O54" i="337"/>
  <c r="N54" i="337"/>
  <c r="M54" i="337"/>
  <c r="L54" i="337"/>
  <c r="K54" i="337"/>
  <c r="J54" i="337"/>
  <c r="I54" i="337"/>
  <c r="H54" i="337"/>
  <c r="P53" i="337"/>
  <c r="O53" i="337"/>
  <c r="P50" i="337"/>
  <c r="O50" i="337"/>
  <c r="N50" i="337"/>
  <c r="M50" i="337"/>
  <c r="L50" i="337"/>
  <c r="K50" i="337"/>
  <c r="J50" i="337"/>
  <c r="I50" i="337"/>
  <c r="H50" i="337"/>
  <c r="P49" i="337"/>
  <c r="O49" i="337"/>
  <c r="P48" i="337"/>
  <c r="O48" i="337"/>
  <c r="P42" i="337"/>
  <c r="O42" i="337"/>
  <c r="N42" i="337"/>
  <c r="M42" i="337"/>
  <c r="L42" i="337"/>
  <c r="K42" i="337"/>
  <c r="J42" i="337"/>
  <c r="H42" i="337"/>
  <c r="P40" i="337"/>
  <c r="O40" i="337"/>
  <c r="P37" i="337"/>
  <c r="O37" i="337"/>
  <c r="P36" i="337"/>
  <c r="O36" i="337"/>
  <c r="P33" i="337"/>
  <c r="O33" i="337"/>
  <c r="P32" i="337"/>
  <c r="O32" i="337"/>
  <c r="P29" i="337"/>
  <c r="O29" i="337"/>
  <c r="N29" i="337"/>
  <c r="M29" i="337"/>
  <c r="L29" i="337"/>
  <c r="K29" i="337"/>
  <c r="J29" i="337"/>
  <c r="H29" i="337"/>
  <c r="P28" i="337"/>
  <c r="O28" i="337"/>
  <c r="P25" i="337"/>
  <c r="O25" i="337"/>
  <c r="N25" i="337"/>
  <c r="M25" i="337"/>
  <c r="L25" i="337"/>
  <c r="K25" i="337"/>
  <c r="J25" i="337"/>
  <c r="H25" i="337"/>
  <c r="P24" i="337"/>
  <c r="O24" i="337"/>
  <c r="P20" i="337"/>
  <c r="O20" i="337"/>
  <c r="N20" i="337"/>
  <c r="M20" i="337"/>
  <c r="L20" i="337"/>
  <c r="K20" i="337"/>
  <c r="J20" i="337"/>
  <c r="I20" i="337"/>
  <c r="H20" i="337"/>
  <c r="P19" i="337"/>
  <c r="O19" i="337"/>
  <c r="P16" i="337"/>
  <c r="O16" i="337"/>
  <c r="N16" i="337"/>
  <c r="M16" i="337"/>
  <c r="L16" i="337"/>
  <c r="K16" i="337"/>
  <c r="J16" i="337"/>
  <c r="H16" i="337"/>
  <c r="P15" i="337"/>
  <c r="O15" i="337"/>
  <c r="P14" i="337"/>
  <c r="M246" i="336"/>
  <c r="L246" i="336"/>
  <c r="K246" i="336"/>
  <c r="J246" i="336"/>
  <c r="I246" i="336"/>
  <c r="H246" i="336"/>
  <c r="G246" i="336"/>
  <c r="E246" i="336"/>
  <c r="C246" i="336"/>
  <c r="M244" i="336"/>
  <c r="L244" i="336"/>
  <c r="K244" i="336"/>
  <c r="J244" i="336"/>
  <c r="I244" i="336"/>
  <c r="H244" i="336"/>
  <c r="G244" i="336"/>
  <c r="E244" i="336"/>
  <c r="M243" i="336"/>
  <c r="L243" i="336"/>
  <c r="K243" i="336"/>
  <c r="J243" i="336"/>
  <c r="I243" i="336"/>
  <c r="H243" i="336"/>
  <c r="G243" i="336"/>
  <c r="F243" i="336"/>
  <c r="E243" i="336"/>
  <c r="M242" i="336"/>
  <c r="L242" i="336"/>
  <c r="M241" i="336"/>
  <c r="L241" i="336"/>
  <c r="M240" i="336"/>
  <c r="L240" i="336"/>
  <c r="M239" i="336"/>
  <c r="M238" i="336"/>
  <c r="L238" i="336"/>
  <c r="M237" i="336"/>
  <c r="L237" i="336"/>
  <c r="M234" i="336"/>
  <c r="L234" i="336"/>
  <c r="K234" i="336"/>
  <c r="J234" i="336"/>
  <c r="I234" i="336"/>
  <c r="H234" i="336"/>
  <c r="G234" i="336"/>
  <c r="E234" i="336"/>
  <c r="M233" i="336"/>
  <c r="M232" i="336"/>
  <c r="M231" i="336"/>
  <c r="L231" i="336"/>
  <c r="M230" i="336"/>
  <c r="L230" i="336"/>
  <c r="M228" i="336"/>
  <c r="L228" i="336"/>
  <c r="M227" i="336"/>
  <c r="L227" i="336"/>
  <c r="M224" i="336"/>
  <c r="L224" i="336"/>
  <c r="K224" i="336"/>
  <c r="J224" i="336"/>
  <c r="I224" i="336"/>
  <c r="H224" i="336"/>
  <c r="G224" i="336"/>
  <c r="E224" i="336"/>
  <c r="M223" i="336"/>
  <c r="M222" i="336"/>
  <c r="L222" i="336"/>
  <c r="M221" i="336"/>
  <c r="L221" i="336"/>
  <c r="M220" i="336"/>
  <c r="L220" i="336"/>
  <c r="M218" i="336"/>
  <c r="L218" i="336"/>
  <c r="M217" i="336"/>
  <c r="L217" i="336"/>
  <c r="M216" i="336"/>
  <c r="L216" i="336"/>
  <c r="M215" i="336"/>
  <c r="L215" i="336"/>
  <c r="M212" i="336"/>
  <c r="L212" i="336"/>
  <c r="K212" i="336"/>
  <c r="J212" i="336"/>
  <c r="I212" i="336"/>
  <c r="H212" i="336"/>
  <c r="G212" i="336"/>
  <c r="E212" i="336"/>
  <c r="M211" i="336"/>
  <c r="M210" i="336"/>
  <c r="L210" i="336"/>
  <c r="M209" i="336"/>
  <c r="L209" i="336"/>
  <c r="M208" i="336"/>
  <c r="L208" i="336"/>
  <c r="M207" i="336"/>
  <c r="L207" i="336"/>
  <c r="M206" i="336"/>
  <c r="L206" i="336"/>
  <c r="M204" i="336"/>
  <c r="L204" i="336"/>
  <c r="M203" i="336"/>
  <c r="L203" i="336"/>
  <c r="M202" i="336"/>
  <c r="L202" i="336"/>
  <c r="M201" i="336"/>
  <c r="M200" i="336"/>
  <c r="L200" i="336"/>
  <c r="M199" i="336"/>
  <c r="L199" i="336"/>
  <c r="M198" i="336"/>
  <c r="L198" i="336"/>
  <c r="M194" i="336"/>
  <c r="L194" i="336"/>
  <c r="K194" i="336"/>
  <c r="J194" i="336"/>
  <c r="I194" i="336"/>
  <c r="H194" i="336"/>
  <c r="G194" i="336"/>
  <c r="E194" i="336"/>
  <c r="M192" i="336"/>
  <c r="L192" i="336"/>
  <c r="M191" i="336"/>
  <c r="L191" i="336"/>
  <c r="M190" i="336"/>
  <c r="L190" i="336"/>
  <c r="M187" i="336"/>
  <c r="L187" i="336"/>
  <c r="K187" i="336"/>
  <c r="J187" i="336"/>
  <c r="I187" i="336"/>
  <c r="H187" i="336"/>
  <c r="G187" i="336"/>
  <c r="E187" i="336"/>
  <c r="M186" i="336"/>
  <c r="L186" i="336"/>
  <c r="M185" i="336"/>
  <c r="L185" i="336"/>
  <c r="M184" i="336"/>
  <c r="L184" i="336"/>
  <c r="M183" i="336"/>
  <c r="L183" i="336"/>
  <c r="M182" i="336"/>
  <c r="L182" i="336"/>
  <c r="M181" i="336"/>
  <c r="L181" i="336"/>
  <c r="M178" i="336"/>
  <c r="L178" i="336"/>
  <c r="K178" i="336"/>
  <c r="J178" i="336"/>
  <c r="I178" i="336"/>
  <c r="H178" i="336"/>
  <c r="G178" i="336"/>
  <c r="F178" i="336"/>
  <c r="E178" i="336"/>
  <c r="M177" i="336"/>
  <c r="L177" i="336"/>
  <c r="M176" i="336"/>
  <c r="L176" i="336"/>
  <c r="M173" i="336"/>
  <c r="L173" i="336"/>
  <c r="K173" i="336"/>
  <c r="J173" i="336"/>
  <c r="I173" i="336"/>
  <c r="H173" i="336"/>
  <c r="G173" i="336"/>
  <c r="E173" i="336"/>
  <c r="M172" i="336"/>
  <c r="L172" i="336"/>
  <c r="M171" i="336"/>
  <c r="L171" i="336"/>
  <c r="M168" i="336"/>
  <c r="L168" i="336"/>
  <c r="K168" i="336"/>
  <c r="J168" i="336"/>
  <c r="I168" i="336"/>
  <c r="H168" i="336"/>
  <c r="G168" i="336"/>
  <c r="F168" i="336"/>
  <c r="E168" i="336"/>
  <c r="M167" i="336"/>
  <c r="L167" i="336"/>
  <c r="M166" i="336"/>
  <c r="L166" i="336"/>
  <c r="M165" i="336"/>
  <c r="L165" i="336"/>
  <c r="L162" i="336"/>
  <c r="K162" i="336"/>
  <c r="J162" i="336"/>
  <c r="I162" i="336"/>
  <c r="H162" i="336"/>
  <c r="G162" i="336"/>
  <c r="F162" i="336"/>
  <c r="E162" i="336"/>
  <c r="M161" i="336"/>
  <c r="L161" i="336"/>
  <c r="M158" i="336"/>
  <c r="L158" i="336"/>
  <c r="K158" i="336"/>
  <c r="J158" i="336"/>
  <c r="I158" i="336"/>
  <c r="H158" i="336"/>
  <c r="G158" i="336"/>
  <c r="E158" i="336"/>
  <c r="M157" i="336"/>
  <c r="L157" i="336"/>
  <c r="M156" i="336"/>
  <c r="L156" i="336"/>
  <c r="M153" i="336"/>
  <c r="L153" i="336"/>
  <c r="K153" i="336"/>
  <c r="J153" i="336"/>
  <c r="I153" i="336"/>
  <c r="H153" i="336"/>
  <c r="G153" i="336"/>
  <c r="F153" i="336"/>
  <c r="E153" i="336"/>
  <c r="M152" i="336"/>
  <c r="L152" i="336"/>
  <c r="M151" i="336"/>
  <c r="L151" i="336"/>
  <c r="M150" i="336"/>
  <c r="L150" i="336"/>
  <c r="M147" i="336"/>
  <c r="L147" i="336"/>
  <c r="K147" i="336"/>
  <c r="J147" i="336"/>
  <c r="I147" i="336"/>
  <c r="H147" i="336"/>
  <c r="G147" i="336"/>
  <c r="F147" i="336"/>
  <c r="E147" i="336"/>
  <c r="M146" i="336"/>
  <c r="L146" i="336"/>
  <c r="M145" i="336"/>
  <c r="L145" i="336"/>
  <c r="M144" i="336"/>
  <c r="M143" i="336"/>
  <c r="L143" i="336"/>
  <c r="M140" i="336"/>
  <c r="L140" i="336"/>
  <c r="K140" i="336"/>
  <c r="J140" i="336"/>
  <c r="I140" i="336"/>
  <c r="H140" i="336"/>
  <c r="G140" i="336"/>
  <c r="F140" i="336"/>
  <c r="E140" i="336"/>
  <c r="M139" i="336"/>
  <c r="L139" i="336"/>
  <c r="M138" i="336"/>
  <c r="L138" i="336"/>
  <c r="M135" i="336"/>
  <c r="L135" i="336"/>
  <c r="K135" i="336"/>
  <c r="J135" i="336"/>
  <c r="I135" i="336"/>
  <c r="H135" i="336"/>
  <c r="G135" i="336"/>
  <c r="E135" i="336"/>
  <c r="M134" i="336"/>
  <c r="L134" i="336"/>
  <c r="M131" i="336"/>
  <c r="L131" i="336"/>
  <c r="K131" i="336"/>
  <c r="J131" i="336"/>
  <c r="I131" i="336"/>
  <c r="H131" i="336"/>
  <c r="G131" i="336"/>
  <c r="F131" i="336"/>
  <c r="E131" i="336"/>
  <c r="M130" i="336"/>
  <c r="L130" i="336"/>
  <c r="M129" i="336"/>
  <c r="M128" i="336"/>
  <c r="L128" i="336"/>
  <c r="M127" i="336"/>
  <c r="L127" i="336"/>
  <c r="M126" i="336"/>
  <c r="L126" i="336"/>
  <c r="M123" i="336"/>
  <c r="L123" i="336"/>
  <c r="K123" i="336"/>
  <c r="J123" i="336"/>
  <c r="I123" i="336"/>
  <c r="H123" i="336"/>
  <c r="G123" i="336"/>
  <c r="E123" i="336"/>
  <c r="M122" i="336"/>
  <c r="L122" i="336"/>
  <c r="M119" i="336"/>
  <c r="L119" i="336"/>
  <c r="K119" i="336"/>
  <c r="J119" i="336"/>
  <c r="I119" i="336"/>
  <c r="H119" i="336"/>
  <c r="G119" i="336"/>
  <c r="E119" i="336"/>
  <c r="M118" i="336"/>
  <c r="L118" i="336"/>
  <c r="M117" i="336"/>
  <c r="L117" i="336"/>
  <c r="M116" i="336"/>
  <c r="L116" i="336"/>
  <c r="M113" i="336"/>
  <c r="L113" i="336"/>
  <c r="K113" i="336"/>
  <c r="J113" i="336"/>
  <c r="I113" i="336"/>
  <c r="H113" i="336"/>
  <c r="G113" i="336"/>
  <c r="E113" i="336"/>
  <c r="M111" i="336"/>
  <c r="L111" i="336"/>
  <c r="M108" i="336"/>
  <c r="L108" i="336"/>
  <c r="K108" i="336"/>
  <c r="J108" i="336"/>
  <c r="I108" i="336"/>
  <c r="H108" i="336"/>
  <c r="G108" i="336"/>
  <c r="E108" i="336"/>
  <c r="M107" i="336"/>
  <c r="L107" i="336"/>
  <c r="M106" i="336"/>
  <c r="L106" i="336"/>
  <c r="M103" i="336"/>
  <c r="L103" i="336"/>
  <c r="K103" i="336"/>
  <c r="J103" i="336"/>
  <c r="I103" i="336"/>
  <c r="H103" i="336"/>
  <c r="G103" i="336"/>
  <c r="F103" i="336"/>
  <c r="E103" i="336"/>
  <c r="M102" i="336"/>
  <c r="L102" i="336"/>
  <c r="M101" i="336"/>
  <c r="L101" i="336"/>
  <c r="M98" i="336"/>
  <c r="L98" i="336"/>
  <c r="K98" i="336"/>
  <c r="J98" i="336"/>
  <c r="I98" i="336"/>
  <c r="H98" i="336"/>
  <c r="G98" i="336"/>
  <c r="E98" i="336"/>
  <c r="M97" i="336"/>
  <c r="L97" i="336"/>
  <c r="M96" i="336"/>
  <c r="L96" i="336"/>
  <c r="M95" i="336"/>
  <c r="L95" i="336"/>
  <c r="M94" i="336"/>
  <c r="L94" i="336"/>
  <c r="M93" i="336"/>
  <c r="L93" i="336"/>
  <c r="M92" i="336"/>
  <c r="L92" i="336"/>
  <c r="M91" i="336"/>
  <c r="L91" i="336"/>
  <c r="M90" i="336"/>
  <c r="L90" i="336"/>
  <c r="M89" i="336"/>
  <c r="L89" i="336"/>
  <c r="M88" i="336"/>
  <c r="L88" i="336"/>
  <c r="M87" i="336"/>
  <c r="L87" i="336"/>
  <c r="M86" i="336"/>
  <c r="L86" i="336"/>
  <c r="M83" i="336"/>
  <c r="L83" i="336"/>
  <c r="K83" i="336"/>
  <c r="J83" i="336"/>
  <c r="I83" i="336"/>
  <c r="H83" i="336"/>
  <c r="G83" i="336"/>
  <c r="E83" i="336"/>
  <c r="M82" i="336"/>
  <c r="L82" i="336"/>
  <c r="M81" i="336"/>
  <c r="L81" i="336"/>
  <c r="M80" i="336"/>
  <c r="L80" i="336"/>
  <c r="M79" i="336"/>
  <c r="L79" i="336"/>
  <c r="M78" i="336"/>
  <c r="L78" i="336"/>
  <c r="M77" i="336"/>
  <c r="L77" i="336"/>
  <c r="M76" i="336"/>
  <c r="L76" i="336"/>
  <c r="M75" i="336"/>
  <c r="L75" i="336"/>
  <c r="M74" i="336"/>
  <c r="L74" i="336"/>
  <c r="M73" i="336"/>
  <c r="L73" i="336"/>
  <c r="M72" i="336"/>
  <c r="L72" i="336"/>
  <c r="M71" i="336"/>
  <c r="L71" i="336"/>
  <c r="M70" i="336"/>
  <c r="L70" i="336"/>
  <c r="M67" i="336"/>
  <c r="L67" i="336"/>
  <c r="K67" i="336"/>
  <c r="J67" i="336"/>
  <c r="I67" i="336"/>
  <c r="H67" i="336"/>
  <c r="G67" i="336"/>
  <c r="E67" i="336"/>
  <c r="M66" i="336"/>
  <c r="M65" i="336"/>
  <c r="L65" i="336"/>
  <c r="M64" i="336"/>
  <c r="L64" i="336"/>
  <c r="M61" i="336"/>
  <c r="L61" i="336"/>
  <c r="K61" i="336"/>
  <c r="J61" i="336"/>
  <c r="I61" i="336"/>
  <c r="H61" i="336"/>
  <c r="G61" i="336"/>
  <c r="E61" i="336"/>
  <c r="M60" i="336"/>
  <c r="L60" i="336"/>
  <c r="M59" i="336"/>
  <c r="L59" i="336"/>
  <c r="M56" i="336"/>
  <c r="L56" i="336"/>
  <c r="K56" i="336"/>
  <c r="J56" i="336"/>
  <c r="I56" i="336"/>
  <c r="H56" i="336"/>
  <c r="G56" i="336"/>
  <c r="F56" i="336"/>
  <c r="E56" i="336"/>
  <c r="M55" i="336"/>
  <c r="L55" i="336"/>
  <c r="M54" i="336"/>
  <c r="L54" i="336"/>
  <c r="M51" i="336"/>
  <c r="L51" i="336"/>
  <c r="K51" i="336"/>
  <c r="J51" i="336"/>
  <c r="I51" i="336"/>
  <c r="H51" i="336"/>
  <c r="F51" i="336"/>
  <c r="E51" i="336"/>
  <c r="M50" i="336"/>
  <c r="L50" i="336"/>
  <c r="M47" i="336"/>
  <c r="L47" i="336"/>
  <c r="K47" i="336"/>
  <c r="J47" i="336"/>
  <c r="I47" i="336"/>
  <c r="H47" i="336"/>
  <c r="G47" i="336"/>
  <c r="E47" i="336"/>
  <c r="M46" i="336"/>
  <c r="L46" i="336"/>
  <c r="M45" i="336"/>
  <c r="L45" i="336"/>
  <c r="M44" i="336"/>
  <c r="L44" i="336"/>
  <c r="M43" i="336"/>
  <c r="L43" i="336"/>
  <c r="M42" i="336"/>
  <c r="L42" i="336"/>
  <c r="M41" i="336"/>
  <c r="L41" i="336"/>
  <c r="M38" i="336"/>
  <c r="L38" i="336"/>
  <c r="K38" i="336"/>
  <c r="J38" i="336"/>
  <c r="I38" i="336"/>
  <c r="H38" i="336"/>
  <c r="G38" i="336"/>
  <c r="F38" i="336"/>
  <c r="E38" i="336"/>
  <c r="M37" i="336"/>
  <c r="L37" i="336"/>
  <c r="M34" i="336"/>
  <c r="L34" i="336"/>
  <c r="K34" i="336"/>
  <c r="J34" i="336"/>
  <c r="I34" i="336"/>
  <c r="H34" i="336"/>
  <c r="G34" i="336"/>
  <c r="E34" i="336"/>
  <c r="M33" i="336"/>
  <c r="L33" i="336"/>
  <c r="M32" i="336"/>
  <c r="L32" i="336"/>
  <c r="M31" i="336"/>
  <c r="L31" i="336"/>
  <c r="M30" i="336"/>
  <c r="L30" i="336"/>
  <c r="M27" i="336"/>
  <c r="L27" i="336"/>
  <c r="K27" i="336"/>
  <c r="J27" i="336"/>
  <c r="I27" i="336"/>
  <c r="H27" i="336"/>
  <c r="G27" i="336"/>
  <c r="F27" i="336"/>
  <c r="E27" i="336"/>
  <c r="M26" i="336"/>
  <c r="L26" i="336"/>
  <c r="M25" i="336"/>
  <c r="L25" i="336"/>
  <c r="M24" i="336"/>
  <c r="L24" i="336"/>
  <c r="M23" i="336"/>
  <c r="L23" i="336"/>
  <c r="L18" i="333"/>
  <c r="K18" i="333"/>
  <c r="J18" i="333"/>
  <c r="I18" i="333"/>
  <c r="H18" i="333"/>
  <c r="G18" i="333"/>
  <c r="F18" i="333"/>
  <c r="E18" i="333"/>
  <c r="D18" i="333"/>
  <c r="L16" i="333"/>
  <c r="K16" i="333"/>
  <c r="J16" i="333"/>
  <c r="I16" i="333"/>
  <c r="H16" i="333"/>
  <c r="G16" i="333"/>
  <c r="F16" i="333"/>
  <c r="E16" i="333"/>
  <c r="D16" i="333"/>
  <c r="L15" i="333"/>
  <c r="K15" i="333"/>
  <c r="M41" i="332"/>
  <c r="L41" i="332"/>
  <c r="J41" i="332"/>
  <c r="I41" i="332"/>
  <c r="H41" i="332"/>
  <c r="G41" i="332"/>
  <c r="E41" i="332"/>
  <c r="D41" i="332"/>
  <c r="M39" i="332"/>
  <c r="M38" i="332"/>
  <c r="M32" i="332"/>
  <c r="L32" i="332"/>
  <c r="M31" i="332"/>
  <c r="L31" i="332"/>
  <c r="M28" i="332"/>
  <c r="L28" i="332"/>
  <c r="M27" i="332"/>
  <c r="L27" i="332"/>
  <c r="M24" i="332"/>
  <c r="L24" i="332"/>
  <c r="K24" i="332"/>
  <c r="J24" i="332"/>
  <c r="I24" i="332"/>
  <c r="H24" i="332"/>
  <c r="G24" i="332"/>
  <c r="E24" i="332"/>
  <c r="M23" i="332"/>
  <c r="L23" i="332"/>
  <c r="M20" i="332"/>
  <c r="L20" i="332"/>
  <c r="K20" i="332"/>
  <c r="J20" i="332"/>
  <c r="I20" i="332"/>
  <c r="H20" i="332"/>
  <c r="G20" i="332"/>
  <c r="F20" i="332"/>
  <c r="E20" i="332"/>
  <c r="M19" i="332"/>
  <c r="L19" i="332"/>
  <c r="M16" i="332"/>
  <c r="L16" i="332"/>
  <c r="K16" i="332"/>
  <c r="J16" i="332"/>
  <c r="I16" i="332"/>
  <c r="H16" i="332"/>
  <c r="G16" i="332"/>
  <c r="F16" i="332"/>
  <c r="E16" i="332"/>
  <c r="M15" i="332"/>
  <c r="L15" i="332"/>
  <c r="M62" i="331"/>
  <c r="L62" i="331"/>
  <c r="J62" i="331"/>
  <c r="I62" i="331"/>
  <c r="H62" i="331"/>
  <c r="G62" i="331"/>
  <c r="E62" i="331"/>
  <c r="M60" i="331"/>
  <c r="L60" i="331"/>
  <c r="J60" i="331"/>
  <c r="I60" i="331"/>
  <c r="H60" i="331"/>
  <c r="G60" i="331"/>
  <c r="E60" i="331"/>
  <c r="M59" i="331"/>
  <c r="L59" i="331"/>
  <c r="M56" i="331"/>
  <c r="L56" i="331"/>
  <c r="J56" i="331"/>
  <c r="I56" i="331"/>
  <c r="H56" i="331"/>
  <c r="G56" i="331"/>
  <c r="E56" i="331"/>
  <c r="M55" i="331"/>
  <c r="L55" i="331"/>
  <c r="M52" i="331"/>
  <c r="L52" i="331"/>
  <c r="J52" i="331"/>
  <c r="I52" i="331"/>
  <c r="H52" i="331"/>
  <c r="G52" i="331"/>
  <c r="E52" i="331"/>
  <c r="M51" i="331"/>
  <c r="L51" i="331"/>
  <c r="M50" i="331"/>
  <c r="L50" i="331"/>
  <c r="M47" i="331"/>
  <c r="L47" i="331"/>
  <c r="J47" i="331"/>
  <c r="I47" i="331"/>
  <c r="H47" i="331"/>
  <c r="G47" i="331"/>
  <c r="E47" i="331"/>
  <c r="M46" i="331"/>
  <c r="L46" i="331"/>
  <c r="M43" i="331"/>
  <c r="L43" i="331"/>
  <c r="J43" i="331"/>
  <c r="I43" i="331"/>
  <c r="H43" i="331"/>
  <c r="G43" i="331"/>
  <c r="E43" i="331"/>
  <c r="M42" i="331"/>
  <c r="L42" i="331"/>
  <c r="M39" i="331"/>
  <c r="L39" i="331"/>
  <c r="J39" i="331"/>
  <c r="I39" i="331"/>
  <c r="H39" i="331"/>
  <c r="G39" i="331"/>
  <c r="E39" i="331"/>
  <c r="M38" i="331"/>
  <c r="L38" i="331"/>
  <c r="M31" i="331"/>
  <c r="L31" i="331"/>
  <c r="J31" i="331"/>
  <c r="I31" i="331"/>
  <c r="H31" i="331"/>
  <c r="G31" i="331"/>
  <c r="E31" i="331"/>
  <c r="L30" i="331"/>
  <c r="M27" i="331"/>
  <c r="L27" i="331"/>
  <c r="J27" i="331"/>
  <c r="I27" i="331"/>
  <c r="H27" i="331"/>
  <c r="G27" i="331"/>
  <c r="E27" i="331"/>
  <c r="M26" i="331"/>
  <c r="L26" i="331"/>
  <c r="M23" i="331"/>
  <c r="L23" i="331"/>
  <c r="J23" i="331"/>
  <c r="I23" i="331"/>
  <c r="H23" i="331"/>
  <c r="G23" i="331"/>
  <c r="E23" i="331"/>
  <c r="M22" i="331"/>
  <c r="L22" i="331"/>
  <c r="M33" i="330"/>
  <c r="L33" i="330"/>
  <c r="K33" i="330"/>
  <c r="J33" i="330"/>
  <c r="I33" i="330"/>
  <c r="H33" i="330"/>
  <c r="G33" i="330"/>
  <c r="F33" i="330"/>
  <c r="E33" i="330"/>
  <c r="M32" i="330"/>
  <c r="L32" i="330"/>
  <c r="K32" i="330"/>
  <c r="J32" i="330"/>
  <c r="I32" i="330"/>
  <c r="H32" i="330"/>
  <c r="G32" i="330"/>
  <c r="E32" i="330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M16" i="330"/>
  <c r="P149" i="329"/>
  <c r="O149" i="329"/>
  <c r="N149" i="329"/>
  <c r="M149" i="329"/>
  <c r="L149" i="329"/>
  <c r="K149" i="329"/>
  <c r="J149" i="329"/>
  <c r="I149" i="329"/>
  <c r="H149" i="329"/>
  <c r="D149" i="329"/>
  <c r="P147" i="329"/>
  <c r="O147" i="329"/>
  <c r="N147" i="329"/>
  <c r="M147" i="329"/>
  <c r="L147" i="329"/>
  <c r="K147" i="329"/>
  <c r="J147" i="329"/>
  <c r="I147" i="329"/>
  <c r="H147" i="329"/>
  <c r="P146" i="329"/>
  <c r="O146" i="329"/>
  <c r="N146" i="329"/>
  <c r="M146" i="329"/>
  <c r="L146" i="329"/>
  <c r="K146" i="329"/>
  <c r="J146" i="329"/>
  <c r="I146" i="329"/>
  <c r="H146" i="329"/>
  <c r="P145" i="329"/>
  <c r="O145" i="329"/>
  <c r="P144" i="329"/>
  <c r="O144" i="329"/>
  <c r="P143" i="329"/>
  <c r="O143" i="329"/>
  <c r="P142" i="329"/>
  <c r="O142" i="329"/>
  <c r="P141" i="329"/>
  <c r="O141" i="329"/>
  <c r="P140" i="329"/>
  <c r="O140" i="329"/>
  <c r="P139" i="329"/>
  <c r="O139" i="329"/>
  <c r="P138" i="329"/>
  <c r="O138" i="329"/>
  <c r="P135" i="329"/>
  <c r="O135" i="329"/>
  <c r="N135" i="329"/>
  <c r="M135" i="329"/>
  <c r="L135" i="329"/>
  <c r="K135" i="329"/>
  <c r="J135" i="329"/>
  <c r="I135" i="329"/>
  <c r="H135" i="329"/>
  <c r="P134" i="329"/>
  <c r="O134" i="329"/>
  <c r="P133" i="329"/>
  <c r="O133" i="329"/>
  <c r="P132" i="329"/>
  <c r="O132" i="329"/>
  <c r="P131" i="329"/>
  <c r="O131" i="329"/>
  <c r="P130" i="329"/>
  <c r="O130" i="329"/>
  <c r="P129" i="329"/>
  <c r="O129" i="329"/>
  <c r="P128" i="329"/>
  <c r="O128" i="329"/>
  <c r="P127" i="329"/>
  <c r="O127" i="329"/>
  <c r="P126" i="329"/>
  <c r="O126" i="329"/>
  <c r="P123" i="329"/>
  <c r="O123" i="329"/>
  <c r="N123" i="329"/>
  <c r="M123" i="329"/>
  <c r="L123" i="329"/>
  <c r="K123" i="329"/>
  <c r="J123" i="329"/>
  <c r="I123" i="329"/>
  <c r="H123" i="329"/>
  <c r="P122" i="329"/>
  <c r="O122" i="329"/>
  <c r="P121" i="329"/>
  <c r="O121" i="329"/>
  <c r="P120" i="329"/>
  <c r="O120" i="329"/>
  <c r="P119" i="329"/>
  <c r="O119" i="329"/>
  <c r="P118" i="329"/>
  <c r="O118" i="329"/>
  <c r="P117" i="329"/>
  <c r="O117" i="329"/>
  <c r="P116" i="329"/>
  <c r="O116" i="329"/>
  <c r="P115" i="329"/>
  <c r="O115" i="329"/>
  <c r="P112" i="329"/>
  <c r="O112" i="329"/>
  <c r="N112" i="329"/>
  <c r="M112" i="329"/>
  <c r="L112" i="329"/>
  <c r="K112" i="329"/>
  <c r="J112" i="329"/>
  <c r="I112" i="329"/>
  <c r="H112" i="329"/>
  <c r="P111" i="329"/>
  <c r="O111" i="329"/>
  <c r="P110" i="329"/>
  <c r="O110" i="329"/>
  <c r="P109" i="329"/>
  <c r="O109" i="329"/>
  <c r="P108" i="329"/>
  <c r="O108" i="329"/>
  <c r="P107" i="329"/>
  <c r="O107" i="329"/>
  <c r="P106" i="329"/>
  <c r="O106" i="329"/>
  <c r="P105" i="329"/>
  <c r="O105" i="329"/>
  <c r="P104" i="329"/>
  <c r="O104" i="329"/>
  <c r="P103" i="329"/>
  <c r="O103" i="329"/>
  <c r="P99" i="329"/>
  <c r="O99" i="329"/>
  <c r="N99" i="329"/>
  <c r="M99" i="329"/>
  <c r="L99" i="329"/>
  <c r="K99" i="329"/>
  <c r="J99" i="329"/>
  <c r="H99" i="329"/>
  <c r="P98" i="329"/>
  <c r="O98" i="329"/>
  <c r="P97" i="329"/>
  <c r="P94" i="329"/>
  <c r="O94" i="329"/>
  <c r="N94" i="329"/>
  <c r="M94" i="329"/>
  <c r="L94" i="329"/>
  <c r="K94" i="329"/>
  <c r="J94" i="329"/>
  <c r="I94" i="329"/>
  <c r="H94" i="329"/>
  <c r="P93" i="329"/>
  <c r="O93" i="329"/>
  <c r="P92" i="329"/>
  <c r="O92" i="329"/>
  <c r="P91" i="329"/>
  <c r="O91" i="329"/>
  <c r="P90" i="329"/>
  <c r="O90" i="329"/>
  <c r="P89" i="329"/>
  <c r="O89" i="329"/>
  <c r="P88" i="329"/>
  <c r="O88" i="329"/>
  <c r="P85" i="329"/>
  <c r="O85" i="329"/>
  <c r="N85" i="329"/>
  <c r="P84" i="329"/>
  <c r="O84" i="329"/>
  <c r="P81" i="329"/>
  <c r="O81" i="329"/>
  <c r="N81" i="329"/>
  <c r="M81" i="329"/>
  <c r="L81" i="329"/>
  <c r="K81" i="329"/>
  <c r="J81" i="329"/>
  <c r="I81" i="329"/>
  <c r="H81" i="329"/>
  <c r="P80" i="329"/>
  <c r="O80" i="329"/>
  <c r="P79" i="329"/>
  <c r="O79" i="329"/>
  <c r="P76" i="329"/>
  <c r="O76" i="329"/>
  <c r="N76" i="329"/>
  <c r="M76" i="329"/>
  <c r="L76" i="329"/>
  <c r="K76" i="329"/>
  <c r="J76" i="329"/>
  <c r="I76" i="329"/>
  <c r="H76" i="329"/>
  <c r="P75" i="329"/>
  <c r="O75" i="329"/>
  <c r="P72" i="329"/>
  <c r="O72" i="329"/>
  <c r="N72" i="329"/>
  <c r="M72" i="329"/>
  <c r="L72" i="329"/>
  <c r="K72" i="329"/>
  <c r="J72" i="329"/>
  <c r="H72" i="329"/>
  <c r="P71" i="329"/>
  <c r="O71" i="329"/>
  <c r="P70" i="329"/>
  <c r="O70" i="329"/>
  <c r="P69" i="329"/>
  <c r="O69" i="329"/>
  <c r="P68" i="329"/>
  <c r="P65" i="329"/>
  <c r="O65" i="329"/>
  <c r="N65" i="329"/>
  <c r="M65" i="329"/>
  <c r="L65" i="329"/>
  <c r="K65" i="329"/>
  <c r="J65" i="329"/>
  <c r="H65" i="329"/>
  <c r="P63" i="329"/>
  <c r="O63" i="329"/>
  <c r="P62" i="329"/>
  <c r="O62" i="329"/>
  <c r="P61" i="329"/>
  <c r="O61" i="329"/>
  <c r="P60" i="329"/>
  <c r="O60" i="329"/>
  <c r="P59" i="329"/>
  <c r="O59" i="329"/>
  <c r="P58" i="329"/>
  <c r="O58" i="329"/>
  <c r="P55" i="329"/>
  <c r="O55" i="329"/>
  <c r="N55" i="329"/>
  <c r="M55" i="329"/>
  <c r="L55" i="329"/>
  <c r="K55" i="329"/>
  <c r="J55" i="329"/>
  <c r="I55" i="329"/>
  <c r="H55" i="329"/>
  <c r="P54" i="329"/>
  <c r="P53" i="329"/>
  <c r="O53" i="329"/>
  <c r="P50" i="329"/>
  <c r="O50" i="329"/>
  <c r="N50" i="329"/>
  <c r="M50" i="329"/>
  <c r="L50" i="329"/>
  <c r="K50" i="329"/>
  <c r="J50" i="329"/>
  <c r="I50" i="329"/>
  <c r="H50" i="329"/>
  <c r="P49" i="329"/>
  <c r="O49" i="329"/>
  <c r="P46" i="329"/>
  <c r="O46" i="329"/>
  <c r="N46" i="329"/>
  <c r="M46" i="329"/>
  <c r="L46" i="329"/>
  <c r="K46" i="329"/>
  <c r="J46" i="329"/>
  <c r="I46" i="329"/>
  <c r="H46" i="329"/>
  <c r="P45" i="329"/>
  <c r="O45" i="329"/>
  <c r="P44" i="329"/>
  <c r="O44" i="329"/>
  <c r="P37" i="329"/>
  <c r="O37" i="329"/>
  <c r="P36" i="329"/>
  <c r="O36" i="329"/>
  <c r="P33" i="329"/>
  <c r="O33" i="329"/>
  <c r="P32" i="329"/>
  <c r="O32" i="329"/>
  <c r="P29" i="329"/>
  <c r="O29" i="329"/>
  <c r="N29" i="329"/>
  <c r="M29" i="329"/>
  <c r="L29" i="329"/>
  <c r="K29" i="329"/>
  <c r="J29" i="329"/>
  <c r="H29" i="329"/>
  <c r="P28" i="329"/>
  <c r="O28" i="329"/>
  <c r="P25" i="329"/>
  <c r="O25" i="329"/>
  <c r="N25" i="329"/>
  <c r="M25" i="329"/>
  <c r="L25" i="329"/>
  <c r="K25" i="329"/>
  <c r="J25" i="329"/>
  <c r="H25" i="329"/>
  <c r="P24" i="329"/>
  <c r="O24" i="329"/>
  <c r="P20" i="329"/>
  <c r="O20" i="329"/>
  <c r="N20" i="329"/>
  <c r="M20" i="329"/>
  <c r="L20" i="329"/>
  <c r="K20" i="329"/>
  <c r="J20" i="329"/>
  <c r="I20" i="329"/>
  <c r="H20" i="329"/>
  <c r="P19" i="329"/>
  <c r="O19" i="329"/>
  <c r="P16" i="329"/>
  <c r="O16" i="329"/>
  <c r="N16" i="329"/>
  <c r="M16" i="329"/>
  <c r="L16" i="329"/>
  <c r="K16" i="329"/>
  <c r="J16" i="329"/>
  <c r="H16" i="329"/>
  <c r="P15" i="329"/>
  <c r="O15" i="329"/>
  <c r="P14" i="329"/>
  <c r="M241" i="335"/>
  <c r="L241" i="335"/>
  <c r="K241" i="335"/>
  <c r="J241" i="335"/>
  <c r="I241" i="335"/>
  <c r="H241" i="335"/>
  <c r="G241" i="335"/>
  <c r="F241" i="335"/>
  <c r="E241" i="335"/>
  <c r="C241" i="335"/>
  <c r="M239" i="335"/>
  <c r="L239" i="335"/>
  <c r="K239" i="335"/>
  <c r="J239" i="335"/>
  <c r="I239" i="335"/>
  <c r="H239" i="335"/>
  <c r="G239" i="335"/>
  <c r="F239" i="335"/>
  <c r="E239" i="335"/>
  <c r="M238" i="335"/>
  <c r="L238" i="335"/>
  <c r="K238" i="335"/>
  <c r="J238" i="335"/>
  <c r="I238" i="335"/>
  <c r="H238" i="335"/>
  <c r="G238" i="335"/>
  <c r="F238" i="335"/>
  <c r="E238" i="335"/>
  <c r="M237" i="335"/>
  <c r="L237" i="335"/>
  <c r="M236" i="335"/>
  <c r="L236" i="335"/>
  <c r="M235" i="335"/>
  <c r="L235" i="335"/>
  <c r="M234" i="335"/>
  <c r="M233" i="335"/>
  <c r="L233" i="335"/>
  <c r="M232" i="335"/>
  <c r="L232" i="335"/>
  <c r="M229" i="335"/>
  <c r="L229" i="335"/>
  <c r="K229" i="335"/>
  <c r="J229" i="335"/>
  <c r="I229" i="335"/>
  <c r="H229" i="335"/>
  <c r="G229" i="335"/>
  <c r="F229" i="335"/>
  <c r="E229" i="335"/>
  <c r="M228" i="335"/>
  <c r="M227" i="335"/>
  <c r="M226" i="335"/>
  <c r="L226" i="335"/>
  <c r="M225" i="335"/>
  <c r="L225" i="335"/>
  <c r="M223" i="335"/>
  <c r="L223" i="335"/>
  <c r="M222" i="335"/>
  <c r="L222" i="335"/>
  <c r="M219" i="335"/>
  <c r="L219" i="335"/>
  <c r="K219" i="335"/>
  <c r="J219" i="335"/>
  <c r="I219" i="335"/>
  <c r="H219" i="335"/>
  <c r="G219" i="335"/>
  <c r="F219" i="335"/>
  <c r="E219" i="335"/>
  <c r="M218" i="335"/>
  <c r="M217" i="335"/>
  <c r="L217" i="335"/>
  <c r="M216" i="335"/>
  <c r="L216" i="335"/>
  <c r="M215" i="335"/>
  <c r="L215" i="335"/>
  <c r="M213" i="335"/>
  <c r="L213" i="335"/>
  <c r="M212" i="335"/>
  <c r="L212" i="335"/>
  <c r="M211" i="335"/>
  <c r="L211" i="335"/>
  <c r="M210" i="335"/>
  <c r="L210" i="335"/>
  <c r="M207" i="335"/>
  <c r="L207" i="335"/>
  <c r="K207" i="335"/>
  <c r="J207" i="335"/>
  <c r="I207" i="335"/>
  <c r="H207" i="335"/>
  <c r="G207" i="335"/>
  <c r="F207" i="335"/>
  <c r="E207" i="335"/>
  <c r="M206" i="335"/>
  <c r="M205" i="335"/>
  <c r="L205" i="335"/>
  <c r="M204" i="335"/>
  <c r="L204" i="335"/>
  <c r="M203" i="335"/>
  <c r="L203" i="335"/>
  <c r="M202" i="335"/>
  <c r="L202" i="335"/>
  <c r="M201" i="335"/>
  <c r="L201" i="335"/>
  <c r="M199" i="335"/>
  <c r="L199" i="335"/>
  <c r="M198" i="335"/>
  <c r="L198" i="335"/>
  <c r="M197" i="335"/>
  <c r="L197" i="335"/>
  <c r="M196" i="335"/>
  <c r="M195" i="335"/>
  <c r="L195" i="335"/>
  <c r="M194" i="335"/>
  <c r="L194" i="335"/>
  <c r="M193" i="335"/>
  <c r="L193" i="335"/>
  <c r="M189" i="335"/>
  <c r="L189" i="335"/>
  <c r="K189" i="335"/>
  <c r="J189" i="335"/>
  <c r="I189" i="335"/>
  <c r="H189" i="335"/>
  <c r="G189" i="335"/>
  <c r="E189" i="335"/>
  <c r="M187" i="335"/>
  <c r="L187" i="335"/>
  <c r="M186" i="335"/>
  <c r="L186" i="335"/>
  <c r="M185" i="335"/>
  <c r="L185" i="335"/>
  <c r="M184" i="335"/>
  <c r="L184" i="335"/>
  <c r="M181" i="335"/>
  <c r="L181" i="335"/>
  <c r="K181" i="335"/>
  <c r="J181" i="335"/>
  <c r="I181" i="335"/>
  <c r="H181" i="335"/>
  <c r="G181" i="335"/>
  <c r="E181" i="335"/>
  <c r="M180" i="335"/>
  <c r="L180" i="335"/>
  <c r="M179" i="335"/>
  <c r="L179" i="335"/>
  <c r="M178" i="335"/>
  <c r="L178" i="335"/>
  <c r="M177" i="335"/>
  <c r="L177" i="335"/>
  <c r="M176" i="335"/>
  <c r="L176" i="335"/>
  <c r="M175" i="335"/>
  <c r="L175" i="335"/>
  <c r="M172" i="335"/>
  <c r="L172" i="335"/>
  <c r="K172" i="335"/>
  <c r="J172" i="335"/>
  <c r="I172" i="335"/>
  <c r="H172" i="335"/>
  <c r="G172" i="335"/>
  <c r="F172" i="335"/>
  <c r="E172" i="335"/>
  <c r="M171" i="335"/>
  <c r="L171" i="335"/>
  <c r="M170" i="335"/>
  <c r="L170" i="335"/>
  <c r="M167" i="335"/>
  <c r="L167" i="335"/>
  <c r="K167" i="335"/>
  <c r="J167" i="335"/>
  <c r="I167" i="335"/>
  <c r="H167" i="335"/>
  <c r="G167" i="335"/>
  <c r="E167" i="335"/>
  <c r="M166" i="335"/>
  <c r="L166" i="335"/>
  <c r="M165" i="335"/>
  <c r="L165" i="335"/>
  <c r="M162" i="335"/>
  <c r="L162" i="335"/>
  <c r="K162" i="335"/>
  <c r="J162" i="335"/>
  <c r="I162" i="335"/>
  <c r="H162" i="335"/>
  <c r="G162" i="335"/>
  <c r="F162" i="335"/>
  <c r="E162" i="335"/>
  <c r="M161" i="335"/>
  <c r="L161" i="335"/>
  <c r="M160" i="335"/>
  <c r="L160" i="335"/>
  <c r="M159" i="335"/>
  <c r="L159" i="335"/>
  <c r="M158" i="335"/>
  <c r="L158" i="335"/>
  <c r="L155" i="335"/>
  <c r="K155" i="335"/>
  <c r="J155" i="335"/>
  <c r="I155" i="335"/>
  <c r="H155" i="335"/>
  <c r="G155" i="335"/>
  <c r="F155" i="335"/>
  <c r="E155" i="335"/>
  <c r="M154" i="335"/>
  <c r="L154" i="335"/>
  <c r="M151" i="335"/>
  <c r="L151" i="335"/>
  <c r="K151" i="335"/>
  <c r="J151" i="335"/>
  <c r="I151" i="335"/>
  <c r="H151" i="335"/>
  <c r="G151" i="335"/>
  <c r="E151" i="335"/>
  <c r="M150" i="335"/>
  <c r="L150" i="335"/>
  <c r="M149" i="335"/>
  <c r="L149" i="335"/>
  <c r="M146" i="335"/>
  <c r="L146" i="335"/>
  <c r="K146" i="335"/>
  <c r="J146" i="335"/>
  <c r="I146" i="335"/>
  <c r="H146" i="335"/>
  <c r="G146" i="335"/>
  <c r="F146" i="335"/>
  <c r="E146" i="335"/>
  <c r="M145" i="335"/>
  <c r="L145" i="335"/>
  <c r="M144" i="335"/>
  <c r="L144" i="335"/>
  <c r="M143" i="335"/>
  <c r="L143" i="335"/>
  <c r="M140" i="335"/>
  <c r="L140" i="335"/>
  <c r="K140" i="335"/>
  <c r="J140" i="335"/>
  <c r="I140" i="335"/>
  <c r="H140" i="335"/>
  <c r="G140" i="335"/>
  <c r="F140" i="335"/>
  <c r="E140" i="335"/>
  <c r="M139" i="335"/>
  <c r="L139" i="335"/>
  <c r="M138" i="335"/>
  <c r="L138" i="335"/>
  <c r="M137" i="335"/>
  <c r="M136" i="335"/>
  <c r="L136" i="335"/>
  <c r="M133" i="335"/>
  <c r="L133" i="335"/>
  <c r="K133" i="335"/>
  <c r="J133" i="335"/>
  <c r="I133" i="335"/>
  <c r="H133" i="335"/>
  <c r="G133" i="335"/>
  <c r="F133" i="335"/>
  <c r="E133" i="335"/>
  <c r="M132" i="335"/>
  <c r="L132" i="335"/>
  <c r="M131" i="335"/>
  <c r="L131" i="335"/>
  <c r="M130" i="335"/>
  <c r="L130" i="335"/>
  <c r="M127" i="335"/>
  <c r="L127" i="335"/>
  <c r="K127" i="335"/>
  <c r="J127" i="335"/>
  <c r="I127" i="335"/>
  <c r="H127" i="335"/>
  <c r="G127" i="335"/>
  <c r="E127" i="335"/>
  <c r="M126" i="335"/>
  <c r="L126" i="335"/>
  <c r="M123" i="335"/>
  <c r="L123" i="335"/>
  <c r="K123" i="335"/>
  <c r="J123" i="335"/>
  <c r="I123" i="335"/>
  <c r="H123" i="335"/>
  <c r="G123" i="335"/>
  <c r="F123" i="335"/>
  <c r="E123" i="335"/>
  <c r="M122" i="335"/>
  <c r="L122" i="335"/>
  <c r="M121" i="335"/>
  <c r="M120" i="335"/>
  <c r="L120" i="335"/>
  <c r="M119" i="335"/>
  <c r="L119" i="335"/>
  <c r="M118" i="335"/>
  <c r="L118" i="335"/>
  <c r="M115" i="335"/>
  <c r="L115" i="335"/>
  <c r="K115" i="335"/>
  <c r="J115" i="335"/>
  <c r="I115" i="335"/>
  <c r="H115" i="335"/>
  <c r="G115" i="335"/>
  <c r="E115" i="335"/>
  <c r="M114" i="335"/>
  <c r="L114" i="335"/>
  <c r="M111" i="335"/>
  <c r="L111" i="335"/>
  <c r="K111" i="335"/>
  <c r="J111" i="335"/>
  <c r="I111" i="335"/>
  <c r="H111" i="335"/>
  <c r="G111" i="335"/>
  <c r="E111" i="335"/>
  <c r="M110" i="335"/>
  <c r="L110" i="335"/>
  <c r="M109" i="335"/>
  <c r="M108" i="335"/>
  <c r="L108" i="335"/>
  <c r="M105" i="335"/>
  <c r="L105" i="335"/>
  <c r="K105" i="335"/>
  <c r="J105" i="335"/>
  <c r="I105" i="335"/>
  <c r="H105" i="335"/>
  <c r="G105" i="335"/>
  <c r="E105" i="335"/>
  <c r="M103" i="335"/>
  <c r="L103" i="335"/>
  <c r="M100" i="335"/>
  <c r="L100" i="335"/>
  <c r="K100" i="335"/>
  <c r="J100" i="335"/>
  <c r="I100" i="335"/>
  <c r="H100" i="335"/>
  <c r="G100" i="335"/>
  <c r="E100" i="335"/>
  <c r="M99" i="335"/>
  <c r="M98" i="335"/>
  <c r="L98" i="335"/>
  <c r="M97" i="335"/>
  <c r="L97" i="335"/>
  <c r="M94" i="335"/>
  <c r="L94" i="335"/>
  <c r="K94" i="335"/>
  <c r="J94" i="335"/>
  <c r="I94" i="335"/>
  <c r="H94" i="335"/>
  <c r="G94" i="335"/>
  <c r="F94" i="335"/>
  <c r="E94" i="335"/>
  <c r="M93" i="335"/>
  <c r="L93" i="335"/>
  <c r="M92" i="335"/>
  <c r="L92" i="335"/>
  <c r="M89" i="335"/>
  <c r="L89" i="335"/>
  <c r="K89" i="335"/>
  <c r="J89" i="335"/>
  <c r="I89" i="335"/>
  <c r="H89" i="335"/>
  <c r="G89" i="335"/>
  <c r="E89" i="335"/>
  <c r="M88" i="335"/>
  <c r="L88" i="335"/>
  <c r="M87" i="335"/>
  <c r="L87" i="335"/>
  <c r="M86" i="335"/>
  <c r="L86" i="335"/>
  <c r="M85" i="335"/>
  <c r="L85" i="335"/>
  <c r="M84" i="335"/>
  <c r="L84" i="335"/>
  <c r="M83" i="335"/>
  <c r="L83" i="335"/>
  <c r="M82" i="335"/>
  <c r="L82" i="335"/>
  <c r="M81" i="335"/>
  <c r="L81" i="335"/>
  <c r="M80" i="335"/>
  <c r="L80" i="335"/>
  <c r="M79" i="335"/>
  <c r="L79" i="335"/>
  <c r="M78" i="335"/>
  <c r="L78" i="335"/>
  <c r="M77" i="335"/>
  <c r="L77" i="335"/>
  <c r="M74" i="335"/>
  <c r="L74" i="335"/>
  <c r="K74" i="335"/>
  <c r="J74" i="335"/>
  <c r="I74" i="335"/>
  <c r="H74" i="335"/>
  <c r="G74" i="335"/>
  <c r="F74" i="335"/>
  <c r="E74" i="335"/>
  <c r="M73" i="335"/>
  <c r="L73" i="335"/>
  <c r="M72" i="335"/>
  <c r="L72" i="335"/>
  <c r="M71" i="335"/>
  <c r="L71" i="335"/>
  <c r="M70" i="335"/>
  <c r="L70" i="335"/>
  <c r="M69" i="335"/>
  <c r="L69" i="335"/>
  <c r="M68" i="335"/>
  <c r="L68" i="335"/>
  <c r="M67" i="335"/>
  <c r="L67" i="335"/>
  <c r="M66" i="335"/>
  <c r="L66" i="335"/>
  <c r="M65" i="335"/>
  <c r="L65" i="335"/>
  <c r="M64" i="335"/>
  <c r="L64" i="335"/>
  <c r="M63" i="335"/>
  <c r="L63" i="335"/>
  <c r="M62" i="335"/>
  <c r="L62" i="335"/>
  <c r="M59" i="335"/>
  <c r="L59" i="335"/>
  <c r="K59" i="335"/>
  <c r="J59" i="335"/>
  <c r="I59" i="335"/>
  <c r="H59" i="335"/>
  <c r="G59" i="335"/>
  <c r="E59" i="335"/>
  <c r="M58" i="335"/>
  <c r="M57" i="335"/>
  <c r="L57" i="335"/>
  <c r="M56" i="335"/>
  <c r="L56" i="335"/>
  <c r="M53" i="335"/>
  <c r="L53" i="335"/>
  <c r="K53" i="335"/>
  <c r="J53" i="335"/>
  <c r="I53" i="335"/>
  <c r="H53" i="335"/>
  <c r="G53" i="335"/>
  <c r="E53" i="335"/>
  <c r="M52" i="335"/>
  <c r="L52" i="335"/>
  <c r="M51" i="335"/>
  <c r="L51" i="335"/>
  <c r="M48" i="335"/>
  <c r="L48" i="335"/>
  <c r="K48" i="335"/>
  <c r="J48" i="335"/>
  <c r="I48" i="335"/>
  <c r="H48" i="335"/>
  <c r="G48" i="335"/>
  <c r="F48" i="335"/>
  <c r="E48" i="335"/>
  <c r="M47" i="335"/>
  <c r="L47" i="335"/>
  <c r="M46" i="335"/>
  <c r="L46" i="335"/>
  <c r="M43" i="335"/>
  <c r="L43" i="335"/>
  <c r="K43" i="335"/>
  <c r="J43" i="335"/>
  <c r="I43" i="335"/>
  <c r="H43" i="335"/>
  <c r="F43" i="335"/>
  <c r="E43" i="335"/>
  <c r="M42" i="335"/>
  <c r="L42" i="335"/>
  <c r="M39" i="335"/>
  <c r="L39" i="335"/>
  <c r="K39" i="335"/>
  <c r="J39" i="335"/>
  <c r="I39" i="335"/>
  <c r="H39" i="335"/>
  <c r="G39" i="335"/>
  <c r="E39" i="335"/>
  <c r="M38" i="335"/>
  <c r="L38" i="335"/>
  <c r="M37" i="335"/>
  <c r="L37" i="335"/>
  <c r="M36" i="335"/>
  <c r="L36" i="335"/>
  <c r="M35" i="335"/>
  <c r="L35" i="335"/>
  <c r="M34" i="335"/>
  <c r="L34" i="335"/>
  <c r="M33" i="335"/>
  <c r="L33" i="335"/>
  <c r="M30" i="335"/>
  <c r="L30" i="335"/>
  <c r="K30" i="335"/>
  <c r="J30" i="335"/>
  <c r="I30" i="335"/>
  <c r="H30" i="335"/>
  <c r="G30" i="335"/>
  <c r="F30" i="335"/>
  <c r="E30" i="335"/>
  <c r="M29" i="335"/>
  <c r="L29" i="335"/>
  <c r="M26" i="335"/>
  <c r="L26" i="335"/>
  <c r="K26" i="335"/>
  <c r="J26" i="335"/>
  <c r="I26" i="335"/>
  <c r="H26" i="335"/>
  <c r="G26" i="335"/>
  <c r="E26" i="335"/>
  <c r="M25" i="335"/>
  <c r="L25" i="335"/>
  <c r="M24" i="335"/>
  <c r="L24" i="335"/>
  <c r="M23" i="335"/>
  <c r="L23" i="335"/>
  <c r="M22" i="335"/>
  <c r="L22" i="335"/>
  <c r="M19" i="335"/>
  <c r="L19" i="335"/>
  <c r="K19" i="335"/>
  <c r="J19" i="335"/>
  <c r="I19" i="335"/>
  <c r="H19" i="335"/>
  <c r="G19" i="335"/>
  <c r="F19" i="335"/>
  <c r="E19" i="335"/>
  <c r="M18" i="335"/>
  <c r="L18" i="335"/>
  <c r="M17" i="335"/>
  <c r="L17" i="335"/>
  <c r="M16" i="335"/>
  <c r="L16" i="335"/>
  <c r="M15" i="335"/>
  <c r="L15" i="335"/>
  <c r="L18" i="327"/>
  <c r="K18" i="327"/>
  <c r="J18" i="327"/>
  <c r="I18" i="327"/>
  <c r="H18" i="327"/>
  <c r="G18" i="327"/>
  <c r="F18" i="327"/>
  <c r="E18" i="327"/>
  <c r="D18" i="327"/>
  <c r="L16" i="327"/>
  <c r="K16" i="327"/>
  <c r="J16" i="327"/>
  <c r="I16" i="327"/>
  <c r="H16" i="327"/>
  <c r="G16" i="327"/>
  <c r="F16" i="327"/>
  <c r="E16" i="327"/>
  <c r="D16" i="327"/>
  <c r="L15" i="327"/>
  <c r="K15" i="327"/>
  <c r="M18" i="326"/>
  <c r="L18" i="326"/>
  <c r="M16" i="326"/>
  <c r="L16" i="326"/>
  <c r="M15" i="326"/>
  <c r="L15" i="326"/>
  <c r="M37" i="325"/>
  <c r="L37" i="325"/>
  <c r="J37" i="325"/>
  <c r="I37" i="325"/>
  <c r="H37" i="325"/>
  <c r="G37" i="325"/>
  <c r="E37" i="325"/>
  <c r="D37" i="325"/>
  <c r="M28" i="325"/>
  <c r="L28" i="325"/>
  <c r="M27" i="325"/>
  <c r="L27" i="325"/>
  <c r="M24" i="325"/>
  <c r="L24" i="325"/>
  <c r="M23" i="325"/>
  <c r="L23" i="325"/>
  <c r="M20" i="325"/>
  <c r="L20" i="325"/>
  <c r="K20" i="325"/>
  <c r="J20" i="325"/>
  <c r="I20" i="325"/>
  <c r="H20" i="325"/>
  <c r="G20" i="325"/>
  <c r="F20" i="325"/>
  <c r="E20" i="325"/>
  <c r="M19" i="325"/>
  <c r="L19" i="325"/>
  <c r="M16" i="325"/>
  <c r="L16" i="325"/>
  <c r="K16" i="325"/>
  <c r="J16" i="325"/>
  <c r="I16" i="325"/>
  <c r="H16" i="325"/>
  <c r="G16" i="325"/>
  <c r="F16" i="325"/>
  <c r="E16" i="325"/>
  <c r="M15" i="325"/>
  <c r="L15" i="325"/>
  <c r="M58" i="324"/>
  <c r="L58" i="324"/>
  <c r="J58" i="324"/>
  <c r="I58" i="324"/>
  <c r="H58" i="324"/>
  <c r="G58" i="324"/>
  <c r="E58" i="324"/>
  <c r="D58" i="324"/>
  <c r="M56" i="324"/>
  <c r="L56" i="324"/>
  <c r="J56" i="324"/>
  <c r="I56" i="324"/>
  <c r="H56" i="324"/>
  <c r="G56" i="324"/>
  <c r="E56" i="324"/>
  <c r="M55" i="324"/>
  <c r="L55" i="324"/>
  <c r="M52" i="324"/>
  <c r="L52" i="324"/>
  <c r="J52" i="324"/>
  <c r="I52" i="324"/>
  <c r="H52" i="324"/>
  <c r="G52" i="324"/>
  <c r="E52" i="324"/>
  <c r="M51" i="324"/>
  <c r="L51" i="324"/>
  <c r="M48" i="324"/>
  <c r="L48" i="324"/>
  <c r="J48" i="324"/>
  <c r="I48" i="324"/>
  <c r="H48" i="324"/>
  <c r="G48" i="324"/>
  <c r="E48" i="324"/>
  <c r="M47" i="324"/>
  <c r="L47" i="324"/>
  <c r="M46" i="324"/>
  <c r="L46" i="324"/>
  <c r="M43" i="324"/>
  <c r="L43" i="324"/>
  <c r="J43" i="324"/>
  <c r="I43" i="324"/>
  <c r="H43" i="324"/>
  <c r="G43" i="324"/>
  <c r="E43" i="324"/>
  <c r="M42" i="324"/>
  <c r="L42" i="324"/>
  <c r="M39" i="324"/>
  <c r="L39" i="324"/>
  <c r="J39" i="324"/>
  <c r="I39" i="324"/>
  <c r="H39" i="324"/>
  <c r="G39" i="324"/>
  <c r="E39" i="324"/>
  <c r="M38" i="324"/>
  <c r="L38" i="324"/>
  <c r="M35" i="324"/>
  <c r="L35" i="324"/>
  <c r="J35" i="324"/>
  <c r="I35" i="324"/>
  <c r="H35" i="324"/>
  <c r="G35" i="324"/>
  <c r="E35" i="324"/>
  <c r="M34" i="324"/>
  <c r="L34" i="324"/>
  <c r="M27" i="324"/>
  <c r="L27" i="324"/>
  <c r="J27" i="324"/>
  <c r="I27" i="324"/>
  <c r="H27" i="324"/>
  <c r="G27" i="324"/>
  <c r="E27" i="324"/>
  <c r="L26" i="324"/>
  <c r="M23" i="324"/>
  <c r="L23" i="324"/>
  <c r="J23" i="324"/>
  <c r="I23" i="324"/>
  <c r="H23" i="324"/>
  <c r="G23" i="324"/>
  <c r="E23" i="324"/>
  <c r="M22" i="324"/>
  <c r="L22" i="324"/>
  <c r="N32" i="323"/>
  <c r="M32" i="323"/>
  <c r="L32" i="323"/>
  <c r="K32" i="323"/>
  <c r="J32" i="323"/>
  <c r="I32" i="323"/>
  <c r="H32" i="323"/>
  <c r="G32" i="323"/>
  <c r="F32" i="323"/>
  <c r="N31" i="323"/>
  <c r="M31" i="323"/>
  <c r="L31" i="323"/>
  <c r="K31" i="323"/>
  <c r="J31" i="323"/>
  <c r="I31" i="323"/>
  <c r="H31" i="323"/>
  <c r="F31" i="323"/>
  <c r="M30" i="323"/>
  <c r="M29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O138" i="322"/>
  <c r="N138" i="322"/>
  <c r="M138" i="322"/>
  <c r="L138" i="322"/>
  <c r="K138" i="322"/>
  <c r="J138" i="322"/>
  <c r="I138" i="322"/>
  <c r="G138" i="322"/>
  <c r="C138" i="322"/>
  <c r="O136" i="322"/>
  <c r="N136" i="322"/>
  <c r="M136" i="322"/>
  <c r="L136" i="322"/>
  <c r="K136" i="322"/>
  <c r="J136" i="322"/>
  <c r="I136" i="322"/>
  <c r="G136" i="322"/>
  <c r="O135" i="322"/>
  <c r="N135" i="322"/>
  <c r="O134" i="322"/>
  <c r="N134" i="322"/>
  <c r="O133" i="322"/>
  <c r="N133" i="322"/>
  <c r="O132" i="322"/>
  <c r="N132" i="322"/>
  <c r="O131" i="322"/>
  <c r="N131" i="322"/>
  <c r="O130" i="322"/>
  <c r="N130" i="322"/>
  <c r="O129" i="322"/>
  <c r="N129" i="322"/>
  <c r="O128" i="322"/>
  <c r="N128" i="322"/>
  <c r="O127" i="322"/>
  <c r="N127" i="322"/>
  <c r="O126" i="322"/>
  <c r="N126" i="322"/>
  <c r="O125" i="322"/>
  <c r="N125" i="322"/>
  <c r="O124" i="322"/>
  <c r="N124" i="322"/>
  <c r="O123" i="322"/>
  <c r="N123" i="322"/>
  <c r="O122" i="322"/>
  <c r="N122" i="322"/>
  <c r="O121" i="322"/>
  <c r="N121" i="322"/>
  <c r="O120" i="322"/>
  <c r="N120" i="322"/>
  <c r="O119" i="322"/>
  <c r="N119" i="322"/>
  <c r="O118" i="322"/>
  <c r="N118" i="322"/>
  <c r="O117" i="322"/>
  <c r="N117" i="322"/>
  <c r="O116" i="322"/>
  <c r="N116" i="322"/>
  <c r="O115" i="322"/>
  <c r="N115" i="322"/>
  <c r="O114" i="322"/>
  <c r="N114" i="322"/>
  <c r="O113" i="322"/>
  <c r="N113" i="322"/>
  <c r="O112" i="322"/>
  <c r="N112" i="322"/>
  <c r="O111" i="322"/>
  <c r="N111" i="322"/>
  <c r="O110" i="322"/>
  <c r="N110" i="322"/>
  <c r="O109" i="322"/>
  <c r="N109" i="322"/>
  <c r="O108" i="322"/>
  <c r="N108" i="322"/>
  <c r="O107" i="322"/>
  <c r="N107" i="322"/>
  <c r="O106" i="322"/>
  <c r="N106" i="322"/>
  <c r="O105" i="322"/>
  <c r="N105" i="322"/>
  <c r="O104" i="322"/>
  <c r="N104" i="322"/>
  <c r="O103" i="322"/>
  <c r="N103" i="322"/>
  <c r="O102" i="322"/>
  <c r="N102" i="322"/>
  <c r="O99" i="322"/>
  <c r="N99" i="322"/>
  <c r="M99" i="322"/>
  <c r="L99" i="322"/>
  <c r="K99" i="322"/>
  <c r="J99" i="322"/>
  <c r="I99" i="322"/>
  <c r="G99" i="322"/>
  <c r="O98" i="322"/>
  <c r="N98" i="322"/>
  <c r="O97" i="322"/>
  <c r="O94" i="322"/>
  <c r="N94" i="322"/>
  <c r="M94" i="322"/>
  <c r="L94" i="322"/>
  <c r="K94" i="322"/>
  <c r="J94" i="322"/>
  <c r="I94" i="322"/>
  <c r="H94" i="322"/>
  <c r="G94" i="322"/>
  <c r="O93" i="322"/>
  <c r="N93" i="322"/>
  <c r="O92" i="322"/>
  <c r="N92" i="322"/>
  <c r="O91" i="322"/>
  <c r="N91" i="322"/>
  <c r="O90" i="322"/>
  <c r="N90" i="322"/>
  <c r="O89" i="322"/>
  <c r="N89" i="322"/>
  <c r="O88" i="322"/>
  <c r="N88" i="322"/>
  <c r="O81" i="322"/>
  <c r="N81" i="322"/>
  <c r="M81" i="322"/>
  <c r="L81" i="322"/>
  <c r="K81" i="322"/>
  <c r="J81" i="322"/>
  <c r="I81" i="322"/>
  <c r="H81" i="322"/>
  <c r="G81" i="322"/>
  <c r="O80" i="322"/>
  <c r="N80" i="322"/>
  <c r="O79" i="322"/>
  <c r="N79" i="322"/>
  <c r="O76" i="322"/>
  <c r="N76" i="322"/>
  <c r="M76" i="322"/>
  <c r="L76" i="322"/>
  <c r="K76" i="322"/>
  <c r="J76" i="322"/>
  <c r="I76" i="322"/>
  <c r="H76" i="322"/>
  <c r="G76" i="322"/>
  <c r="O75" i="322"/>
  <c r="N75" i="322"/>
  <c r="O72" i="322"/>
  <c r="N72" i="322"/>
  <c r="M72" i="322"/>
  <c r="L72" i="322"/>
  <c r="K72" i="322"/>
  <c r="J72" i="322"/>
  <c r="I72" i="322"/>
  <c r="G72" i="322"/>
  <c r="O71" i="322"/>
  <c r="N71" i="322"/>
  <c r="O70" i="322"/>
  <c r="N70" i="322"/>
  <c r="O69" i="322"/>
  <c r="N69" i="322"/>
  <c r="O68" i="322"/>
  <c r="O65" i="322"/>
  <c r="N65" i="322"/>
  <c r="M65" i="322"/>
  <c r="L65" i="322"/>
  <c r="K65" i="322"/>
  <c r="J65" i="322"/>
  <c r="I65" i="322"/>
  <c r="G65" i="322"/>
  <c r="O63" i="322"/>
  <c r="N63" i="322"/>
  <c r="O62" i="322"/>
  <c r="N62" i="322"/>
  <c r="O61" i="322"/>
  <c r="N61" i="322"/>
  <c r="O60" i="322"/>
  <c r="N60" i="322"/>
  <c r="O59" i="322"/>
  <c r="N59" i="322"/>
  <c r="O58" i="322"/>
  <c r="N58" i="322"/>
  <c r="O57" i="322"/>
  <c r="N57" i="322"/>
  <c r="O54" i="322"/>
  <c r="N54" i="322"/>
  <c r="M54" i="322"/>
  <c r="L54" i="322"/>
  <c r="K54" i="322"/>
  <c r="J54" i="322"/>
  <c r="I54" i="322"/>
  <c r="H54" i="322"/>
  <c r="G54" i="322"/>
  <c r="O53" i="322"/>
  <c r="O52" i="322"/>
  <c r="N52" i="322"/>
  <c r="O49" i="322"/>
  <c r="N49" i="322"/>
  <c r="M49" i="322"/>
  <c r="L49" i="322"/>
  <c r="K49" i="322"/>
  <c r="J49" i="322"/>
  <c r="I49" i="322"/>
  <c r="H49" i="322"/>
  <c r="G49" i="322"/>
  <c r="O48" i="322"/>
  <c r="N48" i="322"/>
  <c r="O45" i="322"/>
  <c r="N45" i="322"/>
  <c r="M45" i="322"/>
  <c r="L45" i="322"/>
  <c r="K45" i="322"/>
  <c r="J45" i="322"/>
  <c r="I45" i="322"/>
  <c r="H45" i="322"/>
  <c r="G45" i="322"/>
  <c r="O44" i="322"/>
  <c r="N44" i="322"/>
  <c r="O43" i="322"/>
  <c r="N43" i="322"/>
  <c r="O36" i="322"/>
  <c r="N36" i="322"/>
  <c r="O35" i="322"/>
  <c r="N35" i="322"/>
  <c r="O33" i="322"/>
  <c r="N33" i="322"/>
  <c r="O32" i="322"/>
  <c r="N32" i="322"/>
  <c r="O29" i="322"/>
  <c r="N29" i="322"/>
  <c r="M29" i="322"/>
  <c r="L29" i="322"/>
  <c r="K29" i="322"/>
  <c r="J29" i="322"/>
  <c r="I29" i="322"/>
  <c r="G29" i="322"/>
  <c r="O28" i="322"/>
  <c r="N28" i="322"/>
  <c r="O25" i="322"/>
  <c r="N25" i="322"/>
  <c r="M25" i="322"/>
  <c r="L25" i="322"/>
  <c r="K25" i="322"/>
  <c r="J25" i="322"/>
  <c r="I25" i="322"/>
  <c r="G25" i="322"/>
  <c r="O24" i="322"/>
  <c r="N24" i="322"/>
  <c r="O20" i="322"/>
  <c r="N20" i="322"/>
  <c r="M20" i="322"/>
  <c r="L20" i="322"/>
  <c r="K20" i="322"/>
  <c r="J20" i="322"/>
  <c r="I20" i="322"/>
  <c r="H20" i="322"/>
  <c r="G20" i="322"/>
  <c r="O19" i="322"/>
  <c r="N19" i="322"/>
  <c r="O16" i="322"/>
  <c r="N16" i="322"/>
  <c r="M16" i="322"/>
  <c r="L16" i="322"/>
  <c r="K16" i="322"/>
  <c r="J16" i="322"/>
  <c r="I16" i="322"/>
  <c r="G16" i="322"/>
  <c r="O15" i="322"/>
  <c r="N15" i="322"/>
  <c r="O14" i="322"/>
  <c r="M226" i="321"/>
  <c r="L226" i="321"/>
  <c r="K226" i="321"/>
  <c r="J226" i="321"/>
  <c r="I226" i="321"/>
  <c r="H226" i="321"/>
  <c r="G226" i="321"/>
  <c r="E226" i="321"/>
  <c r="C226" i="321"/>
  <c r="M224" i="321"/>
  <c r="L224" i="321"/>
  <c r="K224" i="321"/>
  <c r="J224" i="321"/>
  <c r="I224" i="321"/>
  <c r="H224" i="321"/>
  <c r="G224" i="321"/>
  <c r="E224" i="321"/>
  <c r="M223" i="321"/>
  <c r="M222" i="321"/>
  <c r="M221" i="321"/>
  <c r="M220" i="321"/>
  <c r="M219" i="321"/>
  <c r="L219" i="321"/>
  <c r="M218" i="321"/>
  <c r="L218" i="321"/>
  <c r="M217" i="321"/>
  <c r="L217" i="321"/>
  <c r="M216" i="321"/>
  <c r="L216" i="321"/>
  <c r="M215" i="321"/>
  <c r="L215" i="321"/>
  <c r="M214" i="321"/>
  <c r="L214" i="321"/>
  <c r="M213" i="321"/>
  <c r="L213" i="321"/>
  <c r="M212" i="321"/>
  <c r="L212" i="321"/>
  <c r="M211" i="321"/>
  <c r="L211" i="321"/>
  <c r="M210" i="321"/>
  <c r="L210" i="321"/>
  <c r="M209" i="321"/>
  <c r="L209" i="321"/>
  <c r="M208" i="321"/>
  <c r="L208" i="321"/>
  <c r="M207" i="321"/>
  <c r="L207" i="321"/>
  <c r="M203" i="321"/>
  <c r="L203" i="321"/>
  <c r="M202" i="321"/>
  <c r="L202" i="321"/>
  <c r="M201" i="321"/>
  <c r="M200" i="321"/>
  <c r="L200" i="321"/>
  <c r="M199" i="321"/>
  <c r="L199" i="321"/>
  <c r="M198" i="321"/>
  <c r="L198" i="321"/>
  <c r="M197" i="321"/>
  <c r="L197" i="321"/>
  <c r="M196" i="321"/>
  <c r="L196" i="321"/>
  <c r="M195" i="321"/>
  <c r="L195" i="321"/>
  <c r="M194" i="321"/>
  <c r="L194" i="321"/>
  <c r="M193" i="321"/>
  <c r="M192" i="321"/>
  <c r="L192" i="321"/>
  <c r="M191" i="321"/>
  <c r="L191" i="321"/>
  <c r="M190" i="321"/>
  <c r="L190" i="321"/>
  <c r="M189" i="321"/>
  <c r="L189" i="321"/>
  <c r="M188" i="321"/>
  <c r="L188" i="321"/>
  <c r="M185" i="321"/>
  <c r="L185" i="321"/>
  <c r="K185" i="321"/>
  <c r="J185" i="321"/>
  <c r="I185" i="321"/>
  <c r="H185" i="321"/>
  <c r="G185" i="321"/>
  <c r="E185" i="321"/>
  <c r="M183" i="321"/>
  <c r="L183" i="321"/>
  <c r="M182" i="321"/>
  <c r="L182" i="321"/>
  <c r="M181" i="321"/>
  <c r="L181" i="321"/>
  <c r="M180" i="321"/>
  <c r="L180" i="321"/>
  <c r="M177" i="321"/>
  <c r="L177" i="321"/>
  <c r="K177" i="321"/>
  <c r="J177" i="321"/>
  <c r="I177" i="321"/>
  <c r="H177" i="321"/>
  <c r="G177" i="321"/>
  <c r="E177" i="321"/>
  <c r="M176" i="321"/>
  <c r="L176" i="321"/>
  <c r="M175" i="321"/>
  <c r="L175" i="321"/>
  <c r="M174" i="321"/>
  <c r="L174" i="321"/>
  <c r="M173" i="321"/>
  <c r="L173" i="321"/>
  <c r="M172" i="321"/>
  <c r="L172" i="321"/>
  <c r="M171" i="321"/>
  <c r="L171" i="321"/>
  <c r="M168" i="321"/>
  <c r="L168" i="321"/>
  <c r="K168" i="321"/>
  <c r="J168" i="321"/>
  <c r="I168" i="321"/>
  <c r="H168" i="321"/>
  <c r="G168" i="321"/>
  <c r="F168" i="321"/>
  <c r="E168" i="321"/>
  <c r="M167" i="321"/>
  <c r="L167" i="321"/>
  <c r="M166" i="321"/>
  <c r="L166" i="321"/>
  <c r="M163" i="321"/>
  <c r="L163" i="321"/>
  <c r="K163" i="321"/>
  <c r="J163" i="321"/>
  <c r="I163" i="321"/>
  <c r="H163" i="321"/>
  <c r="G163" i="321"/>
  <c r="E163" i="321"/>
  <c r="M162" i="321"/>
  <c r="L162" i="321"/>
  <c r="M161" i="321"/>
  <c r="L161" i="321"/>
  <c r="M158" i="321"/>
  <c r="L158" i="321"/>
  <c r="K158" i="321"/>
  <c r="J158" i="321"/>
  <c r="I158" i="321"/>
  <c r="H158" i="321"/>
  <c r="G158" i="321"/>
  <c r="F158" i="321"/>
  <c r="E158" i="321"/>
  <c r="M157" i="321"/>
  <c r="L157" i="321"/>
  <c r="M156" i="321"/>
  <c r="L156" i="321"/>
  <c r="M155" i="321"/>
  <c r="L155" i="321"/>
  <c r="M154" i="321"/>
  <c r="L154" i="321"/>
  <c r="L151" i="321"/>
  <c r="K151" i="321"/>
  <c r="J151" i="321"/>
  <c r="I151" i="321"/>
  <c r="H151" i="321"/>
  <c r="G151" i="321"/>
  <c r="F151" i="321"/>
  <c r="E151" i="321"/>
  <c r="M150" i="321"/>
  <c r="L150" i="321"/>
  <c r="M147" i="321"/>
  <c r="L147" i="321"/>
  <c r="K147" i="321"/>
  <c r="J147" i="321"/>
  <c r="I147" i="321"/>
  <c r="H147" i="321"/>
  <c r="G147" i="321"/>
  <c r="E147" i="321"/>
  <c r="M146" i="321"/>
  <c r="L146" i="321"/>
  <c r="M145" i="321"/>
  <c r="L145" i="321"/>
  <c r="M142" i="321"/>
  <c r="L142" i="321"/>
  <c r="K142" i="321"/>
  <c r="J142" i="321"/>
  <c r="I142" i="321"/>
  <c r="H142" i="321"/>
  <c r="G142" i="321"/>
  <c r="F142" i="321"/>
  <c r="E142" i="321"/>
  <c r="M141" i="321"/>
  <c r="L141" i="321"/>
  <c r="M140" i="321"/>
  <c r="L140" i="321"/>
  <c r="M139" i="321"/>
  <c r="L139" i="321"/>
  <c r="M136" i="321"/>
  <c r="L136" i="321"/>
  <c r="K136" i="321"/>
  <c r="J136" i="321"/>
  <c r="I136" i="321"/>
  <c r="H136" i="321"/>
  <c r="G136" i="321"/>
  <c r="F136" i="321"/>
  <c r="E136" i="321"/>
  <c r="M135" i="321"/>
  <c r="L135" i="321"/>
  <c r="M134" i="321"/>
  <c r="L134" i="321"/>
  <c r="M133" i="321"/>
  <c r="M132" i="321"/>
  <c r="L132" i="321"/>
  <c r="M129" i="321"/>
  <c r="L129" i="321"/>
  <c r="K129" i="321"/>
  <c r="J129" i="321"/>
  <c r="I129" i="321"/>
  <c r="H129" i="321"/>
  <c r="G129" i="321"/>
  <c r="F129" i="321"/>
  <c r="E129" i="321"/>
  <c r="M128" i="321"/>
  <c r="L128" i="321"/>
  <c r="M127" i="321"/>
  <c r="L127" i="321"/>
  <c r="M126" i="321"/>
  <c r="L126" i="321"/>
  <c r="M123" i="321"/>
  <c r="L123" i="321"/>
  <c r="K123" i="321"/>
  <c r="J123" i="321"/>
  <c r="I123" i="321"/>
  <c r="H123" i="321"/>
  <c r="G123" i="321"/>
  <c r="F123" i="321"/>
  <c r="E123" i="321"/>
  <c r="M122" i="321"/>
  <c r="L122" i="321"/>
  <c r="M121" i="321"/>
  <c r="M120" i="321"/>
  <c r="L120" i="321"/>
  <c r="M119" i="321"/>
  <c r="L119" i="321"/>
  <c r="M118" i="321"/>
  <c r="L118" i="321"/>
  <c r="M117" i="321"/>
  <c r="L117" i="321"/>
  <c r="M114" i="321"/>
  <c r="L114" i="321"/>
  <c r="K114" i="321"/>
  <c r="J114" i="321"/>
  <c r="I114" i="321"/>
  <c r="H114" i="321"/>
  <c r="G114" i="321"/>
  <c r="E114" i="321"/>
  <c r="M113" i="321"/>
  <c r="L113" i="321"/>
  <c r="M110" i="321"/>
  <c r="L110" i="321"/>
  <c r="K110" i="321"/>
  <c r="J110" i="321"/>
  <c r="I110" i="321"/>
  <c r="H110" i="321"/>
  <c r="G110" i="321"/>
  <c r="E110" i="321"/>
  <c r="M109" i="321"/>
  <c r="L109" i="321"/>
  <c r="M108" i="321"/>
  <c r="M105" i="321"/>
  <c r="L105" i="321"/>
  <c r="K105" i="321"/>
  <c r="J105" i="321"/>
  <c r="H105" i="321"/>
  <c r="G105" i="321"/>
  <c r="E105" i="321"/>
  <c r="M104" i="321"/>
  <c r="L104" i="321"/>
  <c r="M101" i="321"/>
  <c r="L101" i="321"/>
  <c r="K101" i="321"/>
  <c r="J101" i="321"/>
  <c r="I101" i="321"/>
  <c r="H101" i="321"/>
  <c r="G101" i="321"/>
  <c r="E101" i="321"/>
  <c r="M100" i="321"/>
  <c r="M99" i="321"/>
  <c r="L99" i="321"/>
  <c r="M98" i="321"/>
  <c r="L98" i="321"/>
  <c r="M97" i="321"/>
  <c r="L97" i="321"/>
  <c r="M94" i="321"/>
  <c r="L94" i="321"/>
  <c r="K94" i="321"/>
  <c r="J94" i="321"/>
  <c r="I94" i="321"/>
  <c r="H94" i="321"/>
  <c r="G94" i="321"/>
  <c r="F94" i="321"/>
  <c r="E94" i="321"/>
  <c r="M93" i="321"/>
  <c r="L93" i="321"/>
  <c r="M92" i="321"/>
  <c r="L92" i="321"/>
  <c r="M89" i="321"/>
  <c r="L89" i="321"/>
  <c r="K89" i="321"/>
  <c r="J89" i="321"/>
  <c r="I89" i="321"/>
  <c r="H89" i="321"/>
  <c r="G89" i="321"/>
  <c r="E89" i="321"/>
  <c r="M88" i="321"/>
  <c r="L88" i="321"/>
  <c r="M87" i="321"/>
  <c r="L87" i="321"/>
  <c r="M86" i="321"/>
  <c r="L86" i="321"/>
  <c r="M85" i="321"/>
  <c r="L85" i="321"/>
  <c r="M84" i="321"/>
  <c r="L84" i="321"/>
  <c r="M83" i="321"/>
  <c r="L83" i="321"/>
  <c r="M82" i="321"/>
  <c r="L82" i="321"/>
  <c r="M81" i="321"/>
  <c r="L81" i="321"/>
  <c r="M80" i="321"/>
  <c r="L80" i="321"/>
  <c r="M79" i="321"/>
  <c r="L79" i="321"/>
  <c r="M78" i="321"/>
  <c r="L78" i="321"/>
  <c r="M77" i="321"/>
  <c r="L77" i="321"/>
  <c r="M74" i="321"/>
  <c r="L74" i="321"/>
  <c r="K74" i="321"/>
  <c r="J74" i="321"/>
  <c r="I74" i="321"/>
  <c r="H74" i="321"/>
  <c r="G74" i="321"/>
  <c r="F74" i="321"/>
  <c r="E74" i="321"/>
  <c r="M73" i="321"/>
  <c r="L73" i="321"/>
  <c r="M72" i="321"/>
  <c r="L72" i="321"/>
  <c r="M71" i="321"/>
  <c r="L71" i="321"/>
  <c r="M70" i="321"/>
  <c r="L70" i="321"/>
  <c r="M69" i="321"/>
  <c r="L69" i="321"/>
  <c r="M68" i="321"/>
  <c r="L68" i="321"/>
  <c r="M67" i="321"/>
  <c r="L67" i="321"/>
  <c r="M66" i="321"/>
  <c r="L66" i="321"/>
  <c r="M65" i="321"/>
  <c r="L65" i="321"/>
  <c r="M64" i="321"/>
  <c r="L64" i="321"/>
  <c r="M63" i="321"/>
  <c r="L63" i="321"/>
  <c r="M62" i="321"/>
  <c r="L62" i="321"/>
  <c r="M59" i="321"/>
  <c r="L59" i="321"/>
  <c r="K59" i="321"/>
  <c r="J59" i="321"/>
  <c r="I59" i="321"/>
  <c r="H59" i="321"/>
  <c r="G59" i="321"/>
  <c r="F59" i="321"/>
  <c r="E59" i="321"/>
  <c r="M58" i="321"/>
  <c r="M57" i="321"/>
  <c r="L57" i="321"/>
  <c r="M56" i="321"/>
  <c r="L56" i="321"/>
  <c r="M53" i="321"/>
  <c r="L53" i="321"/>
  <c r="K53" i="321"/>
  <c r="J53" i="321"/>
  <c r="I53" i="321"/>
  <c r="H53" i="321"/>
  <c r="G53" i="321"/>
  <c r="F53" i="321"/>
  <c r="E53" i="321"/>
  <c r="M52" i="321"/>
  <c r="L52" i="321"/>
  <c r="M49" i="321"/>
  <c r="L49" i="321"/>
  <c r="K49" i="321"/>
  <c r="J49" i="321"/>
  <c r="I49" i="321"/>
  <c r="H49" i="321"/>
  <c r="G49" i="321"/>
  <c r="F49" i="321"/>
  <c r="E49" i="321"/>
  <c r="M48" i="321"/>
  <c r="L48" i="321"/>
  <c r="M47" i="321"/>
  <c r="L47" i="321"/>
  <c r="M44" i="321"/>
  <c r="L44" i="321"/>
  <c r="K44" i="321"/>
  <c r="J44" i="321"/>
  <c r="I44" i="321"/>
  <c r="H44" i="321"/>
  <c r="F44" i="321"/>
  <c r="E44" i="321"/>
  <c r="M43" i="321"/>
  <c r="L43" i="321"/>
  <c r="M40" i="321"/>
  <c r="L40" i="321"/>
  <c r="K40" i="321"/>
  <c r="J40" i="321"/>
  <c r="I40" i="321"/>
  <c r="H40" i="321"/>
  <c r="G40" i="321"/>
  <c r="E40" i="321"/>
  <c r="M39" i="321"/>
  <c r="L39" i="321"/>
  <c r="M38" i="321"/>
  <c r="L38" i="321"/>
  <c r="M37" i="321"/>
  <c r="L37" i="321"/>
  <c r="M36" i="321"/>
  <c r="L36" i="321"/>
  <c r="M35" i="321"/>
  <c r="L35" i="321"/>
  <c r="M34" i="321"/>
  <c r="L34" i="321"/>
  <c r="M33" i="321"/>
  <c r="L33" i="321"/>
  <c r="M30" i="321"/>
  <c r="L30" i="321"/>
  <c r="K30" i="321"/>
  <c r="J30" i="321"/>
  <c r="I30" i="321"/>
  <c r="H30" i="321"/>
  <c r="G30" i="321"/>
  <c r="F30" i="321"/>
  <c r="E30" i="321"/>
  <c r="M29" i="321"/>
  <c r="L29" i="321"/>
  <c r="M26" i="321"/>
  <c r="L26" i="321"/>
  <c r="K26" i="321"/>
  <c r="J26" i="321"/>
  <c r="I26" i="321"/>
  <c r="H26" i="321"/>
  <c r="G26" i="321"/>
  <c r="E26" i="321"/>
  <c r="M25" i="321"/>
  <c r="L25" i="321"/>
  <c r="M24" i="321"/>
  <c r="L24" i="321"/>
  <c r="M23" i="321"/>
  <c r="L23" i="321"/>
  <c r="M22" i="321"/>
  <c r="L22" i="321"/>
  <c r="M19" i="321"/>
  <c r="L19" i="321"/>
  <c r="K19" i="321"/>
  <c r="J19" i="321"/>
  <c r="I19" i="321"/>
  <c r="H19" i="321"/>
  <c r="G19" i="321"/>
  <c r="F19" i="321"/>
  <c r="E19" i="321"/>
  <c r="M18" i="321"/>
  <c r="L18" i="321"/>
  <c r="M17" i="321"/>
  <c r="M16" i="321"/>
  <c r="L16" i="321"/>
  <c r="M15" i="321"/>
  <c r="L15" i="321"/>
  <c r="L18" i="320"/>
  <c r="K18" i="320"/>
  <c r="J18" i="320"/>
  <c r="I18" i="320"/>
  <c r="H18" i="320"/>
  <c r="G18" i="320"/>
  <c r="F18" i="320"/>
  <c r="E18" i="320"/>
  <c r="D18" i="320"/>
  <c r="L16" i="320"/>
  <c r="K16" i="320"/>
  <c r="J16" i="320"/>
  <c r="I16" i="320"/>
  <c r="H16" i="320"/>
  <c r="G16" i="320"/>
  <c r="F16" i="320"/>
  <c r="E16" i="320"/>
  <c r="D16" i="320"/>
  <c r="L15" i="320"/>
  <c r="K15" i="320"/>
  <c r="M22" i="319"/>
  <c r="L22" i="319"/>
  <c r="K22" i="319"/>
  <c r="J22" i="319"/>
  <c r="I22" i="319"/>
  <c r="H22" i="319"/>
  <c r="G22" i="319"/>
  <c r="E22" i="319"/>
  <c r="M16" i="319"/>
  <c r="L16" i="319"/>
  <c r="K16" i="319"/>
  <c r="J16" i="319"/>
  <c r="I16" i="319"/>
  <c r="H16" i="319"/>
  <c r="G16" i="319"/>
  <c r="F16" i="319"/>
  <c r="E16" i="319"/>
  <c r="M33" i="318"/>
  <c r="L33" i="318"/>
  <c r="J33" i="318"/>
  <c r="I33" i="318"/>
  <c r="H33" i="318"/>
  <c r="G33" i="318"/>
  <c r="E33" i="318"/>
  <c r="D33" i="318"/>
  <c r="M24" i="318"/>
  <c r="L24" i="318"/>
  <c r="M23" i="318"/>
  <c r="L23" i="318"/>
  <c r="M20" i="318"/>
  <c r="L20" i="318"/>
  <c r="K20" i="318"/>
  <c r="J20" i="318"/>
  <c r="I20" i="318"/>
  <c r="H20" i="318"/>
  <c r="G20" i="318"/>
  <c r="F20" i="318"/>
  <c r="E20" i="318"/>
  <c r="M19" i="318"/>
  <c r="L19" i="318"/>
  <c r="M16" i="318"/>
  <c r="L16" i="318"/>
  <c r="K16" i="318"/>
  <c r="J16" i="318"/>
  <c r="I16" i="318"/>
  <c r="H16" i="318"/>
  <c r="G16" i="318"/>
  <c r="F16" i="318"/>
  <c r="E16" i="318"/>
  <c r="M15" i="318"/>
  <c r="L15" i="318"/>
  <c r="M58" i="317"/>
  <c r="L58" i="317"/>
  <c r="J58" i="317"/>
  <c r="I58" i="317"/>
  <c r="H58" i="317"/>
  <c r="G58" i="317"/>
  <c r="E58" i="317"/>
  <c r="D58" i="317"/>
  <c r="M56" i="317"/>
  <c r="L56" i="317"/>
  <c r="J56" i="317"/>
  <c r="I56" i="317"/>
  <c r="H56" i="317"/>
  <c r="G56" i="317"/>
  <c r="E56" i="317"/>
  <c r="M55" i="317"/>
  <c r="L55" i="317"/>
  <c r="M52" i="317"/>
  <c r="L52" i="317"/>
  <c r="J52" i="317"/>
  <c r="I52" i="317"/>
  <c r="H52" i="317"/>
  <c r="G52" i="317"/>
  <c r="E52" i="317"/>
  <c r="M51" i="317"/>
  <c r="L51" i="317"/>
  <c r="M48" i="317"/>
  <c r="L48" i="317"/>
  <c r="J48" i="317"/>
  <c r="I48" i="317"/>
  <c r="H48" i="317"/>
  <c r="G48" i="317"/>
  <c r="E48" i="317"/>
  <c r="M47" i="317"/>
  <c r="L47" i="317"/>
  <c r="M46" i="317"/>
  <c r="L46" i="317"/>
  <c r="M43" i="317"/>
  <c r="L43" i="317"/>
  <c r="J43" i="317"/>
  <c r="I43" i="317"/>
  <c r="H43" i="317"/>
  <c r="G43" i="317"/>
  <c r="E43" i="317"/>
  <c r="M42" i="317"/>
  <c r="L42" i="317"/>
  <c r="M39" i="317"/>
  <c r="L39" i="317"/>
  <c r="J39" i="317"/>
  <c r="I39" i="317"/>
  <c r="H39" i="317"/>
  <c r="G39" i="317"/>
  <c r="E39" i="317"/>
  <c r="M38" i="317"/>
  <c r="L38" i="317"/>
  <c r="M35" i="317"/>
  <c r="L35" i="317"/>
  <c r="J35" i="317"/>
  <c r="I35" i="317"/>
  <c r="H35" i="317"/>
  <c r="G35" i="317"/>
  <c r="E35" i="317"/>
  <c r="M34" i="317"/>
  <c r="L34" i="317"/>
  <c r="M27" i="317"/>
  <c r="L27" i="317"/>
  <c r="J27" i="317"/>
  <c r="I27" i="317"/>
  <c r="H27" i="317"/>
  <c r="G27" i="317"/>
  <c r="E27" i="317"/>
  <c r="L26" i="317"/>
  <c r="M23" i="317"/>
  <c r="L23" i="317"/>
  <c r="J23" i="317"/>
  <c r="I23" i="317"/>
  <c r="H23" i="317"/>
  <c r="G23" i="317"/>
  <c r="E23" i="317"/>
  <c r="M22" i="317"/>
  <c r="L22" i="317"/>
  <c r="N34" i="316"/>
  <c r="M34" i="316"/>
  <c r="L34" i="316"/>
  <c r="K34" i="316"/>
  <c r="J34" i="316"/>
  <c r="I34" i="316"/>
  <c r="H34" i="316"/>
  <c r="G34" i="316"/>
  <c r="F34" i="316"/>
  <c r="N33" i="316"/>
  <c r="M33" i="316"/>
  <c r="L33" i="316"/>
  <c r="K33" i="316"/>
  <c r="J33" i="316"/>
  <c r="I33" i="316"/>
  <c r="H33" i="316"/>
  <c r="F33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O138" i="315"/>
  <c r="N138" i="315"/>
  <c r="M138" i="315"/>
  <c r="L138" i="315"/>
  <c r="K138" i="315"/>
  <c r="J138" i="315"/>
  <c r="I138" i="315"/>
  <c r="G138" i="315"/>
  <c r="C138" i="315"/>
  <c r="O136" i="315"/>
  <c r="N136" i="315"/>
  <c r="M136" i="315"/>
  <c r="L136" i="315"/>
  <c r="K136" i="315"/>
  <c r="J136" i="315"/>
  <c r="I136" i="315"/>
  <c r="G136" i="315"/>
  <c r="O135" i="315"/>
  <c r="N135" i="315"/>
  <c r="O134" i="315"/>
  <c r="N134" i="315"/>
  <c r="O133" i="315"/>
  <c r="N133" i="315"/>
  <c r="O132" i="315"/>
  <c r="N132" i="315"/>
  <c r="O131" i="315"/>
  <c r="N131" i="315"/>
  <c r="O130" i="315"/>
  <c r="N130" i="315"/>
  <c r="O129" i="315"/>
  <c r="N129" i="315"/>
  <c r="O128" i="315"/>
  <c r="N128" i="315"/>
  <c r="O127" i="315"/>
  <c r="N127" i="315"/>
  <c r="O126" i="315"/>
  <c r="N126" i="315"/>
  <c r="O125" i="315"/>
  <c r="N125" i="315"/>
  <c r="O124" i="315"/>
  <c r="N124" i="315"/>
  <c r="O123" i="315"/>
  <c r="N123" i="315"/>
  <c r="O122" i="315"/>
  <c r="N122" i="315"/>
  <c r="O121" i="315"/>
  <c r="N121" i="315"/>
  <c r="O120" i="315"/>
  <c r="N120" i="315"/>
  <c r="O119" i="315"/>
  <c r="N119" i="315"/>
  <c r="O118" i="315"/>
  <c r="N118" i="315"/>
  <c r="O117" i="315"/>
  <c r="N117" i="315"/>
  <c r="O116" i="315"/>
  <c r="N116" i="315"/>
  <c r="O115" i="315"/>
  <c r="N115" i="315"/>
  <c r="O114" i="315"/>
  <c r="N114" i="315"/>
  <c r="O113" i="315"/>
  <c r="N113" i="315"/>
  <c r="O112" i="315"/>
  <c r="N112" i="315"/>
  <c r="O111" i="315"/>
  <c r="N111" i="315"/>
  <c r="O110" i="315"/>
  <c r="N110" i="315"/>
  <c r="O109" i="315"/>
  <c r="N109" i="315"/>
  <c r="O108" i="315"/>
  <c r="N108" i="315"/>
  <c r="O107" i="315"/>
  <c r="N107" i="315"/>
  <c r="O106" i="315"/>
  <c r="N106" i="315"/>
  <c r="O105" i="315"/>
  <c r="N105" i="315"/>
  <c r="O104" i="315"/>
  <c r="N104" i="315"/>
  <c r="O103" i="315"/>
  <c r="N103" i="315"/>
  <c r="O102" i="315"/>
  <c r="N102" i="315"/>
  <c r="O99" i="315"/>
  <c r="N99" i="315"/>
  <c r="M99" i="315"/>
  <c r="L99" i="315"/>
  <c r="K99" i="315"/>
  <c r="J99" i="315"/>
  <c r="I99" i="315"/>
  <c r="G99" i="315"/>
  <c r="O98" i="315"/>
  <c r="N98" i="315"/>
  <c r="O97" i="315"/>
  <c r="O94" i="315"/>
  <c r="N94" i="315"/>
  <c r="M94" i="315"/>
  <c r="L94" i="315"/>
  <c r="K94" i="315"/>
  <c r="J94" i="315"/>
  <c r="I94" i="315"/>
  <c r="H94" i="315"/>
  <c r="G94" i="315"/>
  <c r="O93" i="315"/>
  <c r="N93" i="315"/>
  <c r="O92" i="315"/>
  <c r="N92" i="315"/>
  <c r="O91" i="315"/>
  <c r="N91" i="315"/>
  <c r="O90" i="315"/>
  <c r="N90" i="315"/>
  <c r="O89" i="315"/>
  <c r="N89" i="315"/>
  <c r="O88" i="315"/>
  <c r="N88" i="315"/>
  <c r="O81" i="315"/>
  <c r="N81" i="315"/>
  <c r="M81" i="315"/>
  <c r="L81" i="315"/>
  <c r="K81" i="315"/>
  <c r="J81" i="315"/>
  <c r="I81" i="315"/>
  <c r="H81" i="315"/>
  <c r="G81" i="315"/>
  <c r="O80" i="315"/>
  <c r="N80" i="315"/>
  <c r="O79" i="315"/>
  <c r="N79" i="315"/>
  <c r="O76" i="315"/>
  <c r="N76" i="315"/>
  <c r="M76" i="315"/>
  <c r="L76" i="315"/>
  <c r="K76" i="315"/>
  <c r="J76" i="315"/>
  <c r="I76" i="315"/>
  <c r="H76" i="315"/>
  <c r="G76" i="315"/>
  <c r="O75" i="315"/>
  <c r="N75" i="315"/>
  <c r="O72" i="315"/>
  <c r="N72" i="315"/>
  <c r="M72" i="315"/>
  <c r="L72" i="315"/>
  <c r="K72" i="315"/>
  <c r="J72" i="315"/>
  <c r="I72" i="315"/>
  <c r="G72" i="315"/>
  <c r="O71" i="315"/>
  <c r="N71" i="315"/>
  <c r="O70" i="315"/>
  <c r="N70" i="315"/>
  <c r="O69" i="315"/>
  <c r="N69" i="315"/>
  <c r="O68" i="315"/>
  <c r="O65" i="315"/>
  <c r="N65" i="315"/>
  <c r="M65" i="315"/>
  <c r="L65" i="315"/>
  <c r="K65" i="315"/>
  <c r="J65" i="315"/>
  <c r="I65" i="315"/>
  <c r="G65" i="315"/>
  <c r="O63" i="315"/>
  <c r="N63" i="315"/>
  <c r="O62" i="315"/>
  <c r="N62" i="315"/>
  <c r="O61" i="315"/>
  <c r="N61" i="315"/>
  <c r="O60" i="315"/>
  <c r="N60" i="315"/>
  <c r="O59" i="315"/>
  <c r="N59" i="315"/>
  <c r="O58" i="315"/>
  <c r="N58" i="315"/>
  <c r="O57" i="315"/>
  <c r="N57" i="315"/>
  <c r="O54" i="315"/>
  <c r="N54" i="315"/>
  <c r="M54" i="315"/>
  <c r="L54" i="315"/>
  <c r="K54" i="315"/>
  <c r="J54" i="315"/>
  <c r="I54" i="315"/>
  <c r="H54" i="315"/>
  <c r="G54" i="315"/>
  <c r="O53" i="315"/>
  <c r="O52" i="315"/>
  <c r="N52" i="315"/>
  <c r="O49" i="315"/>
  <c r="N49" i="315"/>
  <c r="M49" i="315"/>
  <c r="L49" i="315"/>
  <c r="K49" i="315"/>
  <c r="J49" i="315"/>
  <c r="I49" i="315"/>
  <c r="H49" i="315"/>
  <c r="G49" i="315"/>
  <c r="O48" i="315"/>
  <c r="N48" i="315"/>
  <c r="O45" i="315"/>
  <c r="N45" i="315"/>
  <c r="M45" i="315"/>
  <c r="L45" i="315"/>
  <c r="K45" i="315"/>
  <c r="J45" i="315"/>
  <c r="I45" i="315"/>
  <c r="H45" i="315"/>
  <c r="G45" i="315"/>
  <c r="O44" i="315"/>
  <c r="N44" i="315"/>
  <c r="O43" i="315"/>
  <c r="N43" i="315"/>
  <c r="O36" i="315"/>
  <c r="N36" i="315"/>
  <c r="O35" i="315"/>
  <c r="N35" i="315"/>
  <c r="O33" i="315"/>
  <c r="N33" i="315"/>
  <c r="O32" i="315"/>
  <c r="N32" i="315"/>
  <c r="O29" i="315"/>
  <c r="N29" i="315"/>
  <c r="M29" i="315"/>
  <c r="L29" i="315"/>
  <c r="K29" i="315"/>
  <c r="J29" i="315"/>
  <c r="I29" i="315"/>
  <c r="H29" i="315"/>
  <c r="G29" i="315"/>
  <c r="O28" i="315"/>
  <c r="N28" i="315"/>
  <c r="O25" i="315"/>
  <c r="N25" i="315"/>
  <c r="M25" i="315"/>
  <c r="L25" i="315"/>
  <c r="K25" i="315"/>
  <c r="J25" i="315"/>
  <c r="I25" i="315"/>
  <c r="G25" i="315"/>
  <c r="O24" i="315"/>
  <c r="N24" i="315"/>
  <c r="O20" i="315"/>
  <c r="N20" i="315"/>
  <c r="M20" i="315"/>
  <c r="L20" i="315"/>
  <c r="K20" i="315"/>
  <c r="J20" i="315"/>
  <c r="I20" i="315"/>
  <c r="H20" i="315"/>
  <c r="G20" i="315"/>
  <c r="O19" i="315"/>
  <c r="N19" i="315"/>
  <c r="O16" i="315"/>
  <c r="N16" i="315"/>
  <c r="M16" i="315"/>
  <c r="L16" i="315"/>
  <c r="K16" i="315"/>
  <c r="J16" i="315"/>
  <c r="I16" i="315"/>
  <c r="G16" i="315"/>
  <c r="O15" i="315"/>
  <c r="N15" i="315"/>
  <c r="O14" i="315"/>
  <c r="J225" i="314"/>
  <c r="I225" i="314"/>
  <c r="H225" i="314"/>
  <c r="G225" i="314"/>
  <c r="E225" i="314"/>
  <c r="C225" i="314"/>
  <c r="M223" i="314"/>
  <c r="L223" i="314"/>
  <c r="K223" i="314"/>
  <c r="J223" i="314"/>
  <c r="I223" i="314"/>
  <c r="H223" i="314"/>
  <c r="G223" i="314"/>
  <c r="E223" i="314"/>
  <c r="M222" i="314"/>
  <c r="M221" i="314"/>
  <c r="M220" i="314"/>
  <c r="M219" i="314"/>
  <c r="M218" i="314"/>
  <c r="L218" i="314"/>
  <c r="M217" i="314"/>
  <c r="L217" i="314"/>
  <c r="M216" i="314"/>
  <c r="L216" i="314"/>
  <c r="M215" i="314"/>
  <c r="L215" i="314"/>
  <c r="M214" i="314"/>
  <c r="L214" i="314"/>
  <c r="M213" i="314"/>
  <c r="L213" i="314"/>
  <c r="M212" i="314"/>
  <c r="L212" i="314"/>
  <c r="M211" i="314"/>
  <c r="L211" i="314"/>
  <c r="M210" i="314"/>
  <c r="L210" i="314"/>
  <c r="M209" i="314"/>
  <c r="L209" i="314"/>
  <c r="M208" i="314"/>
  <c r="L208" i="314"/>
  <c r="M207" i="314"/>
  <c r="L207" i="314"/>
  <c r="M206" i="314"/>
  <c r="L206" i="314"/>
  <c r="M201" i="314"/>
  <c r="L201" i="314"/>
  <c r="M200" i="314"/>
  <c r="L200" i="314"/>
  <c r="M199" i="314"/>
  <c r="M198" i="314"/>
  <c r="L198" i="314"/>
  <c r="M197" i="314"/>
  <c r="L197" i="314"/>
  <c r="M196" i="314"/>
  <c r="L196" i="314"/>
  <c r="M195" i="314"/>
  <c r="L195" i="314"/>
  <c r="M194" i="314"/>
  <c r="L194" i="314"/>
  <c r="M193" i="314"/>
  <c r="L193" i="314"/>
  <c r="M192" i="314"/>
  <c r="L192" i="314"/>
  <c r="M191" i="314"/>
  <c r="M190" i="314"/>
  <c r="L190" i="314"/>
  <c r="M189" i="314"/>
  <c r="L189" i="314"/>
  <c r="M188" i="314"/>
  <c r="L188" i="314"/>
  <c r="M187" i="314"/>
  <c r="L187" i="314"/>
  <c r="M186" i="314"/>
  <c r="L186" i="314"/>
  <c r="M183" i="314"/>
  <c r="L183" i="314"/>
  <c r="K183" i="314"/>
  <c r="J183" i="314"/>
  <c r="I183" i="314"/>
  <c r="H183" i="314"/>
  <c r="G183" i="314"/>
  <c r="E183" i="314"/>
  <c r="M182" i="314"/>
  <c r="L182" i="314"/>
  <c r="M181" i="314"/>
  <c r="L181" i="314"/>
  <c r="M180" i="314"/>
  <c r="L180" i="314"/>
  <c r="M179" i="314"/>
  <c r="L179" i="314"/>
  <c r="M176" i="314"/>
  <c r="L176" i="314"/>
  <c r="K176" i="314"/>
  <c r="J176" i="314"/>
  <c r="I176" i="314"/>
  <c r="H176" i="314"/>
  <c r="G176" i="314"/>
  <c r="E176" i="314"/>
  <c r="M175" i="314"/>
  <c r="L175" i="314"/>
  <c r="M174" i="314"/>
  <c r="L174" i="314"/>
  <c r="M173" i="314"/>
  <c r="L173" i="314"/>
  <c r="M172" i="314"/>
  <c r="L172" i="314"/>
  <c r="M171" i="314"/>
  <c r="L171" i="314"/>
  <c r="M170" i="314"/>
  <c r="L170" i="314"/>
  <c r="M167" i="314"/>
  <c r="L167" i="314"/>
  <c r="K167" i="314"/>
  <c r="J167" i="314"/>
  <c r="I167" i="314"/>
  <c r="H167" i="314"/>
  <c r="G167" i="314"/>
  <c r="F167" i="314"/>
  <c r="E167" i="314"/>
  <c r="M166" i="314"/>
  <c r="L166" i="314"/>
  <c r="M165" i="314"/>
  <c r="L165" i="314"/>
  <c r="M162" i="314"/>
  <c r="L162" i="314"/>
  <c r="K162" i="314"/>
  <c r="J162" i="314"/>
  <c r="I162" i="314"/>
  <c r="H162" i="314"/>
  <c r="G162" i="314"/>
  <c r="E162" i="314"/>
  <c r="M161" i="314"/>
  <c r="L161" i="314"/>
  <c r="M160" i="314"/>
  <c r="L160" i="314"/>
  <c r="M157" i="314"/>
  <c r="L157" i="314"/>
  <c r="K157" i="314"/>
  <c r="J157" i="314"/>
  <c r="I157" i="314"/>
  <c r="H157" i="314"/>
  <c r="G157" i="314"/>
  <c r="F157" i="314"/>
  <c r="E157" i="314"/>
  <c r="M156" i="314"/>
  <c r="L156" i="314"/>
  <c r="M155" i="314"/>
  <c r="L155" i="314"/>
  <c r="M154" i="314"/>
  <c r="L154" i="314"/>
  <c r="M153" i="314"/>
  <c r="L153" i="314"/>
  <c r="L150" i="314"/>
  <c r="K150" i="314"/>
  <c r="J150" i="314"/>
  <c r="I150" i="314"/>
  <c r="H150" i="314"/>
  <c r="G150" i="314"/>
  <c r="F150" i="314"/>
  <c r="E150" i="314"/>
  <c r="M149" i="314"/>
  <c r="L149" i="314"/>
  <c r="M146" i="314"/>
  <c r="L146" i="314"/>
  <c r="K146" i="314"/>
  <c r="J146" i="314"/>
  <c r="I146" i="314"/>
  <c r="H146" i="314"/>
  <c r="G146" i="314"/>
  <c r="E146" i="314"/>
  <c r="M145" i="314"/>
  <c r="M144" i="314"/>
  <c r="L144" i="314"/>
  <c r="M141" i="314"/>
  <c r="L141" i="314"/>
  <c r="K141" i="314"/>
  <c r="J141" i="314"/>
  <c r="I141" i="314"/>
  <c r="H141" i="314"/>
  <c r="G141" i="314"/>
  <c r="F141" i="314"/>
  <c r="E141" i="314"/>
  <c r="M140" i="314"/>
  <c r="L140" i="314"/>
  <c r="M139" i="314"/>
  <c r="L139" i="314"/>
  <c r="M138" i="314"/>
  <c r="L138" i="314"/>
  <c r="M135" i="314"/>
  <c r="L135" i="314"/>
  <c r="K135" i="314"/>
  <c r="J135" i="314"/>
  <c r="I135" i="314"/>
  <c r="H135" i="314"/>
  <c r="G135" i="314"/>
  <c r="F135" i="314"/>
  <c r="E135" i="314"/>
  <c r="M134" i="314"/>
  <c r="L134" i="314"/>
  <c r="M133" i="314"/>
  <c r="L133" i="314"/>
  <c r="M132" i="314"/>
  <c r="M131" i="314"/>
  <c r="L131" i="314"/>
  <c r="M128" i="314"/>
  <c r="L128" i="314"/>
  <c r="K128" i="314"/>
  <c r="J128" i="314"/>
  <c r="I128" i="314"/>
  <c r="H128" i="314"/>
  <c r="G128" i="314"/>
  <c r="F128" i="314"/>
  <c r="E128" i="314"/>
  <c r="M127" i="314"/>
  <c r="L127" i="314"/>
  <c r="M126" i="314"/>
  <c r="L126" i="314"/>
  <c r="M125" i="314"/>
  <c r="L125" i="314"/>
  <c r="M122" i="314"/>
  <c r="L122" i="314"/>
  <c r="K122" i="314"/>
  <c r="J122" i="314"/>
  <c r="I122" i="314"/>
  <c r="H122" i="314"/>
  <c r="G122" i="314"/>
  <c r="F122" i="314"/>
  <c r="E122" i="314"/>
  <c r="M121" i="314"/>
  <c r="L121" i="314"/>
  <c r="M120" i="314"/>
  <c r="M119" i="314"/>
  <c r="L119" i="314"/>
  <c r="M118" i="314"/>
  <c r="L118" i="314"/>
  <c r="M117" i="314"/>
  <c r="L117" i="314"/>
  <c r="M116" i="314"/>
  <c r="L116" i="314"/>
  <c r="M113" i="314"/>
  <c r="L113" i="314"/>
  <c r="K113" i="314"/>
  <c r="J113" i="314"/>
  <c r="I113" i="314"/>
  <c r="H113" i="314"/>
  <c r="G113" i="314"/>
  <c r="E113" i="314"/>
  <c r="M112" i="314"/>
  <c r="L112" i="314"/>
  <c r="M109" i="314"/>
  <c r="L109" i="314"/>
  <c r="K109" i="314"/>
  <c r="J109" i="314"/>
  <c r="I109" i="314"/>
  <c r="H109" i="314"/>
  <c r="G109" i="314"/>
  <c r="E109" i="314"/>
  <c r="M108" i="314"/>
  <c r="L108" i="314"/>
  <c r="M107" i="314"/>
  <c r="M104" i="314"/>
  <c r="L104" i="314"/>
  <c r="K104" i="314"/>
  <c r="J104" i="314"/>
  <c r="H104" i="314"/>
  <c r="G104" i="314"/>
  <c r="E104" i="314"/>
  <c r="M103" i="314"/>
  <c r="L103" i="314"/>
  <c r="M100" i="314"/>
  <c r="L100" i="314"/>
  <c r="K100" i="314"/>
  <c r="J100" i="314"/>
  <c r="I100" i="314"/>
  <c r="H100" i="314"/>
  <c r="G100" i="314"/>
  <c r="E100" i="314"/>
  <c r="M99" i="314"/>
  <c r="M98" i="314"/>
  <c r="L98" i="314"/>
  <c r="M97" i="314"/>
  <c r="L97" i="314"/>
  <c r="M94" i="314"/>
  <c r="L94" i="314"/>
  <c r="K94" i="314"/>
  <c r="J94" i="314"/>
  <c r="I94" i="314"/>
  <c r="H94" i="314"/>
  <c r="G94" i="314"/>
  <c r="F94" i="314"/>
  <c r="E94" i="314"/>
  <c r="M93" i="314"/>
  <c r="L93" i="314"/>
  <c r="M92" i="314"/>
  <c r="L92" i="314"/>
  <c r="M89" i="314"/>
  <c r="L89" i="314"/>
  <c r="K89" i="314"/>
  <c r="J89" i="314"/>
  <c r="I89" i="314"/>
  <c r="H89" i="314"/>
  <c r="G89" i="314"/>
  <c r="E89" i="314"/>
  <c r="M88" i="314"/>
  <c r="L88" i="314"/>
  <c r="M87" i="314"/>
  <c r="L87" i="314"/>
  <c r="M86" i="314"/>
  <c r="L86" i="314"/>
  <c r="M85" i="314"/>
  <c r="L85" i="314"/>
  <c r="M84" i="314"/>
  <c r="L84" i="314"/>
  <c r="M83" i="314"/>
  <c r="L83" i="314"/>
  <c r="M82" i="314"/>
  <c r="L82" i="314"/>
  <c r="M81" i="314"/>
  <c r="L81" i="314"/>
  <c r="M80" i="314"/>
  <c r="L80" i="314"/>
  <c r="M79" i="314"/>
  <c r="L79" i="314"/>
  <c r="M78" i="314"/>
  <c r="L78" i="314"/>
  <c r="M77" i="314"/>
  <c r="L77" i="314"/>
  <c r="M74" i="314"/>
  <c r="L74" i="314"/>
  <c r="K74" i="314"/>
  <c r="J74" i="314"/>
  <c r="I74" i="314"/>
  <c r="H74" i="314"/>
  <c r="G74" i="314"/>
  <c r="F74" i="314"/>
  <c r="E74" i="314"/>
  <c r="M73" i="314"/>
  <c r="L73" i="314"/>
  <c r="M72" i="314"/>
  <c r="L72" i="314"/>
  <c r="M71" i="314"/>
  <c r="L71" i="314"/>
  <c r="M70" i="314"/>
  <c r="L70" i="314"/>
  <c r="M69" i="314"/>
  <c r="L69" i="314"/>
  <c r="M68" i="314"/>
  <c r="L68" i="314"/>
  <c r="M67" i="314"/>
  <c r="L67" i="314"/>
  <c r="M66" i="314"/>
  <c r="L66" i="314"/>
  <c r="M65" i="314"/>
  <c r="L65" i="314"/>
  <c r="M64" i="314"/>
  <c r="L64" i="314"/>
  <c r="M63" i="314"/>
  <c r="L63" i="314"/>
  <c r="M62" i="314"/>
  <c r="L62" i="314"/>
  <c r="M59" i="314"/>
  <c r="L59" i="314"/>
  <c r="K59" i="314"/>
  <c r="J59" i="314"/>
  <c r="I59" i="314"/>
  <c r="H59" i="314"/>
  <c r="G59" i="314"/>
  <c r="F59" i="314"/>
  <c r="E59" i="314"/>
  <c r="M58" i="314"/>
  <c r="M57" i="314"/>
  <c r="L57" i="314"/>
  <c r="M56" i="314"/>
  <c r="L56" i="314"/>
  <c r="M53" i="314"/>
  <c r="L53" i="314"/>
  <c r="K53" i="314"/>
  <c r="J53" i="314"/>
  <c r="I53" i="314"/>
  <c r="H53" i="314"/>
  <c r="G53" i="314"/>
  <c r="F53" i="314"/>
  <c r="E53" i="314"/>
  <c r="M52" i="314"/>
  <c r="L52" i="314"/>
  <c r="M49" i="314"/>
  <c r="L49" i="314"/>
  <c r="K49" i="314"/>
  <c r="J49" i="314"/>
  <c r="I49" i="314"/>
  <c r="H49" i="314"/>
  <c r="G49" i="314"/>
  <c r="F49" i="314"/>
  <c r="E49" i="314"/>
  <c r="M48" i="314"/>
  <c r="L48" i="314"/>
  <c r="M47" i="314"/>
  <c r="L47" i="314"/>
  <c r="M44" i="314"/>
  <c r="L44" i="314"/>
  <c r="K44" i="314"/>
  <c r="J44" i="314"/>
  <c r="I44" i="314"/>
  <c r="H44" i="314"/>
  <c r="F44" i="314"/>
  <c r="E44" i="314"/>
  <c r="M43" i="314"/>
  <c r="L43" i="314"/>
  <c r="M40" i="314"/>
  <c r="L40" i="314"/>
  <c r="K40" i="314"/>
  <c r="J40" i="314"/>
  <c r="I40" i="314"/>
  <c r="H40" i="314"/>
  <c r="G40" i="314"/>
  <c r="E40" i="314"/>
  <c r="M39" i="314"/>
  <c r="L39" i="314"/>
  <c r="M38" i="314"/>
  <c r="L38" i="314"/>
  <c r="M37" i="314"/>
  <c r="L37" i="314"/>
  <c r="M36" i="314"/>
  <c r="L36" i="314"/>
  <c r="M35" i="314"/>
  <c r="L35" i="314"/>
  <c r="M34" i="314"/>
  <c r="L34" i="314"/>
  <c r="M33" i="314"/>
  <c r="L33" i="314"/>
  <c r="M30" i="314"/>
  <c r="L30" i="314"/>
  <c r="K30" i="314"/>
  <c r="J30" i="314"/>
  <c r="I30" i="314"/>
  <c r="H30" i="314"/>
  <c r="G30" i="314"/>
  <c r="F30" i="314"/>
  <c r="E30" i="314"/>
  <c r="M29" i="314"/>
  <c r="L29" i="314"/>
  <c r="M26" i="314"/>
  <c r="L26" i="314"/>
  <c r="K26" i="314"/>
  <c r="J26" i="314"/>
  <c r="I26" i="314"/>
  <c r="H26" i="314"/>
  <c r="G26" i="314"/>
  <c r="E26" i="314"/>
  <c r="M25" i="314"/>
  <c r="L25" i="314"/>
  <c r="M24" i="314"/>
  <c r="L24" i="314"/>
  <c r="M23" i="314"/>
  <c r="L23" i="314"/>
  <c r="M22" i="314"/>
  <c r="L22" i="314"/>
  <c r="M19" i="314"/>
  <c r="L19" i="314"/>
  <c r="K19" i="314"/>
  <c r="J19" i="314"/>
  <c r="I19" i="314"/>
  <c r="H19" i="314"/>
  <c r="G19" i="314"/>
  <c r="F19" i="314"/>
  <c r="E19" i="314"/>
  <c r="M18" i="314"/>
  <c r="L18" i="314"/>
  <c r="M17" i="314"/>
  <c r="M16" i="314"/>
  <c r="L16" i="314"/>
  <c r="M15" i="314"/>
  <c r="L15" i="314"/>
  <c r="L18" i="313"/>
  <c r="K18" i="313"/>
  <c r="J18" i="313"/>
  <c r="I18" i="313"/>
  <c r="H18" i="313"/>
  <c r="G18" i="313"/>
  <c r="F18" i="313"/>
  <c r="E18" i="313"/>
  <c r="D18" i="313"/>
  <c r="L16" i="313"/>
  <c r="K16" i="313"/>
  <c r="J16" i="313"/>
  <c r="I16" i="313"/>
  <c r="H16" i="313"/>
  <c r="G16" i="313"/>
  <c r="F16" i="313"/>
  <c r="E16" i="313"/>
  <c r="D16" i="313"/>
  <c r="L15" i="313"/>
  <c r="K15" i="313"/>
  <c r="M22" i="312"/>
  <c r="L22" i="312"/>
  <c r="K22" i="312"/>
  <c r="J22" i="312"/>
  <c r="I22" i="312"/>
  <c r="H22" i="312"/>
  <c r="G22" i="312"/>
  <c r="E22" i="312"/>
  <c r="M16" i="312"/>
  <c r="L16" i="312"/>
  <c r="K16" i="312"/>
  <c r="J16" i="312"/>
  <c r="I16" i="312"/>
  <c r="H16" i="312"/>
  <c r="G16" i="312"/>
  <c r="F16" i="312"/>
  <c r="E16" i="312"/>
  <c r="M33" i="311"/>
  <c r="L33" i="311"/>
  <c r="J33" i="311"/>
  <c r="I33" i="311"/>
  <c r="H33" i="311"/>
  <c r="G33" i="311"/>
  <c r="E33" i="311"/>
  <c r="L24" i="311"/>
  <c r="M23" i="311"/>
  <c r="L23" i="311"/>
  <c r="M20" i="311"/>
  <c r="L20" i="311"/>
  <c r="K20" i="311"/>
  <c r="J20" i="311"/>
  <c r="I20" i="311"/>
  <c r="H20" i="311"/>
  <c r="G20" i="311"/>
  <c r="F20" i="311"/>
  <c r="E20" i="311"/>
  <c r="M19" i="311"/>
  <c r="L19" i="311"/>
  <c r="M16" i="311"/>
  <c r="L16" i="311"/>
  <c r="K16" i="311"/>
  <c r="J16" i="311"/>
  <c r="I16" i="311"/>
  <c r="H16" i="311"/>
  <c r="G16" i="311"/>
  <c r="F16" i="311"/>
  <c r="E16" i="311"/>
  <c r="M15" i="311"/>
  <c r="L15" i="311"/>
  <c r="M62" i="310"/>
  <c r="L62" i="310"/>
  <c r="J62" i="310"/>
  <c r="I62" i="310"/>
  <c r="H62" i="310"/>
  <c r="G62" i="310"/>
  <c r="E62" i="310"/>
  <c r="D62" i="310"/>
  <c r="M60" i="310"/>
  <c r="L60" i="310"/>
  <c r="J60" i="310"/>
  <c r="I60" i="310"/>
  <c r="H60" i="310"/>
  <c r="G60" i="310"/>
  <c r="E60" i="310"/>
  <c r="M59" i="310"/>
  <c r="L59" i="310"/>
  <c r="M56" i="310"/>
  <c r="L56" i="310"/>
  <c r="J56" i="310"/>
  <c r="I56" i="310"/>
  <c r="H56" i="310"/>
  <c r="G56" i="310"/>
  <c r="E56" i="310"/>
  <c r="M55" i="310"/>
  <c r="L55" i="310"/>
  <c r="M52" i="310"/>
  <c r="L52" i="310"/>
  <c r="J52" i="310"/>
  <c r="I52" i="310"/>
  <c r="H52" i="310"/>
  <c r="G52" i="310"/>
  <c r="E52" i="310"/>
  <c r="M51" i="310"/>
  <c r="L51" i="310"/>
  <c r="M50" i="310"/>
  <c r="L50" i="310"/>
  <c r="M47" i="310"/>
  <c r="L47" i="310"/>
  <c r="J47" i="310"/>
  <c r="I47" i="310"/>
  <c r="H47" i="310"/>
  <c r="G47" i="310"/>
  <c r="E47" i="310"/>
  <c r="M46" i="310"/>
  <c r="L46" i="310"/>
  <c r="M43" i="310"/>
  <c r="L43" i="310"/>
  <c r="J43" i="310"/>
  <c r="I43" i="310"/>
  <c r="H43" i="310"/>
  <c r="G43" i="310"/>
  <c r="E43" i="310"/>
  <c r="M42" i="310"/>
  <c r="L42" i="310"/>
  <c r="M39" i="310"/>
  <c r="L39" i="310"/>
  <c r="J39" i="310"/>
  <c r="I39" i="310"/>
  <c r="H39" i="310"/>
  <c r="G39" i="310"/>
  <c r="E39" i="310"/>
  <c r="M38" i="310"/>
  <c r="L38" i="310"/>
  <c r="M27" i="310"/>
  <c r="L27" i="310"/>
  <c r="J27" i="310"/>
  <c r="I27" i="310"/>
  <c r="H27" i="310"/>
  <c r="G27" i="310"/>
  <c r="E27" i="310"/>
  <c r="L26" i="310"/>
  <c r="M23" i="310"/>
  <c r="L23" i="310"/>
  <c r="J23" i="310"/>
  <c r="I23" i="310"/>
  <c r="H23" i="310"/>
  <c r="G23" i="310"/>
  <c r="E23" i="310"/>
  <c r="M22" i="310"/>
  <c r="L22" i="310"/>
  <c r="N34" i="309"/>
  <c r="M34" i="309"/>
  <c r="L34" i="309"/>
  <c r="K34" i="309"/>
  <c r="J34" i="309"/>
  <c r="I34" i="309"/>
  <c r="H34" i="309"/>
  <c r="G34" i="309"/>
  <c r="F34" i="309"/>
  <c r="N33" i="309"/>
  <c r="M33" i="309"/>
  <c r="L33" i="309"/>
  <c r="K33" i="309"/>
  <c r="J33" i="309"/>
  <c r="I33" i="309"/>
  <c r="H33" i="309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O136" i="308"/>
  <c r="N136" i="308"/>
  <c r="M136" i="308"/>
  <c r="L136" i="308"/>
  <c r="K136" i="308"/>
  <c r="J136" i="308"/>
  <c r="I136" i="308"/>
  <c r="G136" i="308"/>
  <c r="C136" i="308"/>
  <c r="O134" i="308"/>
  <c r="N134" i="308"/>
  <c r="M134" i="308"/>
  <c r="L134" i="308"/>
  <c r="K134" i="308"/>
  <c r="J134" i="308"/>
  <c r="I134" i="308"/>
  <c r="G134" i="308"/>
  <c r="O133" i="308"/>
  <c r="N133" i="308"/>
  <c r="O132" i="308"/>
  <c r="N132" i="308"/>
  <c r="O131" i="308"/>
  <c r="N131" i="308"/>
  <c r="O130" i="308"/>
  <c r="N130" i="308"/>
  <c r="O129" i="308"/>
  <c r="N129" i="308"/>
  <c r="O128" i="308"/>
  <c r="N128" i="308"/>
  <c r="O127" i="308"/>
  <c r="N127" i="308"/>
  <c r="O126" i="308"/>
  <c r="N126" i="308"/>
  <c r="O125" i="308"/>
  <c r="N125" i="308"/>
  <c r="O124" i="308"/>
  <c r="N124" i="308"/>
  <c r="O123" i="308"/>
  <c r="N123" i="308"/>
  <c r="O122" i="308"/>
  <c r="N122" i="308"/>
  <c r="O121" i="308"/>
  <c r="N121" i="308"/>
  <c r="O120" i="308"/>
  <c r="N120" i="308"/>
  <c r="O119" i="308"/>
  <c r="N119" i="308"/>
  <c r="O118" i="308"/>
  <c r="N118" i="308"/>
  <c r="O117" i="308"/>
  <c r="N117" i="308"/>
  <c r="O116" i="308"/>
  <c r="N116" i="308"/>
  <c r="O115" i="308"/>
  <c r="N115" i="308"/>
  <c r="O114" i="308"/>
  <c r="N114" i="308"/>
  <c r="O113" i="308"/>
  <c r="N113" i="308"/>
  <c r="O112" i="308"/>
  <c r="N112" i="308"/>
  <c r="O111" i="308"/>
  <c r="N111" i="308"/>
  <c r="O110" i="308"/>
  <c r="N110" i="308"/>
  <c r="O109" i="308"/>
  <c r="N109" i="308"/>
  <c r="O108" i="308"/>
  <c r="N108" i="308"/>
  <c r="O107" i="308"/>
  <c r="N107" i="308"/>
  <c r="O106" i="308"/>
  <c r="N106" i="308"/>
  <c r="O105" i="308"/>
  <c r="N105" i="308"/>
  <c r="O104" i="308"/>
  <c r="N104" i="308"/>
  <c r="O103" i="308"/>
  <c r="N103" i="308"/>
  <c r="O102" i="308"/>
  <c r="N102" i="308"/>
  <c r="O101" i="308"/>
  <c r="N101" i="308"/>
  <c r="O100" i="308"/>
  <c r="N100" i="308"/>
  <c r="O97" i="308"/>
  <c r="N97" i="308"/>
  <c r="M97" i="308"/>
  <c r="L97" i="308"/>
  <c r="K97" i="308"/>
  <c r="J97" i="308"/>
  <c r="I97" i="308"/>
  <c r="G97" i="308"/>
  <c r="O96" i="308"/>
  <c r="N96" i="308"/>
  <c r="O95" i="308"/>
  <c r="O92" i="308"/>
  <c r="N92" i="308"/>
  <c r="M92" i="308"/>
  <c r="L92" i="308"/>
  <c r="K92" i="308"/>
  <c r="J92" i="308"/>
  <c r="I92" i="308"/>
  <c r="H92" i="308"/>
  <c r="G92" i="308"/>
  <c r="O91" i="308"/>
  <c r="N91" i="308"/>
  <c r="O90" i="308"/>
  <c r="N90" i="308"/>
  <c r="O89" i="308"/>
  <c r="N89" i="308"/>
  <c r="O88" i="308"/>
  <c r="N88" i="308"/>
  <c r="O87" i="308"/>
  <c r="N87" i="308"/>
  <c r="O86" i="308"/>
  <c r="N86" i="308"/>
  <c r="O79" i="308"/>
  <c r="N79" i="308"/>
  <c r="M79" i="308"/>
  <c r="L79" i="308"/>
  <c r="K79" i="308"/>
  <c r="J79" i="308"/>
  <c r="I79" i="308"/>
  <c r="H79" i="308"/>
  <c r="G79" i="308"/>
  <c r="O78" i="308"/>
  <c r="N78" i="308"/>
  <c r="O77" i="308"/>
  <c r="N77" i="308"/>
  <c r="O74" i="308"/>
  <c r="N74" i="308"/>
  <c r="M74" i="308"/>
  <c r="L74" i="308"/>
  <c r="K74" i="308"/>
  <c r="J74" i="308"/>
  <c r="I74" i="308"/>
  <c r="H74" i="308"/>
  <c r="G74" i="308"/>
  <c r="O73" i="308"/>
  <c r="N73" i="308"/>
  <c r="O70" i="308"/>
  <c r="N70" i="308"/>
  <c r="M70" i="308"/>
  <c r="L70" i="308"/>
  <c r="K70" i="308"/>
  <c r="J70" i="308"/>
  <c r="I70" i="308"/>
  <c r="G70" i="308"/>
  <c r="O69" i="308"/>
  <c r="N69" i="308"/>
  <c r="O68" i="308"/>
  <c r="N68" i="308"/>
  <c r="O67" i="308"/>
  <c r="N67" i="308"/>
  <c r="O66" i="308"/>
  <c r="O63" i="308"/>
  <c r="N63" i="308"/>
  <c r="M63" i="308"/>
  <c r="L63" i="308"/>
  <c r="K63" i="308"/>
  <c r="J63" i="308"/>
  <c r="I63" i="308"/>
  <c r="G63" i="308"/>
  <c r="O61" i="308"/>
  <c r="N61" i="308"/>
  <c r="O60" i="308"/>
  <c r="N60" i="308"/>
  <c r="O59" i="308"/>
  <c r="N59" i="308"/>
  <c r="O58" i="308"/>
  <c r="N58" i="308"/>
  <c r="O57" i="308"/>
  <c r="N57" i="308"/>
  <c r="O56" i="308"/>
  <c r="N56" i="308"/>
  <c r="O55" i="308"/>
  <c r="N55" i="308"/>
  <c r="O52" i="308"/>
  <c r="N52" i="308"/>
  <c r="M52" i="308"/>
  <c r="L52" i="308"/>
  <c r="K52" i="308"/>
  <c r="J52" i="308"/>
  <c r="I52" i="308"/>
  <c r="H52" i="308"/>
  <c r="G52" i="308"/>
  <c r="O51" i="308"/>
  <c r="O50" i="308"/>
  <c r="N50" i="308"/>
  <c r="O47" i="308"/>
  <c r="N47" i="308"/>
  <c r="M47" i="308"/>
  <c r="L47" i="308"/>
  <c r="K47" i="308"/>
  <c r="J47" i="308"/>
  <c r="I47" i="308"/>
  <c r="H47" i="308"/>
  <c r="G47" i="308"/>
  <c r="O46" i="308"/>
  <c r="N46" i="308"/>
  <c r="O43" i="308"/>
  <c r="N43" i="308"/>
  <c r="M43" i="308"/>
  <c r="L43" i="308"/>
  <c r="K43" i="308"/>
  <c r="J43" i="308"/>
  <c r="I43" i="308"/>
  <c r="H43" i="308"/>
  <c r="G43" i="308"/>
  <c r="O42" i="308"/>
  <c r="N42" i="308"/>
  <c r="O41" i="308"/>
  <c r="N41" i="308"/>
  <c r="O30" i="308"/>
  <c r="N30" i="308"/>
  <c r="M30" i="308"/>
  <c r="L30" i="308"/>
  <c r="K30" i="308"/>
  <c r="J30" i="308"/>
  <c r="I30" i="308"/>
  <c r="H30" i="308"/>
  <c r="G30" i="308"/>
  <c r="O29" i="308"/>
  <c r="N29" i="308"/>
  <c r="O28" i="308"/>
  <c r="N28" i="308"/>
  <c r="O25" i="308"/>
  <c r="N25" i="308"/>
  <c r="M25" i="308"/>
  <c r="L25" i="308"/>
  <c r="K25" i="308"/>
  <c r="J25" i="308"/>
  <c r="I25" i="308"/>
  <c r="G25" i="308"/>
  <c r="O24" i="308"/>
  <c r="N24" i="308"/>
  <c r="O20" i="308"/>
  <c r="N20" i="308"/>
  <c r="M20" i="308"/>
  <c r="L20" i="308"/>
  <c r="K20" i="308"/>
  <c r="J20" i="308"/>
  <c r="I20" i="308"/>
  <c r="H20" i="308"/>
  <c r="G20" i="308"/>
  <c r="O19" i="308"/>
  <c r="N19" i="308"/>
  <c r="O16" i="308"/>
  <c r="N16" i="308"/>
  <c r="M16" i="308"/>
  <c r="L16" i="308"/>
  <c r="K16" i="308"/>
  <c r="J16" i="308"/>
  <c r="I16" i="308"/>
  <c r="G16" i="308"/>
  <c r="O15" i="308"/>
  <c r="N15" i="308"/>
  <c r="O14" i="308"/>
  <c r="J226" i="307"/>
  <c r="I226" i="307"/>
  <c r="H226" i="307"/>
  <c r="G226" i="307"/>
  <c r="E226" i="307"/>
  <c r="C226" i="307"/>
  <c r="M224" i="307"/>
  <c r="L224" i="307"/>
  <c r="K224" i="307"/>
  <c r="J224" i="307"/>
  <c r="I224" i="307"/>
  <c r="H224" i="307"/>
  <c r="G224" i="307"/>
  <c r="E224" i="307"/>
  <c r="M223" i="307"/>
  <c r="M222" i="307"/>
  <c r="M221" i="307"/>
  <c r="M220" i="307"/>
  <c r="M219" i="307"/>
  <c r="L219" i="307"/>
  <c r="M218" i="307"/>
  <c r="L218" i="307"/>
  <c r="M217" i="307"/>
  <c r="L217" i="307"/>
  <c r="M216" i="307"/>
  <c r="L216" i="307"/>
  <c r="M215" i="307"/>
  <c r="L215" i="307"/>
  <c r="M214" i="307"/>
  <c r="L214" i="307"/>
  <c r="M213" i="307"/>
  <c r="L213" i="307"/>
  <c r="M212" i="307"/>
  <c r="L212" i="307"/>
  <c r="M211" i="307"/>
  <c r="L211" i="307"/>
  <c r="M210" i="307"/>
  <c r="L210" i="307"/>
  <c r="M209" i="307"/>
  <c r="L209" i="307"/>
  <c r="M208" i="307"/>
  <c r="L208" i="307"/>
  <c r="M207" i="307"/>
  <c r="L207" i="307"/>
  <c r="M202" i="307"/>
  <c r="L202" i="307"/>
  <c r="M201" i="307"/>
  <c r="L201" i="307"/>
  <c r="M200" i="307"/>
  <c r="M199" i="307"/>
  <c r="L199" i="307"/>
  <c r="M198" i="307"/>
  <c r="L198" i="307"/>
  <c r="M197" i="307"/>
  <c r="L197" i="307"/>
  <c r="M196" i="307"/>
  <c r="L196" i="307"/>
  <c r="M195" i="307"/>
  <c r="L195" i="307"/>
  <c r="M194" i="307"/>
  <c r="L194" i="307"/>
  <c r="M193" i="307"/>
  <c r="L193" i="307"/>
  <c r="M192" i="307"/>
  <c r="M191" i="307"/>
  <c r="L191" i="307"/>
  <c r="M190" i="307"/>
  <c r="L190" i="307"/>
  <c r="M189" i="307"/>
  <c r="L189" i="307"/>
  <c r="M188" i="307"/>
  <c r="L188" i="307"/>
  <c r="M187" i="307"/>
  <c r="L187" i="307"/>
  <c r="M184" i="307"/>
  <c r="L184" i="307"/>
  <c r="K184" i="307"/>
  <c r="J184" i="307"/>
  <c r="I184" i="307"/>
  <c r="H184" i="307"/>
  <c r="G184" i="307"/>
  <c r="E184" i="307"/>
  <c r="M183" i="307"/>
  <c r="L183" i="307"/>
  <c r="M182" i="307"/>
  <c r="L182" i="307"/>
  <c r="M181" i="307"/>
  <c r="L181" i="307"/>
  <c r="M180" i="307"/>
  <c r="L180" i="307"/>
  <c r="M177" i="307"/>
  <c r="L177" i="307"/>
  <c r="K177" i="307"/>
  <c r="J177" i="307"/>
  <c r="I177" i="307"/>
  <c r="H177" i="307"/>
  <c r="G177" i="307"/>
  <c r="E177" i="307"/>
  <c r="M176" i="307"/>
  <c r="L176" i="307"/>
  <c r="M175" i="307"/>
  <c r="L175" i="307"/>
  <c r="M174" i="307"/>
  <c r="L174" i="307"/>
  <c r="M173" i="307"/>
  <c r="L173" i="307"/>
  <c r="M172" i="307"/>
  <c r="L172" i="307"/>
  <c r="M171" i="307"/>
  <c r="L171" i="307"/>
  <c r="M168" i="307"/>
  <c r="L168" i="307"/>
  <c r="K168" i="307"/>
  <c r="J168" i="307"/>
  <c r="I168" i="307"/>
  <c r="H168" i="307"/>
  <c r="G168" i="307"/>
  <c r="F168" i="307"/>
  <c r="E168" i="307"/>
  <c r="M167" i="307"/>
  <c r="L167" i="307"/>
  <c r="M166" i="307"/>
  <c r="L166" i="307"/>
  <c r="M163" i="307"/>
  <c r="L163" i="307"/>
  <c r="K163" i="307"/>
  <c r="J163" i="307"/>
  <c r="I163" i="307"/>
  <c r="H163" i="307"/>
  <c r="G163" i="307"/>
  <c r="E163" i="307"/>
  <c r="M162" i="307"/>
  <c r="L162" i="307"/>
  <c r="M161" i="307"/>
  <c r="L161" i="307"/>
  <c r="M158" i="307"/>
  <c r="L158" i="307"/>
  <c r="K158" i="307"/>
  <c r="J158" i="307"/>
  <c r="I158" i="307"/>
  <c r="H158" i="307"/>
  <c r="G158" i="307"/>
  <c r="F158" i="307"/>
  <c r="E158" i="307"/>
  <c r="M157" i="307"/>
  <c r="L157" i="307"/>
  <c r="M156" i="307"/>
  <c r="L156" i="307"/>
  <c r="M155" i="307"/>
  <c r="L155" i="307"/>
  <c r="M154" i="307"/>
  <c r="L154" i="307"/>
  <c r="L151" i="307"/>
  <c r="K151" i="307"/>
  <c r="J151" i="307"/>
  <c r="I151" i="307"/>
  <c r="H151" i="307"/>
  <c r="G151" i="307"/>
  <c r="F151" i="307"/>
  <c r="E151" i="307"/>
  <c r="M150" i="307"/>
  <c r="L150" i="307"/>
  <c r="M147" i="307"/>
  <c r="L147" i="307"/>
  <c r="K147" i="307"/>
  <c r="J147" i="307"/>
  <c r="I147" i="307"/>
  <c r="H147" i="307"/>
  <c r="G147" i="307"/>
  <c r="E147" i="307"/>
  <c r="M146" i="307"/>
  <c r="M145" i="307"/>
  <c r="L145" i="307"/>
  <c r="M142" i="307"/>
  <c r="L142" i="307"/>
  <c r="K142" i="307"/>
  <c r="J142" i="307"/>
  <c r="I142" i="307"/>
  <c r="H142" i="307"/>
  <c r="G142" i="307"/>
  <c r="F142" i="307"/>
  <c r="E142" i="307"/>
  <c r="M141" i="307"/>
  <c r="L141" i="307"/>
  <c r="M140" i="307"/>
  <c r="L140" i="307"/>
  <c r="M139" i="307"/>
  <c r="L139" i="307"/>
  <c r="M136" i="307"/>
  <c r="L136" i="307"/>
  <c r="K136" i="307"/>
  <c r="J136" i="307"/>
  <c r="I136" i="307"/>
  <c r="H136" i="307"/>
  <c r="G136" i="307"/>
  <c r="F136" i="307"/>
  <c r="E136" i="307"/>
  <c r="M135" i="307"/>
  <c r="L135" i="307"/>
  <c r="M134" i="307"/>
  <c r="L134" i="307"/>
  <c r="M133" i="307"/>
  <c r="M132" i="307"/>
  <c r="L132" i="307"/>
  <c r="M129" i="307"/>
  <c r="L129" i="307"/>
  <c r="K129" i="307"/>
  <c r="J129" i="307"/>
  <c r="I129" i="307"/>
  <c r="H129" i="307"/>
  <c r="G129" i="307"/>
  <c r="F129" i="307"/>
  <c r="E129" i="307"/>
  <c r="M128" i="307"/>
  <c r="L128" i="307"/>
  <c r="M127" i="307"/>
  <c r="L127" i="307"/>
  <c r="M126" i="307"/>
  <c r="L126" i="307"/>
  <c r="M123" i="307"/>
  <c r="L123" i="307"/>
  <c r="K123" i="307"/>
  <c r="J123" i="307"/>
  <c r="I123" i="307"/>
  <c r="H123" i="307"/>
  <c r="G123" i="307"/>
  <c r="F123" i="307"/>
  <c r="E123" i="307"/>
  <c r="M122" i="307"/>
  <c r="L122" i="307"/>
  <c r="M121" i="307"/>
  <c r="M120" i="307"/>
  <c r="L120" i="307"/>
  <c r="M119" i="307"/>
  <c r="L119" i="307"/>
  <c r="M118" i="307"/>
  <c r="L118" i="307"/>
  <c r="M117" i="307"/>
  <c r="L117" i="307"/>
  <c r="M116" i="307"/>
  <c r="L116" i="307"/>
  <c r="M113" i="307"/>
  <c r="L113" i="307"/>
  <c r="K113" i="307"/>
  <c r="J113" i="307"/>
  <c r="I113" i="307"/>
  <c r="H113" i="307"/>
  <c r="G113" i="307"/>
  <c r="E113" i="307"/>
  <c r="M112" i="307"/>
  <c r="L112" i="307"/>
  <c r="M109" i="307"/>
  <c r="L109" i="307"/>
  <c r="K109" i="307"/>
  <c r="J109" i="307"/>
  <c r="I109" i="307"/>
  <c r="H109" i="307"/>
  <c r="G109" i="307"/>
  <c r="E109" i="307"/>
  <c r="M108" i="307"/>
  <c r="L108" i="307"/>
  <c r="M107" i="307"/>
  <c r="M104" i="307"/>
  <c r="L104" i="307"/>
  <c r="K104" i="307"/>
  <c r="J104" i="307"/>
  <c r="H104" i="307"/>
  <c r="G104" i="307"/>
  <c r="E104" i="307"/>
  <c r="M103" i="307"/>
  <c r="L103" i="307"/>
  <c r="M100" i="307"/>
  <c r="L100" i="307"/>
  <c r="K100" i="307"/>
  <c r="J100" i="307"/>
  <c r="I100" i="307"/>
  <c r="H100" i="307"/>
  <c r="G100" i="307"/>
  <c r="E100" i="307"/>
  <c r="M99" i="307"/>
  <c r="M98" i="307"/>
  <c r="L98" i="307"/>
  <c r="M97" i="307"/>
  <c r="L97" i="307"/>
  <c r="M94" i="307"/>
  <c r="L94" i="307"/>
  <c r="K94" i="307"/>
  <c r="J94" i="307"/>
  <c r="I94" i="307"/>
  <c r="H94" i="307"/>
  <c r="G94" i="307"/>
  <c r="F94" i="307"/>
  <c r="E94" i="307"/>
  <c r="M93" i="307"/>
  <c r="L93" i="307"/>
  <c r="M92" i="307"/>
  <c r="L92" i="307"/>
  <c r="M89" i="307"/>
  <c r="L89" i="307"/>
  <c r="K89" i="307"/>
  <c r="J89" i="307"/>
  <c r="I89" i="307"/>
  <c r="H89" i="307"/>
  <c r="G89" i="307"/>
  <c r="E89" i="307"/>
  <c r="M88" i="307"/>
  <c r="L88" i="307"/>
  <c r="M87" i="307"/>
  <c r="L87" i="307"/>
  <c r="M86" i="307"/>
  <c r="L86" i="307"/>
  <c r="M85" i="307"/>
  <c r="L85" i="307"/>
  <c r="M84" i="307"/>
  <c r="L84" i="307"/>
  <c r="M83" i="307"/>
  <c r="L83" i="307"/>
  <c r="M82" i="307"/>
  <c r="L82" i="307"/>
  <c r="M81" i="307"/>
  <c r="L81" i="307"/>
  <c r="M80" i="307"/>
  <c r="L80" i="307"/>
  <c r="M79" i="307"/>
  <c r="L79" i="307"/>
  <c r="M78" i="307"/>
  <c r="L78" i="307"/>
  <c r="M77" i="307"/>
  <c r="L77" i="307"/>
  <c r="M74" i="307"/>
  <c r="L74" i="307"/>
  <c r="K74" i="307"/>
  <c r="J74" i="307"/>
  <c r="I74" i="307"/>
  <c r="H74" i="307"/>
  <c r="G74" i="307"/>
  <c r="F74" i="307"/>
  <c r="E74" i="307"/>
  <c r="M73" i="307"/>
  <c r="L73" i="307"/>
  <c r="M72" i="307"/>
  <c r="L72" i="307"/>
  <c r="M71" i="307"/>
  <c r="L71" i="307"/>
  <c r="M70" i="307"/>
  <c r="L70" i="307"/>
  <c r="M69" i="307"/>
  <c r="L69" i="307"/>
  <c r="M68" i="307"/>
  <c r="L68" i="307"/>
  <c r="M67" i="307"/>
  <c r="L67" i="307"/>
  <c r="M66" i="307"/>
  <c r="L66" i="307"/>
  <c r="M65" i="307"/>
  <c r="L65" i="307"/>
  <c r="M64" i="307"/>
  <c r="L64" i="307"/>
  <c r="M63" i="307"/>
  <c r="L63" i="307"/>
  <c r="M62" i="307"/>
  <c r="L62" i="307"/>
  <c r="M59" i="307"/>
  <c r="L59" i="307"/>
  <c r="K59" i="307"/>
  <c r="J59" i="307"/>
  <c r="I59" i="307"/>
  <c r="H59" i="307"/>
  <c r="G59" i="307"/>
  <c r="F59" i="307"/>
  <c r="E59" i="307"/>
  <c r="M58" i="307"/>
  <c r="M57" i="307"/>
  <c r="L57" i="307"/>
  <c r="M56" i="307"/>
  <c r="L56" i="307"/>
  <c r="M53" i="307"/>
  <c r="L53" i="307"/>
  <c r="K53" i="307"/>
  <c r="J53" i="307"/>
  <c r="I53" i="307"/>
  <c r="H53" i="307"/>
  <c r="G53" i="307"/>
  <c r="F53" i="307"/>
  <c r="E53" i="307"/>
  <c r="M52" i="307"/>
  <c r="L52" i="307"/>
  <c r="M49" i="307"/>
  <c r="L49" i="307"/>
  <c r="K49" i="307"/>
  <c r="J49" i="307"/>
  <c r="I49" i="307"/>
  <c r="H49" i="307"/>
  <c r="G49" i="307"/>
  <c r="F49" i="307"/>
  <c r="E49" i="307"/>
  <c r="M48" i="307"/>
  <c r="L48" i="307"/>
  <c r="M47" i="307"/>
  <c r="L47" i="307"/>
  <c r="M44" i="307"/>
  <c r="L44" i="307"/>
  <c r="K44" i="307"/>
  <c r="J44" i="307"/>
  <c r="I44" i="307"/>
  <c r="H44" i="307"/>
  <c r="F44" i="307"/>
  <c r="E44" i="307"/>
  <c r="M43" i="307"/>
  <c r="L43" i="307"/>
  <c r="M40" i="307"/>
  <c r="L40" i="307"/>
  <c r="K40" i="307"/>
  <c r="J40" i="307"/>
  <c r="I40" i="307"/>
  <c r="H40" i="307"/>
  <c r="G40" i="307"/>
  <c r="E40" i="307"/>
  <c r="M39" i="307"/>
  <c r="L39" i="307"/>
  <c r="M38" i="307"/>
  <c r="L38" i="307"/>
  <c r="M37" i="307"/>
  <c r="L37" i="307"/>
  <c r="M36" i="307"/>
  <c r="L36" i="307"/>
  <c r="M35" i="307"/>
  <c r="L35" i="307"/>
  <c r="M34" i="307"/>
  <c r="L34" i="307"/>
  <c r="M33" i="307"/>
  <c r="L33" i="307"/>
  <c r="M30" i="307"/>
  <c r="L30" i="307"/>
  <c r="K30" i="307"/>
  <c r="J30" i="307"/>
  <c r="I30" i="307"/>
  <c r="H30" i="307"/>
  <c r="G30" i="307"/>
  <c r="F30" i="307"/>
  <c r="E30" i="307"/>
  <c r="M29" i="307"/>
  <c r="L29" i="307"/>
  <c r="M26" i="307"/>
  <c r="L26" i="307"/>
  <c r="K26" i="307"/>
  <c r="J26" i="307"/>
  <c r="I26" i="307"/>
  <c r="H26" i="307"/>
  <c r="G26" i="307"/>
  <c r="E26" i="307"/>
  <c r="M25" i="307"/>
  <c r="L25" i="307"/>
  <c r="M24" i="307"/>
  <c r="L24" i="307"/>
  <c r="M23" i="307"/>
  <c r="L23" i="307"/>
  <c r="M22" i="307"/>
  <c r="L22" i="307"/>
  <c r="M19" i="307"/>
  <c r="L19" i="307"/>
  <c r="K19" i="307"/>
  <c r="J19" i="307"/>
  <c r="I19" i="307"/>
  <c r="H19" i="307"/>
  <c r="G19" i="307"/>
  <c r="F19" i="307"/>
  <c r="E19" i="307"/>
  <c r="M18" i="307"/>
  <c r="L18" i="307"/>
  <c r="M17" i="307"/>
  <c r="M16" i="307"/>
  <c r="L16" i="307"/>
  <c r="M15" i="307"/>
  <c r="L15" i="307"/>
  <c r="M18" i="306"/>
  <c r="L18" i="306"/>
  <c r="K18" i="306"/>
  <c r="J18" i="306"/>
  <c r="I18" i="306"/>
  <c r="H18" i="306"/>
  <c r="G18" i="306"/>
  <c r="F18" i="306"/>
  <c r="E18" i="306"/>
  <c r="M16" i="306"/>
  <c r="L16" i="306"/>
  <c r="K16" i="306"/>
  <c r="J16" i="306"/>
  <c r="I16" i="306"/>
  <c r="H16" i="306"/>
  <c r="G16" i="306"/>
  <c r="F16" i="306"/>
  <c r="E16" i="306"/>
  <c r="M15" i="306"/>
  <c r="L15" i="306"/>
  <c r="M22" i="305"/>
  <c r="L22" i="305"/>
  <c r="K22" i="305"/>
  <c r="J22" i="305"/>
  <c r="I22" i="305"/>
  <c r="H22" i="305"/>
  <c r="G22" i="305"/>
  <c r="E22" i="305"/>
  <c r="M16" i="305"/>
  <c r="L16" i="305"/>
  <c r="K16" i="305"/>
  <c r="J16" i="305"/>
  <c r="I16" i="305"/>
  <c r="H16" i="305"/>
  <c r="G16" i="305"/>
  <c r="F16" i="305"/>
  <c r="E16" i="305"/>
  <c r="M29" i="304"/>
  <c r="L29" i="304"/>
  <c r="J29" i="304"/>
  <c r="I29" i="304"/>
  <c r="H29" i="304"/>
  <c r="G29" i="304"/>
  <c r="E29" i="304"/>
  <c r="L23" i="304"/>
  <c r="M22" i="304"/>
  <c r="L22" i="304"/>
  <c r="M19" i="304"/>
  <c r="L19" i="304"/>
  <c r="K19" i="304"/>
  <c r="J19" i="304"/>
  <c r="I19" i="304"/>
  <c r="H19" i="304"/>
  <c r="G19" i="304"/>
  <c r="F19" i="304"/>
  <c r="E19" i="304"/>
  <c r="M18" i="304"/>
  <c r="L18" i="304"/>
  <c r="M15" i="304"/>
  <c r="L15" i="304"/>
  <c r="K15" i="304"/>
  <c r="J15" i="304"/>
  <c r="I15" i="304"/>
  <c r="H15" i="304"/>
  <c r="G15" i="304"/>
  <c r="F15" i="304"/>
  <c r="E15" i="304"/>
  <c r="M14" i="304"/>
  <c r="L14" i="304"/>
  <c r="M62" i="303"/>
  <c r="L62" i="303"/>
  <c r="J62" i="303"/>
  <c r="I62" i="303"/>
  <c r="H62" i="303"/>
  <c r="G62" i="303"/>
  <c r="E62" i="303"/>
  <c r="D62" i="303"/>
  <c r="M60" i="303"/>
  <c r="L60" i="303"/>
  <c r="J60" i="303"/>
  <c r="I60" i="303"/>
  <c r="H60" i="303"/>
  <c r="G60" i="303"/>
  <c r="E60" i="303"/>
  <c r="M59" i="303"/>
  <c r="L59" i="303"/>
  <c r="M56" i="303"/>
  <c r="L56" i="303"/>
  <c r="J56" i="303"/>
  <c r="I56" i="303"/>
  <c r="H56" i="303"/>
  <c r="G56" i="303"/>
  <c r="E56" i="303"/>
  <c r="M55" i="303"/>
  <c r="L55" i="303"/>
  <c r="M52" i="303"/>
  <c r="L52" i="303"/>
  <c r="J52" i="303"/>
  <c r="I52" i="303"/>
  <c r="H52" i="303"/>
  <c r="G52" i="303"/>
  <c r="E52" i="303"/>
  <c r="M51" i="303"/>
  <c r="L51" i="303"/>
  <c r="M50" i="303"/>
  <c r="L50" i="303"/>
  <c r="M47" i="303"/>
  <c r="L47" i="303"/>
  <c r="J47" i="303"/>
  <c r="I47" i="303"/>
  <c r="H47" i="303"/>
  <c r="G47" i="303"/>
  <c r="E47" i="303"/>
  <c r="M46" i="303"/>
  <c r="L46" i="303"/>
  <c r="M43" i="303"/>
  <c r="L43" i="303"/>
  <c r="J43" i="303"/>
  <c r="I43" i="303"/>
  <c r="H43" i="303"/>
  <c r="G43" i="303"/>
  <c r="E43" i="303"/>
  <c r="M42" i="303"/>
  <c r="L42" i="303"/>
  <c r="M39" i="303"/>
  <c r="L39" i="303"/>
  <c r="J39" i="303"/>
  <c r="I39" i="303"/>
  <c r="H39" i="303"/>
  <c r="G39" i="303"/>
  <c r="E39" i="303"/>
  <c r="M38" i="303"/>
  <c r="L38" i="303"/>
  <c r="M27" i="303"/>
  <c r="L27" i="303"/>
  <c r="J27" i="303"/>
  <c r="I27" i="303"/>
  <c r="H27" i="303"/>
  <c r="G27" i="303"/>
  <c r="E27" i="303"/>
  <c r="L26" i="303"/>
  <c r="M23" i="303"/>
  <c r="L23" i="303"/>
  <c r="J23" i="303"/>
  <c r="I23" i="303"/>
  <c r="H23" i="303"/>
  <c r="G23" i="303"/>
  <c r="E23" i="303"/>
  <c r="M22" i="303"/>
  <c r="L22" i="303"/>
  <c r="N34" i="302"/>
  <c r="M34" i="302"/>
  <c r="L34" i="302"/>
  <c r="K34" i="302"/>
  <c r="J34" i="302"/>
  <c r="I34" i="302"/>
  <c r="H34" i="302"/>
  <c r="G34" i="302"/>
  <c r="F34" i="302"/>
  <c r="N33" i="302"/>
  <c r="M33" i="302"/>
  <c r="L33" i="302"/>
  <c r="K33" i="302"/>
  <c r="J33" i="302"/>
  <c r="I33" i="302"/>
  <c r="H33" i="302"/>
  <c r="F33" i="302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O136" i="301"/>
  <c r="N136" i="301"/>
  <c r="M136" i="301"/>
  <c r="L136" i="301"/>
  <c r="K136" i="301"/>
  <c r="J136" i="301"/>
  <c r="I136" i="301"/>
  <c r="G136" i="301"/>
  <c r="C136" i="301"/>
  <c r="O134" i="301"/>
  <c r="N134" i="301"/>
  <c r="M134" i="301"/>
  <c r="L134" i="301"/>
  <c r="K134" i="301"/>
  <c r="J134" i="301"/>
  <c r="I134" i="301"/>
  <c r="G134" i="301"/>
  <c r="O133" i="301"/>
  <c r="N133" i="301"/>
  <c r="O132" i="301"/>
  <c r="N132" i="301"/>
  <c r="O131" i="301"/>
  <c r="N131" i="301"/>
  <c r="O130" i="301"/>
  <c r="N130" i="301"/>
  <c r="O129" i="301"/>
  <c r="N129" i="301"/>
  <c r="O128" i="301"/>
  <c r="N128" i="301"/>
  <c r="O126" i="301"/>
  <c r="N126" i="301"/>
  <c r="O125" i="301"/>
  <c r="N125" i="301"/>
  <c r="O124" i="301"/>
  <c r="N124" i="301"/>
  <c r="O123" i="301"/>
  <c r="N123" i="301"/>
  <c r="O122" i="301"/>
  <c r="N122" i="301"/>
  <c r="O121" i="301"/>
  <c r="N121" i="301"/>
  <c r="O120" i="301"/>
  <c r="N120" i="301"/>
  <c r="O119" i="301"/>
  <c r="N119" i="301"/>
  <c r="O118" i="301"/>
  <c r="N118" i="301"/>
  <c r="O117" i="301"/>
  <c r="N117" i="301"/>
  <c r="O116" i="301"/>
  <c r="N116" i="301"/>
  <c r="O115" i="301"/>
  <c r="N115" i="301"/>
  <c r="O114" i="301"/>
  <c r="N114" i="301"/>
  <c r="O113" i="301"/>
  <c r="N113" i="301"/>
  <c r="O112" i="301"/>
  <c r="N112" i="301"/>
  <c r="O111" i="301"/>
  <c r="N111" i="301"/>
  <c r="O110" i="301"/>
  <c r="N110" i="301"/>
  <c r="O109" i="301"/>
  <c r="N109" i="301"/>
  <c r="O108" i="301"/>
  <c r="N108" i="301"/>
  <c r="O107" i="301"/>
  <c r="N107" i="301"/>
  <c r="O106" i="301"/>
  <c r="N106" i="301"/>
  <c r="O105" i="301"/>
  <c r="N105" i="301"/>
  <c r="O104" i="301"/>
  <c r="N104" i="301"/>
  <c r="O103" i="301"/>
  <c r="N103" i="301"/>
  <c r="O102" i="301"/>
  <c r="N102" i="301"/>
  <c r="O101" i="301"/>
  <c r="N101" i="301"/>
  <c r="O100" i="301"/>
  <c r="N100" i="301"/>
  <c r="O97" i="301"/>
  <c r="N97" i="301"/>
  <c r="M97" i="301"/>
  <c r="L97" i="301"/>
  <c r="K97" i="301"/>
  <c r="J97" i="301"/>
  <c r="I97" i="301"/>
  <c r="G97" i="301"/>
  <c r="O96" i="301"/>
  <c r="N96" i="301"/>
  <c r="O95" i="301"/>
  <c r="O92" i="301"/>
  <c r="N92" i="301"/>
  <c r="M92" i="301"/>
  <c r="L92" i="301"/>
  <c r="K92" i="301"/>
  <c r="J92" i="301"/>
  <c r="I92" i="301"/>
  <c r="H92" i="301"/>
  <c r="G92" i="301"/>
  <c r="O91" i="301"/>
  <c r="N91" i="301"/>
  <c r="O90" i="301"/>
  <c r="N90" i="301"/>
  <c r="O89" i="301"/>
  <c r="N89" i="301"/>
  <c r="O88" i="301"/>
  <c r="N88" i="301"/>
  <c r="O87" i="301"/>
  <c r="N87" i="301"/>
  <c r="O86" i="301"/>
  <c r="N86" i="301"/>
  <c r="O79" i="301"/>
  <c r="N79" i="301"/>
  <c r="M79" i="301"/>
  <c r="L79" i="301"/>
  <c r="K79" i="301"/>
  <c r="J79" i="301"/>
  <c r="I79" i="301"/>
  <c r="H79" i="301"/>
  <c r="G79" i="301"/>
  <c r="O78" i="301"/>
  <c r="N78" i="301"/>
  <c r="O77" i="301"/>
  <c r="N77" i="301"/>
  <c r="O74" i="301"/>
  <c r="N74" i="301"/>
  <c r="M74" i="301"/>
  <c r="L74" i="301"/>
  <c r="K74" i="301"/>
  <c r="J74" i="301"/>
  <c r="I74" i="301"/>
  <c r="H74" i="301"/>
  <c r="G74" i="301"/>
  <c r="O73" i="301"/>
  <c r="N73" i="301"/>
  <c r="O70" i="301"/>
  <c r="N70" i="301"/>
  <c r="M70" i="301"/>
  <c r="L70" i="301"/>
  <c r="K70" i="301"/>
  <c r="J70" i="301"/>
  <c r="I70" i="301"/>
  <c r="G70" i="301"/>
  <c r="O69" i="301"/>
  <c r="N69" i="301"/>
  <c r="O68" i="301"/>
  <c r="N68" i="301"/>
  <c r="O67" i="301"/>
  <c r="N67" i="301"/>
  <c r="O66" i="301"/>
  <c r="N66" i="301"/>
  <c r="O63" i="301"/>
  <c r="N63" i="301"/>
  <c r="M63" i="301"/>
  <c r="L63" i="301"/>
  <c r="K63" i="301"/>
  <c r="J63" i="301"/>
  <c r="I63" i="301"/>
  <c r="G63" i="301"/>
  <c r="O61" i="301"/>
  <c r="N61" i="301"/>
  <c r="O60" i="301"/>
  <c r="N60" i="301"/>
  <c r="O59" i="301"/>
  <c r="N59" i="301"/>
  <c r="O58" i="301"/>
  <c r="N58" i="301"/>
  <c r="O57" i="301"/>
  <c r="N57" i="301"/>
  <c r="O56" i="301"/>
  <c r="N56" i="301"/>
  <c r="O55" i="301"/>
  <c r="N55" i="301"/>
  <c r="O52" i="301"/>
  <c r="N52" i="301"/>
  <c r="M52" i="301"/>
  <c r="L52" i="301"/>
  <c r="K52" i="301"/>
  <c r="J52" i="301"/>
  <c r="I52" i="301"/>
  <c r="H52" i="301"/>
  <c r="G52" i="301"/>
  <c r="O51" i="301"/>
  <c r="O50" i="301"/>
  <c r="N50" i="301"/>
  <c r="O47" i="301"/>
  <c r="N47" i="301"/>
  <c r="M47" i="301"/>
  <c r="L47" i="301"/>
  <c r="K47" i="301"/>
  <c r="J47" i="301"/>
  <c r="I47" i="301"/>
  <c r="H47" i="301"/>
  <c r="G47" i="301"/>
  <c r="O46" i="301"/>
  <c r="N46" i="301"/>
  <c r="O43" i="301"/>
  <c r="N43" i="301"/>
  <c r="M43" i="301"/>
  <c r="L43" i="301"/>
  <c r="K43" i="301"/>
  <c r="J43" i="301"/>
  <c r="I43" i="301"/>
  <c r="H43" i="301"/>
  <c r="G43" i="301"/>
  <c r="O42" i="301"/>
  <c r="N42" i="301"/>
  <c r="O41" i="301"/>
  <c r="N41" i="301"/>
  <c r="O30" i="301"/>
  <c r="N30" i="301"/>
  <c r="M30" i="301"/>
  <c r="L30" i="301"/>
  <c r="K30" i="301"/>
  <c r="J30" i="301"/>
  <c r="I30" i="301"/>
  <c r="H30" i="301"/>
  <c r="G30" i="301"/>
  <c r="O29" i="301"/>
  <c r="N29" i="301"/>
  <c r="O28" i="301"/>
  <c r="N28" i="301"/>
  <c r="O25" i="301"/>
  <c r="N25" i="301"/>
  <c r="M25" i="301"/>
  <c r="L25" i="301"/>
  <c r="K25" i="301"/>
  <c r="J25" i="301"/>
  <c r="I25" i="301"/>
  <c r="G25" i="301"/>
  <c r="O24" i="301"/>
  <c r="N24" i="301"/>
  <c r="O20" i="301"/>
  <c r="N20" i="301"/>
  <c r="M20" i="301"/>
  <c r="L20" i="301"/>
  <c r="K20" i="301"/>
  <c r="J20" i="301"/>
  <c r="I20" i="301"/>
  <c r="H20" i="301"/>
  <c r="G20" i="301"/>
  <c r="O19" i="301"/>
  <c r="N19" i="301"/>
  <c r="O16" i="301"/>
  <c r="N16" i="301"/>
  <c r="M16" i="301"/>
  <c r="L16" i="301"/>
  <c r="K16" i="301"/>
  <c r="J16" i="301"/>
  <c r="I16" i="301"/>
  <c r="G16" i="301"/>
  <c r="O15" i="301"/>
  <c r="N15" i="301"/>
  <c r="O14" i="301"/>
  <c r="M225" i="300"/>
  <c r="L225" i="300"/>
  <c r="K225" i="300"/>
  <c r="J225" i="300"/>
  <c r="I225" i="300"/>
  <c r="H225" i="300"/>
  <c r="G225" i="300"/>
  <c r="E225" i="300"/>
  <c r="C225" i="300"/>
  <c r="M223" i="300"/>
  <c r="L223" i="300"/>
  <c r="K223" i="300"/>
  <c r="J223" i="300"/>
  <c r="I223" i="300"/>
  <c r="H223" i="300"/>
  <c r="G223" i="300"/>
  <c r="E223" i="300"/>
  <c r="M222" i="300"/>
  <c r="M221" i="300"/>
  <c r="M220" i="300"/>
  <c r="M219" i="300"/>
  <c r="M218" i="300"/>
  <c r="L218" i="300"/>
  <c r="M217" i="300"/>
  <c r="L217" i="300"/>
  <c r="M216" i="300"/>
  <c r="L216" i="300"/>
  <c r="M215" i="300"/>
  <c r="L215" i="300"/>
  <c r="M214" i="300"/>
  <c r="L214" i="300"/>
  <c r="M213" i="300"/>
  <c r="L213" i="300"/>
  <c r="M212" i="300"/>
  <c r="L212" i="300"/>
  <c r="M211" i="300"/>
  <c r="L211" i="300"/>
  <c r="M210" i="300"/>
  <c r="L210" i="300"/>
  <c r="M209" i="300"/>
  <c r="L209" i="300"/>
  <c r="M208" i="300"/>
  <c r="L208" i="300"/>
  <c r="M207" i="300"/>
  <c r="L207" i="300"/>
  <c r="M206" i="300"/>
  <c r="L206" i="300"/>
  <c r="M201" i="300"/>
  <c r="L201" i="300"/>
  <c r="M200" i="300"/>
  <c r="L200" i="300"/>
  <c r="M199" i="300"/>
  <c r="M198" i="300"/>
  <c r="L198" i="300"/>
  <c r="M197" i="300"/>
  <c r="L197" i="300"/>
  <c r="M196" i="300"/>
  <c r="L196" i="300"/>
  <c r="M195" i="300"/>
  <c r="L195" i="300"/>
  <c r="M194" i="300"/>
  <c r="L194" i="300"/>
  <c r="M193" i="300"/>
  <c r="L193" i="300"/>
  <c r="M192" i="300"/>
  <c r="L192" i="300"/>
  <c r="M191" i="300"/>
  <c r="M190" i="300"/>
  <c r="L190" i="300"/>
  <c r="M189" i="300"/>
  <c r="L189" i="300"/>
  <c r="M188" i="300"/>
  <c r="L188" i="300"/>
  <c r="M187" i="300"/>
  <c r="L187" i="300"/>
  <c r="M186" i="300"/>
  <c r="L186" i="300"/>
  <c r="M183" i="300"/>
  <c r="L183" i="300"/>
  <c r="K183" i="300"/>
  <c r="J183" i="300"/>
  <c r="I183" i="300"/>
  <c r="H183" i="300"/>
  <c r="G183" i="300"/>
  <c r="E183" i="300"/>
  <c r="M182" i="300"/>
  <c r="L182" i="300"/>
  <c r="M181" i="300"/>
  <c r="L181" i="300"/>
  <c r="M180" i="300"/>
  <c r="L180" i="300"/>
  <c r="M179" i="300"/>
  <c r="L179" i="300"/>
  <c r="M176" i="300"/>
  <c r="L176" i="300"/>
  <c r="K176" i="300"/>
  <c r="J176" i="300"/>
  <c r="I176" i="300"/>
  <c r="H176" i="300"/>
  <c r="G176" i="300"/>
  <c r="E176" i="300"/>
  <c r="M175" i="300"/>
  <c r="L175" i="300"/>
  <c r="M174" i="300"/>
  <c r="L174" i="300"/>
  <c r="M173" i="300"/>
  <c r="L173" i="300"/>
  <c r="M172" i="300"/>
  <c r="L172" i="300"/>
  <c r="M171" i="300"/>
  <c r="L171" i="300"/>
  <c r="M170" i="300"/>
  <c r="L170" i="300"/>
  <c r="M167" i="300"/>
  <c r="L167" i="300"/>
  <c r="K167" i="300"/>
  <c r="J167" i="300"/>
  <c r="I167" i="300"/>
  <c r="H167" i="300"/>
  <c r="G167" i="300"/>
  <c r="F167" i="300"/>
  <c r="E167" i="300"/>
  <c r="M166" i="300"/>
  <c r="L166" i="300"/>
  <c r="M165" i="300"/>
  <c r="L165" i="300"/>
  <c r="M162" i="300"/>
  <c r="L162" i="300"/>
  <c r="K162" i="300"/>
  <c r="J162" i="300"/>
  <c r="I162" i="300"/>
  <c r="H162" i="300"/>
  <c r="G162" i="300"/>
  <c r="E162" i="300"/>
  <c r="M161" i="300"/>
  <c r="L161" i="300"/>
  <c r="M160" i="300"/>
  <c r="L160" i="300"/>
  <c r="M157" i="300"/>
  <c r="L157" i="300"/>
  <c r="K157" i="300"/>
  <c r="J157" i="300"/>
  <c r="I157" i="300"/>
  <c r="H157" i="300"/>
  <c r="G157" i="300"/>
  <c r="F157" i="300"/>
  <c r="E157" i="300"/>
  <c r="M156" i="300"/>
  <c r="L156" i="300"/>
  <c r="M155" i="300"/>
  <c r="L155" i="300"/>
  <c r="M154" i="300"/>
  <c r="L154" i="300"/>
  <c r="M153" i="300"/>
  <c r="L153" i="300"/>
  <c r="L150" i="300"/>
  <c r="K150" i="300"/>
  <c r="J150" i="300"/>
  <c r="I150" i="300"/>
  <c r="H150" i="300"/>
  <c r="G150" i="300"/>
  <c r="F150" i="300"/>
  <c r="E150" i="300"/>
  <c r="M149" i="300"/>
  <c r="L149" i="300"/>
  <c r="M146" i="300"/>
  <c r="L146" i="300"/>
  <c r="K146" i="300"/>
  <c r="J146" i="300"/>
  <c r="I146" i="300"/>
  <c r="H146" i="300"/>
  <c r="G146" i="300"/>
  <c r="E146" i="300"/>
  <c r="M145" i="300"/>
  <c r="M144" i="300"/>
  <c r="L144" i="300"/>
  <c r="M141" i="300"/>
  <c r="L141" i="300"/>
  <c r="K141" i="300"/>
  <c r="J141" i="300"/>
  <c r="I141" i="300"/>
  <c r="H141" i="300"/>
  <c r="G141" i="300"/>
  <c r="F141" i="300"/>
  <c r="E141" i="300"/>
  <c r="M140" i="300"/>
  <c r="L140" i="300"/>
  <c r="M139" i="300"/>
  <c r="L139" i="300"/>
  <c r="M138" i="300"/>
  <c r="L138" i="300"/>
  <c r="M135" i="300"/>
  <c r="L135" i="300"/>
  <c r="K135" i="300"/>
  <c r="J135" i="300"/>
  <c r="I135" i="300"/>
  <c r="H135" i="300"/>
  <c r="G135" i="300"/>
  <c r="F135" i="300"/>
  <c r="E135" i="300"/>
  <c r="M134" i="300"/>
  <c r="L134" i="300"/>
  <c r="M133" i="300"/>
  <c r="L133" i="300"/>
  <c r="M132" i="300"/>
  <c r="M131" i="300"/>
  <c r="L131" i="300"/>
  <c r="M128" i="300"/>
  <c r="L128" i="300"/>
  <c r="K128" i="300"/>
  <c r="J128" i="300"/>
  <c r="I128" i="300"/>
  <c r="H128" i="300"/>
  <c r="G128" i="300"/>
  <c r="F128" i="300"/>
  <c r="E128" i="300"/>
  <c r="M127" i="300"/>
  <c r="L127" i="300"/>
  <c r="M126" i="300"/>
  <c r="L126" i="300"/>
  <c r="M125" i="300"/>
  <c r="L125" i="300"/>
  <c r="M122" i="300"/>
  <c r="L122" i="300"/>
  <c r="K122" i="300"/>
  <c r="J122" i="300"/>
  <c r="I122" i="300"/>
  <c r="H122" i="300"/>
  <c r="G122" i="300"/>
  <c r="F122" i="300"/>
  <c r="E122" i="300"/>
  <c r="M121" i="300"/>
  <c r="L121" i="300"/>
  <c r="M120" i="300"/>
  <c r="M119" i="300"/>
  <c r="L119" i="300"/>
  <c r="M118" i="300"/>
  <c r="L118" i="300"/>
  <c r="M117" i="300"/>
  <c r="L117" i="300"/>
  <c r="M116" i="300"/>
  <c r="L116" i="300"/>
  <c r="M115" i="300"/>
  <c r="L115" i="300"/>
  <c r="M112" i="300"/>
  <c r="L112" i="300"/>
  <c r="K112" i="300"/>
  <c r="J112" i="300"/>
  <c r="I112" i="300"/>
  <c r="H112" i="300"/>
  <c r="G112" i="300"/>
  <c r="E112" i="300"/>
  <c r="M111" i="300"/>
  <c r="L111" i="300"/>
  <c r="M108" i="300"/>
  <c r="L108" i="300"/>
  <c r="K108" i="300"/>
  <c r="J108" i="300"/>
  <c r="I108" i="300"/>
  <c r="H108" i="300"/>
  <c r="G108" i="300"/>
  <c r="E108" i="300"/>
  <c r="M107" i="300"/>
  <c r="L107" i="300"/>
  <c r="M106" i="300"/>
  <c r="M103" i="300"/>
  <c r="L103" i="300"/>
  <c r="K103" i="300"/>
  <c r="J103" i="300"/>
  <c r="H103" i="300"/>
  <c r="G103" i="300"/>
  <c r="E103" i="300"/>
  <c r="M102" i="300"/>
  <c r="L102" i="300"/>
  <c r="M99" i="300"/>
  <c r="L99" i="300"/>
  <c r="K99" i="300"/>
  <c r="J99" i="300"/>
  <c r="I99" i="300"/>
  <c r="H99" i="300"/>
  <c r="G99" i="300"/>
  <c r="E99" i="300"/>
  <c r="M98" i="300"/>
  <c r="M97" i="300"/>
  <c r="L97" i="300"/>
  <c r="M96" i="300"/>
  <c r="L96" i="300"/>
  <c r="M93" i="300"/>
  <c r="L93" i="300"/>
  <c r="K93" i="300"/>
  <c r="J93" i="300"/>
  <c r="I93" i="300"/>
  <c r="H93" i="300"/>
  <c r="G93" i="300"/>
  <c r="F93" i="300"/>
  <c r="E93" i="300"/>
  <c r="M92" i="300"/>
  <c r="L92" i="300"/>
  <c r="M91" i="300"/>
  <c r="L91" i="300"/>
  <c r="M88" i="300"/>
  <c r="L88" i="300"/>
  <c r="K88" i="300"/>
  <c r="J88" i="300"/>
  <c r="I88" i="300"/>
  <c r="H88" i="300"/>
  <c r="G88" i="300"/>
  <c r="E88" i="300"/>
  <c r="M87" i="300"/>
  <c r="L87" i="300"/>
  <c r="M86" i="300"/>
  <c r="L86" i="300"/>
  <c r="M85" i="300"/>
  <c r="L85" i="300"/>
  <c r="M84" i="300"/>
  <c r="L84" i="300"/>
  <c r="M83" i="300"/>
  <c r="L83" i="300"/>
  <c r="M82" i="300"/>
  <c r="L82" i="300"/>
  <c r="M81" i="300"/>
  <c r="L81" i="300"/>
  <c r="M80" i="300"/>
  <c r="L80" i="300"/>
  <c r="M79" i="300"/>
  <c r="L79" i="300"/>
  <c r="M78" i="300"/>
  <c r="L78" i="300"/>
  <c r="M77" i="300"/>
  <c r="L77" i="300"/>
  <c r="M76" i="300"/>
  <c r="L76" i="300"/>
  <c r="M73" i="300"/>
  <c r="L73" i="300"/>
  <c r="K73" i="300"/>
  <c r="J73" i="300"/>
  <c r="I73" i="300"/>
  <c r="H73" i="300"/>
  <c r="G73" i="300"/>
  <c r="F73" i="300"/>
  <c r="E73" i="300"/>
  <c r="M72" i="300"/>
  <c r="L72" i="300"/>
  <c r="M71" i="300"/>
  <c r="L71" i="300"/>
  <c r="M70" i="300"/>
  <c r="L70" i="300"/>
  <c r="M69" i="300"/>
  <c r="L69" i="300"/>
  <c r="M68" i="300"/>
  <c r="L68" i="300"/>
  <c r="M67" i="300"/>
  <c r="L67" i="300"/>
  <c r="M66" i="300"/>
  <c r="L66" i="300"/>
  <c r="M65" i="300"/>
  <c r="L65" i="300"/>
  <c r="M64" i="300"/>
  <c r="L64" i="300"/>
  <c r="M63" i="300"/>
  <c r="L63" i="300"/>
  <c r="M62" i="300"/>
  <c r="L62" i="300"/>
  <c r="M61" i="300"/>
  <c r="L61" i="300"/>
  <c r="M58" i="300"/>
  <c r="L58" i="300"/>
  <c r="K58" i="300"/>
  <c r="J58" i="300"/>
  <c r="I58" i="300"/>
  <c r="H58" i="300"/>
  <c r="G58" i="300"/>
  <c r="F58" i="300"/>
  <c r="E58" i="300"/>
  <c r="M57" i="300"/>
  <c r="M56" i="300"/>
  <c r="L56" i="300"/>
  <c r="M55" i="300"/>
  <c r="L55" i="300"/>
  <c r="M52" i="300"/>
  <c r="L52" i="300"/>
  <c r="K52" i="300"/>
  <c r="J52" i="300"/>
  <c r="I52" i="300"/>
  <c r="H52" i="300"/>
  <c r="G52" i="300"/>
  <c r="F52" i="300"/>
  <c r="E52" i="300"/>
  <c r="M51" i="300"/>
  <c r="L51" i="300"/>
  <c r="M48" i="300"/>
  <c r="L48" i="300"/>
  <c r="K48" i="300"/>
  <c r="J48" i="300"/>
  <c r="I48" i="300"/>
  <c r="H48" i="300"/>
  <c r="G48" i="300"/>
  <c r="F48" i="300"/>
  <c r="E48" i="300"/>
  <c r="M47" i="300"/>
  <c r="L47" i="300"/>
  <c r="M46" i="300"/>
  <c r="L46" i="300"/>
  <c r="M43" i="300"/>
  <c r="L43" i="300"/>
  <c r="K43" i="300"/>
  <c r="J43" i="300"/>
  <c r="I43" i="300"/>
  <c r="H43" i="300"/>
  <c r="F43" i="300"/>
  <c r="E43" i="300"/>
  <c r="M42" i="300"/>
  <c r="L42" i="300"/>
  <c r="M39" i="300"/>
  <c r="L39" i="300"/>
  <c r="K39" i="300"/>
  <c r="J39" i="300"/>
  <c r="I39" i="300"/>
  <c r="H39" i="300"/>
  <c r="G39" i="300"/>
  <c r="E39" i="300"/>
  <c r="M38" i="300"/>
  <c r="L38" i="300"/>
  <c r="M37" i="300"/>
  <c r="L37" i="300"/>
  <c r="M36" i="300"/>
  <c r="L36" i="300"/>
  <c r="M35" i="300"/>
  <c r="L35" i="300"/>
  <c r="M34" i="300"/>
  <c r="L34" i="300"/>
  <c r="M33" i="300"/>
  <c r="L33" i="300"/>
  <c r="M32" i="300"/>
  <c r="L32" i="300"/>
  <c r="M29" i="300"/>
  <c r="L29" i="300"/>
  <c r="K29" i="300"/>
  <c r="J29" i="300"/>
  <c r="I29" i="300"/>
  <c r="H29" i="300"/>
  <c r="G29" i="300"/>
  <c r="F29" i="300"/>
  <c r="E29" i="300"/>
  <c r="M28" i="300"/>
  <c r="L28" i="300"/>
  <c r="M25" i="300"/>
  <c r="L25" i="300"/>
  <c r="K25" i="300"/>
  <c r="J25" i="300"/>
  <c r="I25" i="300"/>
  <c r="H25" i="300"/>
  <c r="G25" i="300"/>
  <c r="E25" i="300"/>
  <c r="M24" i="300"/>
  <c r="L24" i="300"/>
  <c r="M23" i="300"/>
  <c r="L23" i="300"/>
  <c r="M22" i="300"/>
  <c r="L22" i="300"/>
  <c r="M19" i="300"/>
  <c r="L19" i="300"/>
  <c r="K19" i="300"/>
  <c r="J19" i="300"/>
  <c r="I19" i="300"/>
  <c r="H19" i="300"/>
  <c r="G19" i="300"/>
  <c r="F19" i="300"/>
  <c r="E19" i="300"/>
  <c r="M18" i="300"/>
  <c r="L18" i="300"/>
  <c r="M17" i="300"/>
  <c r="M16" i="300"/>
  <c r="L16" i="300"/>
  <c r="M15" i="300"/>
  <c r="L15" i="300"/>
  <c r="M18" i="299"/>
  <c r="L18" i="299"/>
  <c r="K18" i="299"/>
  <c r="J18" i="299"/>
  <c r="I18" i="299"/>
  <c r="H18" i="299"/>
  <c r="G18" i="299"/>
  <c r="F18" i="299"/>
  <c r="E18" i="299"/>
  <c r="M16" i="299"/>
  <c r="L16" i="299"/>
  <c r="K16" i="299"/>
  <c r="J16" i="299"/>
  <c r="I16" i="299"/>
  <c r="H16" i="299"/>
  <c r="G16" i="299"/>
  <c r="F16" i="299"/>
  <c r="E16" i="299"/>
  <c r="M15" i="299"/>
  <c r="L15" i="299"/>
  <c r="N22" i="298"/>
  <c r="M22" i="298"/>
  <c r="L22" i="298"/>
  <c r="K22" i="298"/>
  <c r="J22" i="298"/>
  <c r="I22" i="298"/>
  <c r="H22" i="298"/>
  <c r="F22" i="298"/>
  <c r="N16" i="298"/>
  <c r="M16" i="298"/>
  <c r="L16" i="298"/>
  <c r="K16" i="298"/>
  <c r="J16" i="298"/>
  <c r="I16" i="298"/>
  <c r="H16" i="298"/>
  <c r="G16" i="298"/>
  <c r="F16" i="298"/>
  <c r="M29" i="297"/>
  <c r="L29" i="297"/>
  <c r="J29" i="297"/>
  <c r="I29" i="297"/>
  <c r="H29" i="297"/>
  <c r="G29" i="297"/>
  <c r="E29" i="297"/>
  <c r="L23" i="297"/>
  <c r="M22" i="297"/>
  <c r="L22" i="297"/>
  <c r="M19" i="297"/>
  <c r="L19" i="297"/>
  <c r="K19" i="297"/>
  <c r="J19" i="297"/>
  <c r="I19" i="297"/>
  <c r="H19" i="297"/>
  <c r="G19" i="297"/>
  <c r="F19" i="297"/>
  <c r="E19" i="297"/>
  <c r="M18" i="297"/>
  <c r="L18" i="297"/>
  <c r="M15" i="297"/>
  <c r="L15" i="297"/>
  <c r="K15" i="297"/>
  <c r="J15" i="297"/>
  <c r="I15" i="297"/>
  <c r="H15" i="297"/>
  <c r="G15" i="297"/>
  <c r="F15" i="297"/>
  <c r="E15" i="297"/>
  <c r="M14" i="297"/>
  <c r="L14" i="297"/>
  <c r="M63" i="296"/>
  <c r="L63" i="296"/>
  <c r="J63" i="296"/>
  <c r="I63" i="296"/>
  <c r="H63" i="296"/>
  <c r="G63" i="296"/>
  <c r="E63" i="296"/>
  <c r="D63" i="296"/>
  <c r="M60" i="296"/>
  <c r="L60" i="296"/>
  <c r="J60" i="296"/>
  <c r="I60" i="296"/>
  <c r="H60" i="296"/>
  <c r="G60" i="296"/>
  <c r="E60" i="296"/>
  <c r="M59" i="296"/>
  <c r="L59" i="296"/>
  <c r="M56" i="296"/>
  <c r="L56" i="296"/>
  <c r="J56" i="296"/>
  <c r="I56" i="296"/>
  <c r="H56" i="296"/>
  <c r="G56" i="296"/>
  <c r="E56" i="296"/>
  <c r="M55" i="296"/>
  <c r="L55" i="296"/>
  <c r="M52" i="296"/>
  <c r="L52" i="296"/>
  <c r="J52" i="296"/>
  <c r="I52" i="296"/>
  <c r="H52" i="296"/>
  <c r="G52" i="296"/>
  <c r="E52" i="296"/>
  <c r="M51" i="296"/>
  <c r="L51" i="296"/>
  <c r="M50" i="296"/>
  <c r="L50" i="296"/>
  <c r="M47" i="296"/>
  <c r="L47" i="296"/>
  <c r="J47" i="296"/>
  <c r="I47" i="296"/>
  <c r="H47" i="296"/>
  <c r="G47" i="296"/>
  <c r="E47" i="296"/>
  <c r="M46" i="296"/>
  <c r="L46" i="296"/>
  <c r="M43" i="296"/>
  <c r="L43" i="296"/>
  <c r="J43" i="296"/>
  <c r="I43" i="296"/>
  <c r="H43" i="296"/>
  <c r="G43" i="296"/>
  <c r="E43" i="296"/>
  <c r="M42" i="296"/>
  <c r="L42" i="296"/>
  <c r="M39" i="296"/>
  <c r="L39" i="296"/>
  <c r="J39" i="296"/>
  <c r="I39" i="296"/>
  <c r="H39" i="296"/>
  <c r="G39" i="296"/>
  <c r="E39" i="296"/>
  <c r="M38" i="296"/>
  <c r="L38" i="296"/>
  <c r="M27" i="296"/>
  <c r="L27" i="296"/>
  <c r="J27" i="296"/>
  <c r="I27" i="296"/>
  <c r="H27" i="296"/>
  <c r="G27" i="296"/>
  <c r="E27" i="296"/>
  <c r="L26" i="296"/>
  <c r="M23" i="296"/>
  <c r="L23" i="296"/>
  <c r="J23" i="296"/>
  <c r="I23" i="296"/>
  <c r="H23" i="296"/>
  <c r="G23" i="296"/>
  <c r="E23" i="296"/>
  <c r="M22" i="296"/>
  <c r="L22" i="296"/>
  <c r="O34" i="295"/>
  <c r="N34" i="295"/>
  <c r="M34" i="295"/>
  <c r="L34" i="295"/>
  <c r="K34" i="295"/>
  <c r="J34" i="295"/>
  <c r="I34" i="295"/>
  <c r="H34" i="295"/>
  <c r="G34" i="295"/>
  <c r="O33" i="295"/>
  <c r="N33" i="295"/>
  <c r="M33" i="295"/>
  <c r="L33" i="295"/>
  <c r="K33" i="295"/>
  <c r="J33" i="295"/>
  <c r="I33" i="295"/>
  <c r="G33" i="295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O15" i="295"/>
  <c r="O138" i="294"/>
  <c r="N138" i="294"/>
  <c r="M138" i="294"/>
  <c r="L138" i="294"/>
  <c r="K138" i="294"/>
  <c r="J138" i="294"/>
  <c r="I138" i="294"/>
  <c r="G138" i="294"/>
  <c r="C138" i="294"/>
  <c r="O136" i="294"/>
  <c r="N136" i="294"/>
  <c r="M136" i="294"/>
  <c r="L136" i="294"/>
  <c r="K136" i="294"/>
  <c r="J136" i="294"/>
  <c r="I136" i="294"/>
  <c r="G136" i="294"/>
  <c r="O135" i="294"/>
  <c r="N135" i="294"/>
  <c r="O134" i="294"/>
  <c r="N134" i="294"/>
  <c r="O133" i="294"/>
  <c r="N133" i="294"/>
  <c r="O132" i="294"/>
  <c r="N132" i="294"/>
  <c r="O131" i="294"/>
  <c r="N131" i="294"/>
  <c r="O130" i="294"/>
  <c r="N130" i="294"/>
  <c r="O128" i="294"/>
  <c r="N128" i="294"/>
  <c r="O127" i="294"/>
  <c r="N127" i="294"/>
  <c r="O126" i="294"/>
  <c r="N126" i="294"/>
  <c r="O125" i="294"/>
  <c r="N125" i="294"/>
  <c r="O124" i="294"/>
  <c r="N124" i="294"/>
  <c r="O123" i="294"/>
  <c r="N123" i="294"/>
  <c r="O122" i="294"/>
  <c r="N122" i="294"/>
  <c r="O121" i="294"/>
  <c r="N121" i="294"/>
  <c r="O120" i="294"/>
  <c r="N120" i="294"/>
  <c r="O119" i="294"/>
  <c r="N119" i="294"/>
  <c r="O118" i="294"/>
  <c r="N118" i="294"/>
  <c r="O117" i="294"/>
  <c r="N117" i="294"/>
  <c r="O116" i="294"/>
  <c r="N116" i="294"/>
  <c r="O115" i="294"/>
  <c r="N115" i="294"/>
  <c r="O114" i="294"/>
  <c r="N114" i="294"/>
  <c r="O113" i="294"/>
  <c r="N113" i="294"/>
  <c r="O112" i="294"/>
  <c r="N112" i="294"/>
  <c r="O111" i="294"/>
  <c r="N111" i="294"/>
  <c r="O110" i="294"/>
  <c r="N110" i="294"/>
  <c r="O109" i="294"/>
  <c r="N109" i="294"/>
  <c r="O108" i="294"/>
  <c r="N108" i="294"/>
  <c r="O107" i="294"/>
  <c r="N107" i="294"/>
  <c r="O106" i="294"/>
  <c r="N106" i="294"/>
  <c r="O105" i="294"/>
  <c r="N105" i="294"/>
  <c r="O104" i="294"/>
  <c r="N104" i="294"/>
  <c r="O103" i="294"/>
  <c r="N103" i="294"/>
  <c r="O102" i="294"/>
  <c r="N102" i="294"/>
  <c r="O99" i="294"/>
  <c r="N99" i="294"/>
  <c r="M99" i="294"/>
  <c r="L99" i="294"/>
  <c r="K99" i="294"/>
  <c r="J99" i="294"/>
  <c r="I99" i="294"/>
  <c r="H99" i="294"/>
  <c r="G99" i="294"/>
  <c r="O98" i="294"/>
  <c r="N98" i="294"/>
  <c r="O95" i="294"/>
  <c r="N95" i="294"/>
  <c r="M95" i="294"/>
  <c r="L95" i="294"/>
  <c r="K95" i="294"/>
  <c r="J95" i="294"/>
  <c r="I95" i="294"/>
  <c r="H95" i="294"/>
  <c r="G95" i="294"/>
  <c r="O94" i="294"/>
  <c r="N94" i="294"/>
  <c r="O93" i="294"/>
  <c r="N93" i="294"/>
  <c r="O92" i="294"/>
  <c r="N92" i="294"/>
  <c r="O91" i="294"/>
  <c r="N91" i="294"/>
  <c r="O90" i="294"/>
  <c r="N90" i="294"/>
  <c r="O89" i="294"/>
  <c r="N89" i="294"/>
  <c r="O87" i="294"/>
  <c r="N87" i="294"/>
  <c r="M87" i="294"/>
  <c r="L87" i="294"/>
  <c r="K87" i="294"/>
  <c r="J87" i="294"/>
  <c r="I87" i="294"/>
  <c r="H87" i="294"/>
  <c r="G87" i="294"/>
  <c r="O86" i="294"/>
  <c r="O79" i="294"/>
  <c r="N79" i="294"/>
  <c r="M79" i="294"/>
  <c r="L79" i="294"/>
  <c r="K79" i="294"/>
  <c r="J79" i="294"/>
  <c r="I79" i="294"/>
  <c r="H79" i="294"/>
  <c r="G79" i="294"/>
  <c r="O78" i="294"/>
  <c r="N78" i="294"/>
  <c r="O77" i="294"/>
  <c r="N77" i="294"/>
  <c r="O74" i="294"/>
  <c r="N74" i="294"/>
  <c r="M74" i="294"/>
  <c r="L74" i="294"/>
  <c r="K74" i="294"/>
  <c r="J74" i="294"/>
  <c r="I74" i="294"/>
  <c r="H74" i="294"/>
  <c r="G74" i="294"/>
  <c r="O73" i="294"/>
  <c r="N73" i="294"/>
  <c r="O70" i="294"/>
  <c r="N70" i="294"/>
  <c r="M70" i="294"/>
  <c r="L70" i="294"/>
  <c r="K70" i="294"/>
  <c r="J70" i="294"/>
  <c r="I70" i="294"/>
  <c r="G70" i="294"/>
  <c r="O69" i="294"/>
  <c r="N69" i="294"/>
  <c r="O68" i="294"/>
  <c r="N68" i="294"/>
  <c r="O67" i="294"/>
  <c r="N67" i="294"/>
  <c r="O66" i="294"/>
  <c r="N66" i="294"/>
  <c r="O63" i="294"/>
  <c r="N63" i="294"/>
  <c r="M63" i="294"/>
  <c r="L63" i="294"/>
  <c r="K63" i="294"/>
  <c r="J63" i="294"/>
  <c r="I63" i="294"/>
  <c r="G63" i="294"/>
  <c r="O61" i="294"/>
  <c r="N61" i="294"/>
  <c r="O60" i="294"/>
  <c r="N60" i="294"/>
  <c r="O59" i="294"/>
  <c r="N59" i="294"/>
  <c r="O58" i="294"/>
  <c r="N58" i="294"/>
  <c r="O57" i="294"/>
  <c r="N57" i="294"/>
  <c r="O56" i="294"/>
  <c r="N56" i="294"/>
  <c r="O55" i="294"/>
  <c r="N55" i="294"/>
  <c r="O52" i="294"/>
  <c r="N52" i="294"/>
  <c r="M52" i="294"/>
  <c r="L52" i="294"/>
  <c r="K52" i="294"/>
  <c r="J52" i="294"/>
  <c r="I52" i="294"/>
  <c r="H52" i="294"/>
  <c r="G52" i="294"/>
  <c r="O51" i="294"/>
  <c r="O50" i="294"/>
  <c r="N50" i="294"/>
  <c r="O47" i="294"/>
  <c r="N47" i="294"/>
  <c r="M47" i="294"/>
  <c r="L47" i="294"/>
  <c r="K47" i="294"/>
  <c r="J47" i="294"/>
  <c r="I47" i="294"/>
  <c r="H47" i="294"/>
  <c r="G47" i="294"/>
  <c r="O46" i="294"/>
  <c r="N46" i="294"/>
  <c r="O43" i="294"/>
  <c r="N43" i="294"/>
  <c r="M43" i="294"/>
  <c r="L43" i="294"/>
  <c r="K43" i="294"/>
  <c r="J43" i="294"/>
  <c r="I43" i="294"/>
  <c r="H43" i="294"/>
  <c r="G43" i="294"/>
  <c r="O42" i="294"/>
  <c r="N42" i="294"/>
  <c r="O41" i="294"/>
  <c r="N41" i="294"/>
  <c r="O30" i="294"/>
  <c r="N30" i="294"/>
  <c r="M30" i="294"/>
  <c r="L30" i="294"/>
  <c r="K30" i="294"/>
  <c r="J30" i="294"/>
  <c r="I30" i="294"/>
  <c r="H30" i="294"/>
  <c r="G30" i="294"/>
  <c r="O29" i="294"/>
  <c r="O28" i="294"/>
  <c r="N28" i="294"/>
  <c r="O25" i="294"/>
  <c r="N25" i="294"/>
  <c r="M25" i="294"/>
  <c r="L25" i="294"/>
  <c r="K25" i="294"/>
  <c r="J25" i="294"/>
  <c r="I25" i="294"/>
  <c r="G25" i="294"/>
  <c r="O24" i="294"/>
  <c r="N24" i="294"/>
  <c r="O20" i="294"/>
  <c r="N20" i="294"/>
  <c r="M20" i="294"/>
  <c r="L20" i="294"/>
  <c r="K20" i="294"/>
  <c r="J20" i="294"/>
  <c r="I20" i="294"/>
  <c r="H20" i="294"/>
  <c r="G20" i="294"/>
  <c r="O19" i="294"/>
  <c r="N19" i="294"/>
  <c r="O16" i="294"/>
  <c r="N16" i="294"/>
  <c r="M16" i="294"/>
  <c r="L16" i="294"/>
  <c r="K16" i="294"/>
  <c r="J16" i="294"/>
  <c r="I16" i="294"/>
  <c r="G16" i="294"/>
  <c r="O15" i="294"/>
  <c r="N15" i="294"/>
  <c r="O14" i="294"/>
  <c r="M227" i="293"/>
  <c r="L227" i="293"/>
  <c r="K227" i="293"/>
  <c r="J227" i="293"/>
  <c r="I227" i="293"/>
  <c r="H227" i="293"/>
  <c r="G227" i="293"/>
  <c r="E227" i="293"/>
  <c r="C227" i="293"/>
  <c r="M225" i="293"/>
  <c r="L225" i="293"/>
  <c r="K225" i="293"/>
  <c r="J225" i="293"/>
  <c r="I225" i="293"/>
  <c r="H225" i="293"/>
  <c r="G225" i="293"/>
  <c r="E225" i="293"/>
  <c r="M224" i="293"/>
  <c r="M223" i="293"/>
  <c r="M222" i="293"/>
  <c r="M221" i="293"/>
  <c r="M220" i="293"/>
  <c r="L220" i="293"/>
  <c r="M219" i="293"/>
  <c r="L219" i="293"/>
  <c r="M218" i="293"/>
  <c r="L218" i="293"/>
  <c r="M217" i="293"/>
  <c r="L217" i="293"/>
  <c r="M216" i="293"/>
  <c r="L216" i="293"/>
  <c r="M215" i="293"/>
  <c r="L215" i="293"/>
  <c r="M214" i="293"/>
  <c r="L214" i="293"/>
  <c r="M213" i="293"/>
  <c r="L213" i="293"/>
  <c r="M212" i="293"/>
  <c r="L212" i="293"/>
  <c r="M211" i="293"/>
  <c r="L211" i="293"/>
  <c r="M210" i="293"/>
  <c r="L210" i="293"/>
  <c r="M209" i="293"/>
  <c r="L209" i="293"/>
  <c r="M208" i="293"/>
  <c r="L208" i="293"/>
  <c r="M203" i="293"/>
  <c r="L203" i="293"/>
  <c r="M202" i="293"/>
  <c r="L202" i="293"/>
  <c r="M201" i="293"/>
  <c r="M200" i="293"/>
  <c r="L200" i="293"/>
  <c r="M199" i="293"/>
  <c r="L199" i="293"/>
  <c r="M198" i="293"/>
  <c r="L198" i="293"/>
  <c r="M197" i="293"/>
  <c r="L197" i="293"/>
  <c r="M196" i="293"/>
  <c r="L196" i="293"/>
  <c r="M195" i="293"/>
  <c r="L195" i="293"/>
  <c r="M194" i="293"/>
  <c r="L194" i="293"/>
  <c r="M193" i="293"/>
  <c r="M192" i="293"/>
  <c r="L192" i="293"/>
  <c r="M191" i="293"/>
  <c r="L191" i="293"/>
  <c r="M190" i="293"/>
  <c r="L190" i="293"/>
  <c r="M189" i="293"/>
  <c r="L189" i="293"/>
  <c r="M188" i="293"/>
  <c r="L188" i="293"/>
  <c r="M187" i="293"/>
  <c r="L187" i="293"/>
  <c r="M184" i="293"/>
  <c r="L184" i="293"/>
  <c r="K184" i="293"/>
  <c r="J184" i="293"/>
  <c r="I184" i="293"/>
  <c r="H184" i="293"/>
  <c r="G184" i="293"/>
  <c r="E184" i="293"/>
  <c r="M183" i="293"/>
  <c r="L183" i="293"/>
  <c r="M182" i="293"/>
  <c r="L182" i="293"/>
  <c r="M181" i="293"/>
  <c r="L181" i="293"/>
  <c r="M180" i="293"/>
  <c r="L180" i="293"/>
  <c r="M179" i="293"/>
  <c r="L179" i="293"/>
  <c r="M176" i="293"/>
  <c r="L176" i="293"/>
  <c r="K176" i="293"/>
  <c r="J176" i="293"/>
  <c r="I176" i="293"/>
  <c r="H176" i="293"/>
  <c r="G176" i="293"/>
  <c r="E176" i="293"/>
  <c r="M175" i="293"/>
  <c r="L175" i="293"/>
  <c r="M174" i="293"/>
  <c r="L174" i="293"/>
  <c r="M173" i="293"/>
  <c r="L173" i="293"/>
  <c r="M172" i="293"/>
  <c r="L172" i="293"/>
  <c r="M171" i="293"/>
  <c r="L171" i="293"/>
  <c r="M170" i="293"/>
  <c r="L170" i="293"/>
  <c r="M167" i="293"/>
  <c r="L167" i="293"/>
  <c r="K167" i="293"/>
  <c r="J167" i="293"/>
  <c r="I167" i="293"/>
  <c r="H167" i="293"/>
  <c r="G167" i="293"/>
  <c r="F167" i="293"/>
  <c r="E167" i="293"/>
  <c r="M166" i="293"/>
  <c r="L166" i="293"/>
  <c r="M165" i="293"/>
  <c r="L165" i="293"/>
  <c r="M162" i="293"/>
  <c r="L162" i="293"/>
  <c r="K162" i="293"/>
  <c r="J162" i="293"/>
  <c r="I162" i="293"/>
  <c r="H162" i="293"/>
  <c r="G162" i="293"/>
  <c r="E162" i="293"/>
  <c r="M161" i="293"/>
  <c r="L161" i="293"/>
  <c r="M160" i="293"/>
  <c r="L160" i="293"/>
  <c r="M157" i="293"/>
  <c r="L157" i="293"/>
  <c r="K157" i="293"/>
  <c r="J157" i="293"/>
  <c r="I157" i="293"/>
  <c r="H157" i="293"/>
  <c r="G157" i="293"/>
  <c r="F157" i="293"/>
  <c r="E157" i="293"/>
  <c r="M156" i="293"/>
  <c r="L156" i="293"/>
  <c r="M155" i="293"/>
  <c r="L155" i="293"/>
  <c r="M154" i="293"/>
  <c r="L154" i="293"/>
  <c r="M153" i="293"/>
  <c r="L153" i="293"/>
  <c r="L150" i="293"/>
  <c r="K150" i="293"/>
  <c r="J150" i="293"/>
  <c r="I150" i="293"/>
  <c r="H150" i="293"/>
  <c r="G150" i="293"/>
  <c r="F150" i="293"/>
  <c r="E150" i="293"/>
  <c r="M149" i="293"/>
  <c r="L149" i="293"/>
  <c r="M146" i="293"/>
  <c r="L146" i="293"/>
  <c r="K146" i="293"/>
  <c r="J146" i="293"/>
  <c r="I146" i="293"/>
  <c r="H146" i="293"/>
  <c r="G146" i="293"/>
  <c r="E146" i="293"/>
  <c r="M144" i="293"/>
  <c r="L144" i="293"/>
  <c r="M141" i="293"/>
  <c r="L141" i="293"/>
  <c r="K141" i="293"/>
  <c r="J141" i="293"/>
  <c r="I141" i="293"/>
  <c r="H141" i="293"/>
  <c r="G141" i="293"/>
  <c r="F141" i="293"/>
  <c r="E141" i="293"/>
  <c r="M140" i="293"/>
  <c r="L140" i="293"/>
  <c r="M139" i="293"/>
  <c r="L139" i="293"/>
  <c r="M138" i="293"/>
  <c r="L138" i="293"/>
  <c r="M135" i="293"/>
  <c r="L135" i="293"/>
  <c r="K135" i="293"/>
  <c r="J135" i="293"/>
  <c r="I135" i="293"/>
  <c r="H135" i="293"/>
  <c r="G135" i="293"/>
  <c r="F135" i="293"/>
  <c r="E135" i="293"/>
  <c r="M134" i="293"/>
  <c r="L134" i="293"/>
  <c r="M133" i="293"/>
  <c r="L133" i="293"/>
  <c r="M132" i="293"/>
  <c r="M131" i="293"/>
  <c r="L131" i="293"/>
  <c r="M128" i="293"/>
  <c r="L128" i="293"/>
  <c r="K128" i="293"/>
  <c r="J128" i="293"/>
  <c r="I128" i="293"/>
  <c r="H128" i="293"/>
  <c r="G128" i="293"/>
  <c r="F128" i="293"/>
  <c r="E128" i="293"/>
  <c r="M127" i="293"/>
  <c r="L127" i="293"/>
  <c r="M126" i="293"/>
  <c r="L126" i="293"/>
  <c r="M125" i="293"/>
  <c r="L125" i="293"/>
  <c r="M122" i="293"/>
  <c r="L122" i="293"/>
  <c r="K122" i="293"/>
  <c r="J122" i="293"/>
  <c r="I122" i="293"/>
  <c r="H122" i="293"/>
  <c r="G122" i="293"/>
  <c r="F122" i="293"/>
  <c r="E122" i="293"/>
  <c r="M121" i="293"/>
  <c r="L121" i="293"/>
  <c r="M120" i="293"/>
  <c r="M119" i="293"/>
  <c r="L119" i="293"/>
  <c r="M118" i="293"/>
  <c r="L118" i="293"/>
  <c r="M117" i="293"/>
  <c r="L117" i="293"/>
  <c r="M116" i="293"/>
  <c r="L116" i="293"/>
  <c r="M115" i="293"/>
  <c r="L115" i="293"/>
  <c r="M112" i="293"/>
  <c r="L112" i="293"/>
  <c r="K112" i="293"/>
  <c r="J112" i="293"/>
  <c r="I112" i="293"/>
  <c r="H112" i="293"/>
  <c r="G112" i="293"/>
  <c r="E112" i="293"/>
  <c r="M111" i="293"/>
  <c r="L111" i="293"/>
  <c r="M108" i="293"/>
  <c r="L108" i="293"/>
  <c r="K108" i="293"/>
  <c r="J108" i="293"/>
  <c r="I108" i="293"/>
  <c r="H108" i="293"/>
  <c r="G108" i="293"/>
  <c r="E108" i="293"/>
  <c r="M107" i="293"/>
  <c r="L107" i="293"/>
  <c r="M106" i="293"/>
  <c r="M103" i="293"/>
  <c r="L103" i="293"/>
  <c r="K103" i="293"/>
  <c r="J103" i="293"/>
  <c r="H103" i="293"/>
  <c r="G103" i="293"/>
  <c r="E103" i="293"/>
  <c r="M102" i="293"/>
  <c r="L102" i="293"/>
  <c r="M99" i="293"/>
  <c r="L99" i="293"/>
  <c r="K99" i="293"/>
  <c r="J99" i="293"/>
  <c r="I99" i="293"/>
  <c r="H99" i="293"/>
  <c r="G99" i="293"/>
  <c r="E99" i="293"/>
  <c r="M98" i="293"/>
  <c r="M97" i="293"/>
  <c r="L97" i="293"/>
  <c r="M96" i="293"/>
  <c r="L96" i="293"/>
  <c r="M93" i="293"/>
  <c r="L93" i="293"/>
  <c r="K93" i="293"/>
  <c r="J93" i="293"/>
  <c r="I93" i="293"/>
  <c r="H93" i="293"/>
  <c r="G93" i="293"/>
  <c r="F93" i="293"/>
  <c r="E93" i="293"/>
  <c r="M92" i="293"/>
  <c r="L92" i="293"/>
  <c r="M91" i="293"/>
  <c r="L91" i="293"/>
  <c r="M88" i="293"/>
  <c r="L88" i="293"/>
  <c r="K88" i="293"/>
  <c r="J88" i="293"/>
  <c r="I88" i="293"/>
  <c r="H88" i="293"/>
  <c r="G88" i="293"/>
  <c r="E88" i="293"/>
  <c r="M87" i="293"/>
  <c r="L87" i="293"/>
  <c r="M86" i="293"/>
  <c r="L86" i="293"/>
  <c r="M85" i="293"/>
  <c r="L85" i="293"/>
  <c r="M84" i="293"/>
  <c r="L84" i="293"/>
  <c r="M83" i="293"/>
  <c r="L83" i="293"/>
  <c r="M82" i="293"/>
  <c r="L82" i="293"/>
  <c r="M81" i="293"/>
  <c r="L81" i="293"/>
  <c r="M80" i="293"/>
  <c r="L80" i="293"/>
  <c r="M79" i="293"/>
  <c r="L79" i="293"/>
  <c r="M78" i="293"/>
  <c r="L78" i="293"/>
  <c r="M77" i="293"/>
  <c r="L77" i="293"/>
  <c r="M76" i="293"/>
  <c r="L76" i="293"/>
  <c r="M73" i="293"/>
  <c r="L73" i="293"/>
  <c r="K73" i="293"/>
  <c r="J73" i="293"/>
  <c r="I73" i="293"/>
  <c r="H73" i="293"/>
  <c r="G73" i="293"/>
  <c r="F73" i="293"/>
  <c r="E73" i="293"/>
  <c r="M72" i="293"/>
  <c r="L72" i="293"/>
  <c r="M71" i="293"/>
  <c r="L71" i="293"/>
  <c r="M70" i="293"/>
  <c r="L70" i="293"/>
  <c r="M69" i="293"/>
  <c r="L69" i="293"/>
  <c r="M68" i="293"/>
  <c r="L68" i="293"/>
  <c r="M67" i="293"/>
  <c r="L67" i="293"/>
  <c r="M66" i="293"/>
  <c r="L66" i="293"/>
  <c r="M65" i="293"/>
  <c r="L65" i="293"/>
  <c r="M64" i="293"/>
  <c r="L64" i="293"/>
  <c r="M63" i="293"/>
  <c r="L63" i="293"/>
  <c r="M62" i="293"/>
  <c r="L62" i="293"/>
  <c r="M61" i="293"/>
  <c r="L61" i="293"/>
  <c r="M58" i="293"/>
  <c r="L58" i="293"/>
  <c r="K58" i="293"/>
  <c r="J58" i="293"/>
  <c r="I58" i="293"/>
  <c r="H58" i="293"/>
  <c r="G58" i="293"/>
  <c r="F58" i="293"/>
  <c r="E58" i="293"/>
  <c r="M57" i="293"/>
  <c r="L57" i="293"/>
  <c r="M56" i="293"/>
  <c r="L56" i="293"/>
  <c r="M55" i="293"/>
  <c r="L55" i="293"/>
  <c r="M52" i="293"/>
  <c r="L52" i="293"/>
  <c r="K52" i="293"/>
  <c r="J52" i="293"/>
  <c r="I52" i="293"/>
  <c r="H52" i="293"/>
  <c r="G52" i="293"/>
  <c r="F52" i="293"/>
  <c r="E52" i="293"/>
  <c r="M51" i="293"/>
  <c r="L51" i="293"/>
  <c r="M48" i="293"/>
  <c r="L48" i="293"/>
  <c r="K48" i="293"/>
  <c r="J48" i="293"/>
  <c r="I48" i="293"/>
  <c r="H48" i="293"/>
  <c r="G48" i="293"/>
  <c r="F48" i="293"/>
  <c r="E48" i="293"/>
  <c r="M47" i="293"/>
  <c r="L47" i="293"/>
  <c r="M46" i="293"/>
  <c r="L46" i="293"/>
  <c r="M43" i="293"/>
  <c r="L43" i="293"/>
  <c r="K43" i="293"/>
  <c r="J43" i="293"/>
  <c r="I43" i="293"/>
  <c r="H43" i="293"/>
  <c r="F43" i="293"/>
  <c r="E43" i="293"/>
  <c r="M42" i="293"/>
  <c r="L42" i="293"/>
  <c r="M39" i="293"/>
  <c r="L39" i="293"/>
  <c r="K39" i="293"/>
  <c r="J39" i="293"/>
  <c r="I39" i="293"/>
  <c r="H39" i="293"/>
  <c r="G39" i="293"/>
  <c r="E39" i="293"/>
  <c r="M38" i="293"/>
  <c r="L38" i="293"/>
  <c r="M37" i="293"/>
  <c r="L37" i="293"/>
  <c r="M36" i="293"/>
  <c r="L36" i="293"/>
  <c r="M35" i="293"/>
  <c r="L35" i="293"/>
  <c r="M34" i="293"/>
  <c r="L34" i="293"/>
  <c r="M33" i="293"/>
  <c r="L33" i="293"/>
  <c r="M32" i="293"/>
  <c r="L32" i="293"/>
  <c r="M29" i="293"/>
  <c r="L29" i="293"/>
  <c r="K29" i="293"/>
  <c r="J29" i="293"/>
  <c r="I29" i="293"/>
  <c r="H29" i="293"/>
  <c r="G29" i="293"/>
  <c r="F29" i="293"/>
  <c r="E29" i="293"/>
  <c r="M28" i="293"/>
  <c r="L28" i="293"/>
  <c r="M25" i="293"/>
  <c r="L25" i="293"/>
  <c r="K25" i="293"/>
  <c r="J25" i="293"/>
  <c r="I25" i="293"/>
  <c r="H25" i="293"/>
  <c r="G25" i="293"/>
  <c r="E25" i="293"/>
  <c r="M24" i="293"/>
  <c r="L24" i="293"/>
  <c r="M23" i="293"/>
  <c r="L23" i="293"/>
  <c r="M22" i="293"/>
  <c r="L22" i="293"/>
  <c r="M19" i="293"/>
  <c r="L19" i="293"/>
  <c r="K19" i="293"/>
  <c r="J19" i="293"/>
  <c r="I19" i="293"/>
  <c r="H19" i="293"/>
  <c r="G19" i="293"/>
  <c r="F19" i="293"/>
  <c r="E19" i="293"/>
  <c r="M18" i="293"/>
  <c r="L18" i="293"/>
  <c r="M17" i="293"/>
  <c r="M16" i="293"/>
  <c r="L16" i="293"/>
  <c r="M15" i="293"/>
  <c r="L15" i="293"/>
  <c r="M18" i="290"/>
  <c r="L18" i="290"/>
  <c r="K18" i="290"/>
  <c r="J18" i="290"/>
  <c r="I18" i="290"/>
  <c r="H18" i="290"/>
  <c r="G18" i="290"/>
  <c r="F18" i="290"/>
  <c r="E18" i="290"/>
  <c r="M16" i="290"/>
  <c r="L16" i="290"/>
  <c r="K16" i="290"/>
  <c r="J16" i="290"/>
  <c r="I16" i="290"/>
  <c r="H16" i="290"/>
  <c r="G16" i="290"/>
  <c r="F16" i="290"/>
  <c r="E16" i="290"/>
  <c r="M15" i="290"/>
  <c r="L15" i="290"/>
  <c r="M29" i="288"/>
  <c r="L29" i="288"/>
  <c r="J29" i="288"/>
  <c r="I29" i="288"/>
  <c r="H29" i="288"/>
  <c r="G29" i="288"/>
  <c r="E29" i="288"/>
  <c r="L23" i="288"/>
  <c r="M22" i="288"/>
  <c r="L22" i="288"/>
  <c r="M19" i="288"/>
  <c r="L19" i="288"/>
  <c r="K19" i="288"/>
  <c r="J19" i="288"/>
  <c r="I19" i="288"/>
  <c r="H19" i="288"/>
  <c r="G19" i="288"/>
  <c r="F19" i="288"/>
  <c r="E19" i="288"/>
  <c r="M18" i="288"/>
  <c r="L18" i="288"/>
  <c r="M15" i="288"/>
  <c r="L15" i="288"/>
  <c r="K15" i="288"/>
  <c r="J15" i="288"/>
  <c r="I15" i="288"/>
  <c r="H15" i="288"/>
  <c r="G15" i="288"/>
  <c r="F15" i="288"/>
  <c r="E15" i="288"/>
  <c r="M14" i="288"/>
  <c r="L14" i="288"/>
  <c r="N22" i="289"/>
  <c r="M22" i="289"/>
  <c r="L22" i="289"/>
  <c r="K22" i="289"/>
  <c r="J22" i="289"/>
  <c r="I22" i="289"/>
  <c r="H22" i="289"/>
  <c r="F22" i="289"/>
  <c r="N16" i="289"/>
  <c r="M16" i="289"/>
  <c r="L16" i="289"/>
  <c r="K16" i="289"/>
  <c r="J16" i="289"/>
  <c r="I16" i="289"/>
  <c r="H16" i="289"/>
  <c r="G16" i="289"/>
  <c r="F16" i="289"/>
  <c r="M52" i="287"/>
  <c r="L52" i="287"/>
  <c r="J52" i="287"/>
  <c r="I52" i="287"/>
  <c r="H52" i="287"/>
  <c r="G52" i="287"/>
  <c r="E52" i="287"/>
  <c r="D52" i="287"/>
  <c r="M49" i="287"/>
  <c r="L49" i="287"/>
  <c r="J49" i="287"/>
  <c r="I49" i="287"/>
  <c r="H49" i="287"/>
  <c r="G49" i="287"/>
  <c r="E49" i="287"/>
  <c r="M48" i="287"/>
  <c r="L48" i="287"/>
  <c r="M45" i="287"/>
  <c r="L45" i="287"/>
  <c r="J45" i="287"/>
  <c r="I45" i="287"/>
  <c r="H45" i="287"/>
  <c r="G45" i="287"/>
  <c r="E45" i="287"/>
  <c r="M44" i="287"/>
  <c r="L44" i="287"/>
  <c r="M41" i="287"/>
  <c r="L41" i="287"/>
  <c r="J41" i="287"/>
  <c r="I41" i="287"/>
  <c r="H41" i="287"/>
  <c r="G41" i="287"/>
  <c r="E41" i="287"/>
  <c r="M40" i="287"/>
  <c r="L40" i="287"/>
  <c r="M39" i="287"/>
  <c r="L39" i="287"/>
  <c r="M36" i="287"/>
  <c r="L36" i="287"/>
  <c r="J36" i="287"/>
  <c r="I36" i="287"/>
  <c r="H36" i="287"/>
  <c r="G36" i="287"/>
  <c r="E36" i="287"/>
  <c r="M35" i="287"/>
  <c r="L35" i="287"/>
  <c r="M32" i="287"/>
  <c r="L32" i="287"/>
  <c r="J32" i="287"/>
  <c r="I32" i="287"/>
  <c r="H32" i="287"/>
  <c r="G32" i="287"/>
  <c r="E32" i="287"/>
  <c r="M31" i="287"/>
  <c r="L31" i="287"/>
  <c r="M28" i="287"/>
  <c r="L28" i="287"/>
  <c r="J28" i="287"/>
  <c r="I28" i="287"/>
  <c r="H28" i="287"/>
  <c r="G28" i="287"/>
  <c r="E28" i="287"/>
  <c r="M27" i="287"/>
  <c r="L27" i="287"/>
  <c r="M19" i="287"/>
  <c r="L19" i="287"/>
  <c r="J19" i="287"/>
  <c r="I19" i="287"/>
  <c r="H19" i="287"/>
  <c r="G19" i="287"/>
  <c r="E19" i="287"/>
  <c r="L18" i="287"/>
  <c r="M15" i="287"/>
  <c r="L15" i="287"/>
  <c r="J15" i="287"/>
  <c r="I15" i="287"/>
  <c r="H15" i="287"/>
  <c r="G15" i="287"/>
  <c r="E15" i="287"/>
  <c r="M14" i="287"/>
  <c r="L14" i="287"/>
  <c r="O33" i="286"/>
  <c r="N33" i="286"/>
  <c r="M33" i="286"/>
  <c r="L33" i="286"/>
  <c r="K33" i="286"/>
  <c r="J33" i="286"/>
  <c r="I33" i="286"/>
  <c r="H33" i="286"/>
  <c r="G33" i="286"/>
  <c r="O32" i="286"/>
  <c r="N32" i="286"/>
  <c r="M32" i="286"/>
  <c r="L32" i="286"/>
  <c r="K32" i="286"/>
  <c r="J32" i="286"/>
  <c r="I32" i="286"/>
  <c r="H32" i="286"/>
  <c r="G32" i="286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O133" i="285"/>
  <c r="N133" i="285"/>
  <c r="M133" i="285"/>
  <c r="L133" i="285"/>
  <c r="K133" i="285"/>
  <c r="J133" i="285"/>
  <c r="I133" i="285"/>
  <c r="G133" i="285"/>
  <c r="O131" i="285"/>
  <c r="N131" i="285"/>
  <c r="M131" i="285"/>
  <c r="L131" i="285"/>
  <c r="K131" i="285"/>
  <c r="J131" i="285"/>
  <c r="I131" i="285"/>
  <c r="G131" i="285"/>
  <c r="O130" i="285"/>
  <c r="N130" i="285"/>
  <c r="O129" i="285"/>
  <c r="N129" i="285"/>
  <c r="O128" i="285"/>
  <c r="N128" i="285"/>
  <c r="O127" i="285"/>
  <c r="N127" i="285"/>
  <c r="O126" i="285"/>
  <c r="N126" i="285"/>
  <c r="O125" i="285"/>
  <c r="N125" i="285"/>
  <c r="O123" i="285"/>
  <c r="N123" i="285"/>
  <c r="O122" i="285"/>
  <c r="N122" i="285"/>
  <c r="O121" i="285"/>
  <c r="N121" i="285"/>
  <c r="O120" i="285"/>
  <c r="N120" i="285"/>
  <c r="O119" i="285"/>
  <c r="N119" i="285"/>
  <c r="O118" i="285"/>
  <c r="N118" i="285"/>
  <c r="O117" i="285"/>
  <c r="N117" i="285"/>
  <c r="O116" i="285"/>
  <c r="N116" i="285"/>
  <c r="O115" i="285"/>
  <c r="N115" i="285"/>
  <c r="O114" i="285"/>
  <c r="N114" i="285"/>
  <c r="O113" i="285"/>
  <c r="N113" i="285"/>
  <c r="O112" i="285"/>
  <c r="N112" i="285"/>
  <c r="O111" i="285"/>
  <c r="N111" i="285"/>
  <c r="O110" i="285"/>
  <c r="N110" i="285"/>
  <c r="O109" i="285"/>
  <c r="N109" i="285"/>
  <c r="O108" i="285"/>
  <c r="N108" i="285"/>
  <c r="O107" i="285"/>
  <c r="N107" i="285"/>
  <c r="O106" i="285"/>
  <c r="N106" i="285"/>
  <c r="O105" i="285"/>
  <c r="N105" i="285"/>
  <c r="O104" i="285"/>
  <c r="N104" i="285"/>
  <c r="O103" i="285"/>
  <c r="N103" i="285"/>
  <c r="O102" i="285"/>
  <c r="N102" i="285"/>
  <c r="O101" i="285"/>
  <c r="N101" i="285"/>
  <c r="O100" i="285"/>
  <c r="N100" i="285"/>
  <c r="O99" i="285"/>
  <c r="N99" i="285"/>
  <c r="O98" i="285"/>
  <c r="N98" i="285"/>
  <c r="O97" i="285"/>
  <c r="N97" i="285"/>
  <c r="O94" i="285"/>
  <c r="N94" i="285"/>
  <c r="M94" i="285"/>
  <c r="L94" i="285"/>
  <c r="K94" i="285"/>
  <c r="J94" i="285"/>
  <c r="I94" i="285"/>
  <c r="H94" i="285"/>
  <c r="G94" i="285"/>
  <c r="O93" i="285"/>
  <c r="N93" i="285"/>
  <c r="O90" i="285"/>
  <c r="N90" i="285"/>
  <c r="M90" i="285"/>
  <c r="L90" i="285"/>
  <c r="K90" i="285"/>
  <c r="J90" i="285"/>
  <c r="I90" i="285"/>
  <c r="H90" i="285"/>
  <c r="G90" i="285"/>
  <c r="O89" i="285"/>
  <c r="N89" i="285"/>
  <c r="O88" i="285"/>
  <c r="N88" i="285"/>
  <c r="O87" i="285"/>
  <c r="N87" i="285"/>
  <c r="O86" i="285"/>
  <c r="N86" i="285"/>
  <c r="O85" i="285"/>
  <c r="N85" i="285"/>
  <c r="O84" i="285"/>
  <c r="N84" i="285"/>
  <c r="O82" i="285"/>
  <c r="N82" i="285"/>
  <c r="M82" i="285"/>
  <c r="L82" i="285"/>
  <c r="K82" i="285"/>
  <c r="J82" i="285"/>
  <c r="I82" i="285"/>
  <c r="H82" i="285"/>
  <c r="G82" i="285"/>
  <c r="O81" i="285"/>
  <c r="O74" i="285"/>
  <c r="N74" i="285"/>
  <c r="M74" i="285"/>
  <c r="L74" i="285"/>
  <c r="K74" i="285"/>
  <c r="J74" i="285"/>
  <c r="I74" i="285"/>
  <c r="H74" i="285"/>
  <c r="G74" i="285"/>
  <c r="O73" i="285"/>
  <c r="N73" i="285"/>
  <c r="O72" i="285"/>
  <c r="N72" i="285"/>
  <c r="O69" i="285"/>
  <c r="N69" i="285"/>
  <c r="M69" i="285"/>
  <c r="L69" i="285"/>
  <c r="K69" i="285"/>
  <c r="J69" i="285"/>
  <c r="I69" i="285"/>
  <c r="H69" i="285"/>
  <c r="G69" i="285"/>
  <c r="O68" i="285"/>
  <c r="N68" i="285"/>
  <c r="O65" i="285"/>
  <c r="N65" i="285"/>
  <c r="M65" i="285"/>
  <c r="L65" i="285"/>
  <c r="K65" i="285"/>
  <c r="J65" i="285"/>
  <c r="I65" i="285"/>
  <c r="G65" i="285"/>
  <c r="O64" i="285"/>
  <c r="N64" i="285"/>
  <c r="O63" i="285"/>
  <c r="N63" i="285"/>
  <c r="O62" i="285"/>
  <c r="N62" i="285"/>
  <c r="O59" i="285"/>
  <c r="N59" i="285"/>
  <c r="M59" i="285"/>
  <c r="L59" i="285"/>
  <c r="K59" i="285"/>
  <c r="J59" i="285"/>
  <c r="I59" i="285"/>
  <c r="G59" i="285"/>
  <c r="O57" i="285"/>
  <c r="N57" i="285"/>
  <c r="O56" i="285"/>
  <c r="N56" i="285"/>
  <c r="O55" i="285"/>
  <c r="N55" i="285"/>
  <c r="O54" i="285"/>
  <c r="N54" i="285"/>
  <c r="O53" i="285"/>
  <c r="N53" i="285"/>
  <c r="O52" i="285"/>
  <c r="N52" i="285"/>
  <c r="O51" i="285"/>
  <c r="N51" i="285"/>
  <c r="O48" i="285"/>
  <c r="N48" i="285"/>
  <c r="M48" i="285"/>
  <c r="L48" i="285"/>
  <c r="K48" i="285"/>
  <c r="J48" i="285"/>
  <c r="I48" i="285"/>
  <c r="H48" i="285"/>
  <c r="G48" i="285"/>
  <c r="O47" i="285"/>
  <c r="O46" i="285"/>
  <c r="N46" i="285"/>
  <c r="O43" i="285"/>
  <c r="N43" i="285"/>
  <c r="M43" i="285"/>
  <c r="L43" i="285"/>
  <c r="K43" i="285"/>
  <c r="J43" i="285"/>
  <c r="I43" i="285"/>
  <c r="H43" i="285"/>
  <c r="G43" i="285"/>
  <c r="O42" i="285"/>
  <c r="N42" i="285"/>
  <c r="O39" i="285"/>
  <c r="N39" i="285"/>
  <c r="M39" i="285"/>
  <c r="L39" i="285"/>
  <c r="K39" i="285"/>
  <c r="J39" i="285"/>
  <c r="I39" i="285"/>
  <c r="H39" i="285"/>
  <c r="G39" i="285"/>
  <c r="O38" i="285"/>
  <c r="N38" i="285"/>
  <c r="O37" i="285"/>
  <c r="N37" i="285"/>
  <c r="O30" i="285"/>
  <c r="N30" i="285"/>
  <c r="M30" i="285"/>
  <c r="L30" i="285"/>
  <c r="K30" i="285"/>
  <c r="J30" i="285"/>
  <c r="I30" i="285"/>
  <c r="H30" i="285"/>
  <c r="G30" i="285"/>
  <c r="O29" i="285"/>
  <c r="O28" i="285"/>
  <c r="N28" i="285"/>
  <c r="O25" i="285"/>
  <c r="N25" i="285"/>
  <c r="M25" i="285"/>
  <c r="L25" i="285"/>
  <c r="K25" i="285"/>
  <c r="J25" i="285"/>
  <c r="I25" i="285"/>
  <c r="G25" i="285"/>
  <c r="O24" i="285"/>
  <c r="N24" i="285"/>
  <c r="O20" i="285"/>
  <c r="N20" i="285"/>
  <c r="M20" i="285"/>
  <c r="L20" i="285"/>
  <c r="K20" i="285"/>
  <c r="J20" i="285"/>
  <c r="I20" i="285"/>
  <c r="H20" i="285"/>
  <c r="G20" i="285"/>
  <c r="O19" i="285"/>
  <c r="N19" i="285"/>
  <c r="O16" i="285"/>
  <c r="N16" i="285"/>
  <c r="M16" i="285"/>
  <c r="L16" i="285"/>
  <c r="K16" i="285"/>
  <c r="J16" i="285"/>
  <c r="I16" i="285"/>
  <c r="G16" i="285"/>
  <c r="O15" i="285"/>
  <c r="N15" i="285"/>
  <c r="O14" i="285"/>
  <c r="M223" i="284"/>
  <c r="L223" i="284"/>
  <c r="K223" i="284"/>
  <c r="J223" i="284"/>
  <c r="I223" i="284"/>
  <c r="H223" i="284"/>
  <c r="G223" i="284"/>
  <c r="E223" i="284"/>
  <c r="M221" i="284"/>
  <c r="L221" i="284"/>
  <c r="K221" i="284"/>
  <c r="J221" i="284"/>
  <c r="I221" i="284"/>
  <c r="H221" i="284"/>
  <c r="G221" i="284"/>
  <c r="E221" i="284"/>
  <c r="M220" i="284"/>
  <c r="M219" i="284"/>
  <c r="M218" i="284"/>
  <c r="M217" i="284"/>
  <c r="M216" i="284"/>
  <c r="L216" i="284"/>
  <c r="M215" i="284"/>
  <c r="L215" i="284"/>
  <c r="M214" i="284"/>
  <c r="L214" i="284"/>
  <c r="M213" i="284"/>
  <c r="L213" i="284"/>
  <c r="M212" i="284"/>
  <c r="L212" i="284"/>
  <c r="M211" i="284"/>
  <c r="L211" i="284"/>
  <c r="M210" i="284"/>
  <c r="L210" i="284"/>
  <c r="M209" i="284"/>
  <c r="L209" i="284"/>
  <c r="M208" i="284"/>
  <c r="L208" i="284"/>
  <c r="M207" i="284"/>
  <c r="L207" i="284"/>
  <c r="M206" i="284"/>
  <c r="L206" i="284"/>
  <c r="M205" i="284"/>
  <c r="L205" i="284"/>
  <c r="M204" i="284"/>
  <c r="L204" i="284"/>
  <c r="M203" i="284"/>
  <c r="L203" i="284"/>
  <c r="M202" i="284"/>
  <c r="L202" i="284"/>
  <c r="M201" i="284"/>
  <c r="L201" i="284"/>
  <c r="M200" i="284"/>
  <c r="L200" i="284"/>
  <c r="M199" i="284"/>
  <c r="L199" i="284"/>
  <c r="M198" i="284"/>
  <c r="L198" i="284"/>
  <c r="M197" i="284"/>
  <c r="M196" i="284"/>
  <c r="L196" i="284"/>
  <c r="M195" i="284"/>
  <c r="L195" i="284"/>
  <c r="M194" i="284"/>
  <c r="L194" i="284"/>
  <c r="M193" i="284"/>
  <c r="L193" i="284"/>
  <c r="M192" i="284"/>
  <c r="L192" i="284"/>
  <c r="M191" i="284"/>
  <c r="L191" i="284"/>
  <c r="M190" i="284"/>
  <c r="L190" i="284"/>
  <c r="M189" i="284"/>
  <c r="M188" i="284"/>
  <c r="L188" i="284"/>
  <c r="M187" i="284"/>
  <c r="L187" i="284"/>
  <c r="M186" i="284"/>
  <c r="L186" i="284"/>
  <c r="M185" i="284"/>
  <c r="L185" i="284"/>
  <c r="M184" i="284"/>
  <c r="L184" i="284"/>
  <c r="M183" i="284"/>
  <c r="L183" i="284"/>
  <c r="M180" i="284"/>
  <c r="L180" i="284"/>
  <c r="K180" i="284"/>
  <c r="J180" i="284"/>
  <c r="I180" i="284"/>
  <c r="H180" i="284"/>
  <c r="G180" i="284"/>
  <c r="E180" i="284"/>
  <c r="M179" i="284"/>
  <c r="L179" i="284"/>
  <c r="M178" i="284"/>
  <c r="L178" i="284"/>
  <c r="M177" i="284"/>
  <c r="L177" i="284"/>
  <c r="M176" i="284"/>
  <c r="L176" i="284"/>
  <c r="M175" i="284"/>
  <c r="L175" i="284"/>
  <c r="M174" i="284"/>
  <c r="L174" i="284"/>
  <c r="M173" i="284"/>
  <c r="L173" i="284"/>
  <c r="M172" i="284"/>
  <c r="L172" i="284"/>
  <c r="M171" i="284"/>
  <c r="L171" i="284"/>
  <c r="M170" i="284"/>
  <c r="L170" i="284"/>
  <c r="M169" i="284"/>
  <c r="L169" i="284"/>
  <c r="M166" i="284"/>
  <c r="L166" i="284"/>
  <c r="K166" i="284"/>
  <c r="J166" i="284"/>
  <c r="I166" i="284"/>
  <c r="H166" i="284"/>
  <c r="G166" i="284"/>
  <c r="F166" i="284"/>
  <c r="E166" i="284"/>
  <c r="M165" i="284"/>
  <c r="L165" i="284"/>
  <c r="M164" i="284"/>
  <c r="L164" i="284"/>
  <c r="M161" i="284"/>
  <c r="L161" i="284"/>
  <c r="K161" i="284"/>
  <c r="J161" i="284"/>
  <c r="I161" i="284"/>
  <c r="H161" i="284"/>
  <c r="G161" i="284"/>
  <c r="E161" i="284"/>
  <c r="M160" i="284"/>
  <c r="L160" i="284"/>
  <c r="M159" i="284"/>
  <c r="L159" i="284"/>
  <c r="M156" i="284"/>
  <c r="L156" i="284"/>
  <c r="K156" i="284"/>
  <c r="J156" i="284"/>
  <c r="I156" i="284"/>
  <c r="H156" i="284"/>
  <c r="G156" i="284"/>
  <c r="F156" i="284"/>
  <c r="E156" i="284"/>
  <c r="M155" i="284"/>
  <c r="L155" i="284"/>
  <c r="M154" i="284"/>
  <c r="L154" i="284"/>
  <c r="M153" i="284"/>
  <c r="L153" i="284"/>
  <c r="M152" i="284"/>
  <c r="L152" i="284"/>
  <c r="L149" i="284"/>
  <c r="K149" i="284"/>
  <c r="J149" i="284"/>
  <c r="I149" i="284"/>
  <c r="H149" i="284"/>
  <c r="G149" i="284"/>
  <c r="F149" i="284"/>
  <c r="E149" i="284"/>
  <c r="M148" i="284"/>
  <c r="L148" i="284"/>
  <c r="M145" i="284"/>
  <c r="L145" i="284"/>
  <c r="K145" i="284"/>
  <c r="J145" i="284"/>
  <c r="I145" i="284"/>
  <c r="H145" i="284"/>
  <c r="G145" i="284"/>
  <c r="F145" i="284"/>
  <c r="E145" i="284"/>
  <c r="M144" i="284"/>
  <c r="L144" i="284"/>
  <c r="M141" i="284"/>
  <c r="L141" i="284"/>
  <c r="K141" i="284"/>
  <c r="J141" i="284"/>
  <c r="I141" i="284"/>
  <c r="H141" i="284"/>
  <c r="G141" i="284"/>
  <c r="F141" i="284"/>
  <c r="E141" i="284"/>
  <c r="M140" i="284"/>
  <c r="L140" i="284"/>
  <c r="M139" i="284"/>
  <c r="L139" i="284"/>
  <c r="M138" i="284"/>
  <c r="L138" i="284"/>
  <c r="M135" i="284"/>
  <c r="L135" i="284"/>
  <c r="K135" i="284"/>
  <c r="J135" i="284"/>
  <c r="I135" i="284"/>
  <c r="H135" i="284"/>
  <c r="G135" i="284"/>
  <c r="F135" i="284"/>
  <c r="E135" i="284"/>
  <c r="M134" i="284"/>
  <c r="L134" i="284"/>
  <c r="M133" i="284"/>
  <c r="L133" i="284"/>
  <c r="M132" i="284"/>
  <c r="L132" i="284"/>
  <c r="M131" i="284"/>
  <c r="M130" i="284"/>
  <c r="L130" i="284"/>
  <c r="M127" i="284"/>
  <c r="L127" i="284"/>
  <c r="K127" i="284"/>
  <c r="J127" i="284"/>
  <c r="I127" i="284"/>
  <c r="H127" i="284"/>
  <c r="G127" i="284"/>
  <c r="F127" i="284"/>
  <c r="E127" i="284"/>
  <c r="M126" i="284"/>
  <c r="L126" i="284"/>
  <c r="M125" i="284"/>
  <c r="L125" i="284"/>
  <c r="M122" i="284"/>
  <c r="L122" i="284"/>
  <c r="K122" i="284"/>
  <c r="J122" i="284"/>
  <c r="I122" i="284"/>
  <c r="H122" i="284"/>
  <c r="G122" i="284"/>
  <c r="F122" i="284"/>
  <c r="E122" i="284"/>
  <c r="M121" i="284"/>
  <c r="L121" i="284"/>
  <c r="M120" i="284"/>
  <c r="M119" i="284"/>
  <c r="L119" i="284"/>
  <c r="M118" i="284"/>
  <c r="L118" i="284"/>
  <c r="M117" i="284"/>
  <c r="L117" i="284"/>
  <c r="M116" i="284"/>
  <c r="L116" i="284"/>
  <c r="M115" i="284"/>
  <c r="L115" i="284"/>
  <c r="M112" i="284"/>
  <c r="L112" i="284"/>
  <c r="K112" i="284"/>
  <c r="J112" i="284"/>
  <c r="I112" i="284"/>
  <c r="H112" i="284"/>
  <c r="G112" i="284"/>
  <c r="E112" i="284"/>
  <c r="M111" i="284"/>
  <c r="L111" i="284"/>
  <c r="M108" i="284"/>
  <c r="L108" i="284"/>
  <c r="K108" i="284"/>
  <c r="J108" i="284"/>
  <c r="I108" i="284"/>
  <c r="H108" i="284"/>
  <c r="G108" i="284"/>
  <c r="E108" i="284"/>
  <c r="M107" i="284"/>
  <c r="L107" i="284"/>
  <c r="M106" i="284"/>
  <c r="M103" i="284"/>
  <c r="L103" i="284"/>
  <c r="K103" i="284"/>
  <c r="J103" i="284"/>
  <c r="H103" i="284"/>
  <c r="G103" i="284"/>
  <c r="E103" i="284"/>
  <c r="M102" i="284"/>
  <c r="L102" i="284"/>
  <c r="M99" i="284"/>
  <c r="L99" i="284"/>
  <c r="K99" i="284"/>
  <c r="J99" i="284"/>
  <c r="I99" i="284"/>
  <c r="H99" i="284"/>
  <c r="G99" i="284"/>
  <c r="F99" i="284"/>
  <c r="E99" i="284"/>
  <c r="M98" i="284"/>
  <c r="L98" i="284"/>
  <c r="M97" i="284"/>
  <c r="L97" i="284"/>
  <c r="M94" i="284"/>
  <c r="L94" i="284"/>
  <c r="K94" i="284"/>
  <c r="J94" i="284"/>
  <c r="I94" i="284"/>
  <c r="H94" i="284"/>
  <c r="G94" i="284"/>
  <c r="F94" i="284"/>
  <c r="E94" i="284"/>
  <c r="M93" i="284"/>
  <c r="L93" i="284"/>
  <c r="M92" i="284"/>
  <c r="L92" i="284"/>
  <c r="M89" i="284"/>
  <c r="L89" i="284"/>
  <c r="K89" i="284"/>
  <c r="J89" i="284"/>
  <c r="I89" i="284"/>
  <c r="H89" i="284"/>
  <c r="G89" i="284"/>
  <c r="E89" i="284"/>
  <c r="M88" i="284"/>
  <c r="L88" i="284"/>
  <c r="M87" i="284"/>
  <c r="L87" i="284"/>
  <c r="M86" i="284"/>
  <c r="L86" i="284"/>
  <c r="M85" i="284"/>
  <c r="L85" i="284"/>
  <c r="M84" i="284"/>
  <c r="L84" i="284"/>
  <c r="M83" i="284"/>
  <c r="L83" i="284"/>
  <c r="M82" i="284"/>
  <c r="L82" i="284"/>
  <c r="M81" i="284"/>
  <c r="L81" i="284"/>
  <c r="M80" i="284"/>
  <c r="L80" i="284"/>
  <c r="M79" i="284"/>
  <c r="L79" i="284"/>
  <c r="M78" i="284"/>
  <c r="L78" i="284"/>
  <c r="M77" i="284"/>
  <c r="L77" i="284"/>
  <c r="M74" i="284"/>
  <c r="L74" i="284"/>
  <c r="K74" i="284"/>
  <c r="J74" i="284"/>
  <c r="I74" i="284"/>
  <c r="H74" i="284"/>
  <c r="G74" i="284"/>
  <c r="F74" i="284"/>
  <c r="E74" i="284"/>
  <c r="M73" i="284"/>
  <c r="L73" i="284"/>
  <c r="M72" i="284"/>
  <c r="L72" i="284"/>
  <c r="M71" i="284"/>
  <c r="L71" i="284"/>
  <c r="M70" i="284"/>
  <c r="L70" i="284"/>
  <c r="M69" i="284"/>
  <c r="L69" i="284"/>
  <c r="M68" i="284"/>
  <c r="L68" i="284"/>
  <c r="M67" i="284"/>
  <c r="L67" i="284"/>
  <c r="M66" i="284"/>
  <c r="L66" i="284"/>
  <c r="M65" i="284"/>
  <c r="L65" i="284"/>
  <c r="M64" i="284"/>
  <c r="L64" i="284"/>
  <c r="M63" i="284"/>
  <c r="L63" i="284"/>
  <c r="M60" i="284"/>
  <c r="L60" i="284"/>
  <c r="K60" i="284"/>
  <c r="J60" i="284"/>
  <c r="I60" i="284"/>
  <c r="H60" i="284"/>
  <c r="G60" i="284"/>
  <c r="F60" i="284"/>
  <c r="E60" i="284"/>
  <c r="M59" i="284"/>
  <c r="L59" i="284"/>
  <c r="M58" i="284"/>
  <c r="L58" i="284"/>
  <c r="M57" i="284"/>
  <c r="L57" i="284"/>
  <c r="M54" i="284"/>
  <c r="L54" i="284"/>
  <c r="K54" i="284"/>
  <c r="J54" i="284"/>
  <c r="I54" i="284"/>
  <c r="H54" i="284"/>
  <c r="G54" i="284"/>
  <c r="F54" i="284"/>
  <c r="E54" i="284"/>
  <c r="M53" i="284"/>
  <c r="L53" i="284"/>
  <c r="M50" i="284"/>
  <c r="L50" i="284"/>
  <c r="K50" i="284"/>
  <c r="J50" i="284"/>
  <c r="I50" i="284"/>
  <c r="H50" i="284"/>
  <c r="G50" i="284"/>
  <c r="F50" i="284"/>
  <c r="E50" i="284"/>
  <c r="M49" i="284"/>
  <c r="L49" i="284"/>
  <c r="M48" i="284"/>
  <c r="L48" i="284"/>
  <c r="M45" i="284"/>
  <c r="L45" i="284"/>
  <c r="K45" i="284"/>
  <c r="J45" i="284"/>
  <c r="I45" i="284"/>
  <c r="H45" i="284"/>
  <c r="F45" i="284"/>
  <c r="E45" i="284"/>
  <c r="M44" i="284"/>
  <c r="L44" i="284"/>
  <c r="M41" i="284"/>
  <c r="L41" i="284"/>
  <c r="K41" i="284"/>
  <c r="J41" i="284"/>
  <c r="I41" i="284"/>
  <c r="H41" i="284"/>
  <c r="G41" i="284"/>
  <c r="E41" i="284"/>
  <c r="M40" i="284"/>
  <c r="L40" i="284"/>
  <c r="M39" i="284"/>
  <c r="L39" i="284"/>
  <c r="M38" i="284"/>
  <c r="L38" i="284"/>
  <c r="M37" i="284"/>
  <c r="L37" i="284"/>
  <c r="M36" i="284"/>
  <c r="L36" i="284"/>
  <c r="M35" i="284"/>
  <c r="M34" i="284"/>
  <c r="L34" i="284"/>
  <c r="M33" i="284"/>
  <c r="L33" i="284"/>
  <c r="M32" i="284"/>
  <c r="L32" i="284"/>
  <c r="M29" i="284"/>
  <c r="L29" i="284"/>
  <c r="K29" i="284"/>
  <c r="J29" i="284"/>
  <c r="I29" i="284"/>
  <c r="H29" i="284"/>
  <c r="G29" i="284"/>
  <c r="F29" i="284"/>
  <c r="E29" i="284"/>
  <c r="M28" i="284"/>
  <c r="L28" i="284"/>
  <c r="M25" i="284"/>
  <c r="L25" i="284"/>
  <c r="K25" i="284"/>
  <c r="J25" i="284"/>
  <c r="I25" i="284"/>
  <c r="H25" i="284"/>
  <c r="G25" i="284"/>
  <c r="E25" i="284"/>
  <c r="M24" i="284"/>
  <c r="L24" i="284"/>
  <c r="M23" i="284"/>
  <c r="L23" i="284"/>
  <c r="M22" i="284"/>
  <c r="L22" i="284"/>
  <c r="M19" i="284"/>
  <c r="L19" i="284"/>
  <c r="K19" i="284"/>
  <c r="J19" i="284"/>
  <c r="I19" i="284"/>
  <c r="H19" i="284"/>
  <c r="G19" i="284"/>
  <c r="F19" i="284"/>
  <c r="E19" i="284"/>
  <c r="M18" i="284"/>
  <c r="L18" i="284"/>
  <c r="M17" i="284"/>
  <c r="M16" i="284"/>
  <c r="L16" i="284"/>
  <c r="M15" i="284"/>
  <c r="L15" i="284"/>
  <c r="M18" i="282"/>
  <c r="L18" i="282"/>
  <c r="K18" i="282"/>
  <c r="J18" i="282"/>
  <c r="I18" i="282"/>
  <c r="H18" i="282"/>
  <c r="G18" i="282"/>
  <c r="F18" i="282"/>
  <c r="E18" i="282"/>
  <c r="M16" i="282"/>
  <c r="L16" i="282"/>
  <c r="K16" i="282"/>
  <c r="J16" i="282"/>
  <c r="I16" i="282"/>
  <c r="H16" i="282"/>
  <c r="G16" i="282"/>
  <c r="F16" i="282"/>
  <c r="E16" i="282"/>
  <c r="M15" i="282"/>
  <c r="L15" i="282"/>
  <c r="G18" i="281"/>
  <c r="N16" i="281"/>
  <c r="M16" i="281"/>
  <c r="L16" i="281"/>
  <c r="K16" i="281"/>
  <c r="J16" i="281"/>
  <c r="I16" i="281"/>
  <c r="H16" i="281"/>
  <c r="G16" i="281"/>
  <c r="F16" i="281"/>
  <c r="M25" i="283"/>
  <c r="L25" i="283"/>
  <c r="K25" i="283"/>
  <c r="J25" i="283"/>
  <c r="I25" i="283"/>
  <c r="H25" i="283"/>
  <c r="G25" i="283"/>
  <c r="F25" i="283"/>
  <c r="E25" i="283"/>
  <c r="D25" i="283"/>
  <c r="L23" i="283"/>
  <c r="M22" i="283"/>
  <c r="L22" i="283"/>
  <c r="M19" i="283"/>
  <c r="L19" i="283"/>
  <c r="K19" i="283"/>
  <c r="J19" i="283"/>
  <c r="I19" i="283"/>
  <c r="H19" i="283"/>
  <c r="G19" i="283"/>
  <c r="F19" i="283"/>
  <c r="E19" i="283"/>
  <c r="M18" i="283"/>
  <c r="L18" i="283"/>
  <c r="M15" i="283"/>
  <c r="L15" i="283"/>
  <c r="K15" i="283"/>
  <c r="J15" i="283"/>
  <c r="I15" i="283"/>
  <c r="H15" i="283"/>
  <c r="G15" i="283"/>
  <c r="F15" i="283"/>
  <c r="E15" i="283"/>
  <c r="M14" i="283"/>
  <c r="L14" i="283"/>
  <c r="M55" i="280"/>
  <c r="L55" i="280"/>
  <c r="J55" i="280"/>
  <c r="I55" i="280"/>
  <c r="H55" i="280"/>
  <c r="G55" i="280"/>
  <c r="E55" i="280"/>
  <c r="D55" i="280"/>
  <c r="M52" i="280"/>
  <c r="L52" i="280"/>
  <c r="J52" i="280"/>
  <c r="I52" i="280"/>
  <c r="H52" i="280"/>
  <c r="G52" i="280"/>
  <c r="E52" i="280"/>
  <c r="M51" i="280"/>
  <c r="L51" i="280"/>
  <c r="M48" i="280"/>
  <c r="L48" i="280"/>
  <c r="J48" i="280"/>
  <c r="I48" i="280"/>
  <c r="H48" i="280"/>
  <c r="G48" i="280"/>
  <c r="E48" i="280"/>
  <c r="M47" i="280"/>
  <c r="L47" i="280"/>
  <c r="M44" i="280"/>
  <c r="L44" i="280"/>
  <c r="J44" i="280"/>
  <c r="I44" i="280"/>
  <c r="H44" i="280"/>
  <c r="G44" i="280"/>
  <c r="E44" i="280"/>
  <c r="M43" i="280"/>
  <c r="L43" i="280"/>
  <c r="M42" i="280"/>
  <c r="L42" i="280"/>
  <c r="M39" i="280"/>
  <c r="L39" i="280"/>
  <c r="J39" i="280"/>
  <c r="I39" i="280"/>
  <c r="H39" i="280"/>
  <c r="G39" i="280"/>
  <c r="E39" i="280"/>
  <c r="M38" i="280"/>
  <c r="L38" i="280"/>
  <c r="M35" i="280"/>
  <c r="L35" i="280"/>
  <c r="J35" i="280"/>
  <c r="I35" i="280"/>
  <c r="H35" i="280"/>
  <c r="G35" i="280"/>
  <c r="E35" i="280"/>
  <c r="M34" i="280"/>
  <c r="L34" i="280"/>
  <c r="M31" i="280"/>
  <c r="L31" i="280"/>
  <c r="J31" i="280"/>
  <c r="I31" i="280"/>
  <c r="H31" i="280"/>
  <c r="G31" i="280"/>
  <c r="E31" i="280"/>
  <c r="M30" i="280"/>
  <c r="L30" i="280"/>
  <c r="M23" i="280"/>
  <c r="L23" i="280"/>
  <c r="J23" i="280"/>
  <c r="I23" i="280"/>
  <c r="H23" i="280"/>
  <c r="G23" i="280"/>
  <c r="E23" i="280"/>
  <c r="M22" i="280"/>
  <c r="L22" i="280"/>
  <c r="M19" i="280"/>
  <c r="L19" i="280"/>
  <c r="J19" i="280"/>
  <c r="I19" i="280"/>
  <c r="H19" i="280"/>
  <c r="G19" i="280"/>
  <c r="E19" i="280"/>
  <c r="L18" i="280"/>
  <c r="M15" i="280"/>
  <c r="L15" i="280"/>
  <c r="J15" i="280"/>
  <c r="I15" i="280"/>
  <c r="H15" i="280"/>
  <c r="G15" i="280"/>
  <c r="E15" i="280"/>
  <c r="M14" i="280"/>
  <c r="L14" i="280"/>
  <c r="O33" i="279"/>
  <c r="N33" i="279"/>
  <c r="M33" i="279"/>
  <c r="L33" i="279"/>
  <c r="K33" i="279"/>
  <c r="J33" i="279"/>
  <c r="I33" i="279"/>
  <c r="H33" i="279"/>
  <c r="G33" i="279"/>
  <c r="O32" i="279"/>
  <c r="N32" i="279"/>
  <c r="M32" i="279"/>
  <c r="L32" i="279"/>
  <c r="K32" i="279"/>
  <c r="J32" i="279"/>
  <c r="I32" i="279"/>
  <c r="H32" i="279"/>
  <c r="G32" i="279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O129" i="278"/>
  <c r="N129" i="278"/>
  <c r="M129" i="278"/>
  <c r="L129" i="278"/>
  <c r="K129" i="278"/>
  <c r="J129" i="278"/>
  <c r="I129" i="278"/>
  <c r="G129" i="278"/>
  <c r="C129" i="278"/>
  <c r="O127" i="278"/>
  <c r="N127" i="278"/>
  <c r="M127" i="278"/>
  <c r="L127" i="278"/>
  <c r="K127" i="278"/>
  <c r="J127" i="278"/>
  <c r="I127" i="278"/>
  <c r="G127" i="278"/>
  <c r="O126" i="278"/>
  <c r="N126" i="278"/>
  <c r="O125" i="278"/>
  <c r="N125" i="278"/>
  <c r="O124" i="278"/>
  <c r="N124" i="278"/>
  <c r="O123" i="278"/>
  <c r="N123" i="278"/>
  <c r="O122" i="278"/>
  <c r="N122" i="278"/>
  <c r="O121" i="278"/>
  <c r="N121" i="278"/>
  <c r="O119" i="278"/>
  <c r="N119" i="278"/>
  <c r="O118" i="278"/>
  <c r="N118" i="278"/>
  <c r="O117" i="278"/>
  <c r="N117" i="278"/>
  <c r="O116" i="278"/>
  <c r="N116" i="278"/>
  <c r="O115" i="278"/>
  <c r="N115" i="278"/>
  <c r="O114" i="278"/>
  <c r="N114" i="278"/>
  <c r="O113" i="278"/>
  <c r="N113" i="278"/>
  <c r="O112" i="278"/>
  <c r="N112" i="278"/>
  <c r="O111" i="278"/>
  <c r="N111" i="278"/>
  <c r="O110" i="278"/>
  <c r="N110" i="278"/>
  <c r="O109" i="278"/>
  <c r="N109" i="278"/>
  <c r="O108" i="278"/>
  <c r="N108" i="278"/>
  <c r="O107" i="278"/>
  <c r="N107" i="278"/>
  <c r="O106" i="278"/>
  <c r="N106" i="278"/>
  <c r="O105" i="278"/>
  <c r="N105" i="278"/>
  <c r="O104" i="278"/>
  <c r="N104" i="278"/>
  <c r="O103" i="278"/>
  <c r="N103" i="278"/>
  <c r="O102" i="278"/>
  <c r="N102" i="278"/>
  <c r="O101" i="278"/>
  <c r="N101" i="278"/>
  <c r="O100" i="278"/>
  <c r="N100" i="278"/>
  <c r="O99" i="278"/>
  <c r="N99" i="278"/>
  <c r="O98" i="278"/>
  <c r="N98" i="278"/>
  <c r="O97" i="278"/>
  <c r="N97" i="278"/>
  <c r="O96" i="278"/>
  <c r="N96" i="278"/>
  <c r="O95" i="278"/>
  <c r="N95" i="278"/>
  <c r="O94" i="278"/>
  <c r="N94" i="278"/>
  <c r="O93" i="278"/>
  <c r="N93" i="278"/>
  <c r="O90" i="278"/>
  <c r="N90" i="278"/>
  <c r="M90" i="278"/>
  <c r="L90" i="278"/>
  <c r="K90" i="278"/>
  <c r="J90" i="278"/>
  <c r="I90" i="278"/>
  <c r="H90" i="278"/>
  <c r="G90" i="278"/>
  <c r="O89" i="278"/>
  <c r="N89" i="278"/>
  <c r="O86" i="278"/>
  <c r="N86" i="278"/>
  <c r="M86" i="278"/>
  <c r="L86" i="278"/>
  <c r="K86" i="278"/>
  <c r="J86" i="278"/>
  <c r="I86" i="278"/>
  <c r="H86" i="278"/>
  <c r="G86" i="278"/>
  <c r="O85" i="278"/>
  <c r="N85" i="278"/>
  <c r="O84" i="278"/>
  <c r="N84" i="278"/>
  <c r="O83" i="278"/>
  <c r="N83" i="278"/>
  <c r="O82" i="278"/>
  <c r="N82" i="278"/>
  <c r="O81" i="278"/>
  <c r="N81" i="278"/>
  <c r="O80" i="278"/>
  <c r="N80" i="278"/>
  <c r="O78" i="278"/>
  <c r="N78" i="278"/>
  <c r="M78" i="278"/>
  <c r="L78" i="278"/>
  <c r="K78" i="278"/>
  <c r="J78" i="278"/>
  <c r="I78" i="278"/>
  <c r="H78" i="278"/>
  <c r="G78" i="278"/>
  <c r="O77" i="278"/>
  <c r="O70" i="278"/>
  <c r="N70" i="278"/>
  <c r="M70" i="278"/>
  <c r="L70" i="278"/>
  <c r="K70" i="278"/>
  <c r="J70" i="278"/>
  <c r="I70" i="278"/>
  <c r="H70" i="278"/>
  <c r="G70" i="278"/>
  <c r="O69" i="278"/>
  <c r="N69" i="278"/>
  <c r="O68" i="278"/>
  <c r="N68" i="278"/>
  <c r="O65" i="278"/>
  <c r="N65" i="278"/>
  <c r="M65" i="278"/>
  <c r="L65" i="278"/>
  <c r="K65" i="278"/>
  <c r="J65" i="278"/>
  <c r="I65" i="278"/>
  <c r="H65" i="278"/>
  <c r="G65" i="278"/>
  <c r="O64" i="278"/>
  <c r="N64" i="278"/>
  <c r="O61" i="278"/>
  <c r="N61" i="278"/>
  <c r="M61" i="278"/>
  <c r="L61" i="278"/>
  <c r="K61" i="278"/>
  <c r="J61" i="278"/>
  <c r="I61" i="278"/>
  <c r="H61" i="278"/>
  <c r="G61" i="278"/>
  <c r="O60" i="278"/>
  <c r="N60" i="278"/>
  <c r="O59" i="278"/>
  <c r="N59" i="278"/>
  <c r="O58" i="278"/>
  <c r="N58" i="278"/>
  <c r="O57" i="278"/>
  <c r="N57" i="278"/>
  <c r="O54" i="278"/>
  <c r="N54" i="278"/>
  <c r="M54" i="278"/>
  <c r="L54" i="278"/>
  <c r="K54" i="278"/>
  <c r="J54" i="278"/>
  <c r="I54" i="278"/>
  <c r="H54" i="278"/>
  <c r="G54" i="278"/>
  <c r="O53" i="278"/>
  <c r="N53" i="278"/>
  <c r="O52" i="278"/>
  <c r="N52" i="278"/>
  <c r="O51" i="278"/>
  <c r="N51" i="278"/>
  <c r="O50" i="278"/>
  <c r="N50" i="278"/>
  <c r="O49" i="278"/>
  <c r="N49" i="278"/>
  <c r="O48" i="278"/>
  <c r="N48" i="278"/>
  <c r="O47" i="278"/>
  <c r="N47" i="278"/>
  <c r="O44" i="278"/>
  <c r="N44" i="278"/>
  <c r="M44" i="278"/>
  <c r="L44" i="278"/>
  <c r="K44" i="278"/>
  <c r="J44" i="278"/>
  <c r="I44" i="278"/>
  <c r="H44" i="278"/>
  <c r="G44" i="278"/>
  <c r="O43" i="278"/>
  <c r="O42" i="278"/>
  <c r="N42" i="278"/>
  <c r="O39" i="278"/>
  <c r="N39" i="278"/>
  <c r="M39" i="278"/>
  <c r="L39" i="278"/>
  <c r="K39" i="278"/>
  <c r="J39" i="278"/>
  <c r="I39" i="278"/>
  <c r="H39" i="278"/>
  <c r="G39" i="278"/>
  <c r="O38" i="278"/>
  <c r="N38" i="278"/>
  <c r="O35" i="278"/>
  <c r="N35" i="278"/>
  <c r="M35" i="278"/>
  <c r="L35" i="278"/>
  <c r="K35" i="278"/>
  <c r="J35" i="278"/>
  <c r="I35" i="278"/>
  <c r="H35" i="278"/>
  <c r="G35" i="278"/>
  <c r="O34" i="278"/>
  <c r="N34" i="278"/>
  <c r="O33" i="278"/>
  <c r="N33" i="278"/>
  <c r="O30" i="278"/>
  <c r="N30" i="278"/>
  <c r="M30" i="278"/>
  <c r="L30" i="278"/>
  <c r="K30" i="278"/>
  <c r="J30" i="278"/>
  <c r="I30" i="278"/>
  <c r="H30" i="278"/>
  <c r="G30" i="278"/>
  <c r="O29" i="278"/>
  <c r="O28" i="278"/>
  <c r="N28" i="278"/>
  <c r="O25" i="278"/>
  <c r="N25" i="278"/>
  <c r="M25" i="278"/>
  <c r="L25" i="278"/>
  <c r="K25" i="278"/>
  <c r="J25" i="278"/>
  <c r="I25" i="278"/>
  <c r="G25" i="278"/>
  <c r="O24" i="278"/>
  <c r="N24" i="278"/>
  <c r="O20" i="278"/>
  <c r="N20" i="278"/>
  <c r="M20" i="278"/>
  <c r="L20" i="278"/>
  <c r="K20" i="278"/>
  <c r="J20" i="278"/>
  <c r="I20" i="278"/>
  <c r="H20" i="278"/>
  <c r="G20" i="278"/>
  <c r="O19" i="278"/>
  <c r="N19" i="278"/>
  <c r="O16" i="278"/>
  <c r="N16" i="278"/>
  <c r="M16" i="278"/>
  <c r="L16" i="278"/>
  <c r="K16" i="278"/>
  <c r="J16" i="278"/>
  <c r="I16" i="278"/>
  <c r="G16" i="278"/>
  <c r="O15" i="278"/>
  <c r="N15" i="278"/>
  <c r="O14" i="278"/>
  <c r="J225" i="277"/>
  <c r="I225" i="277"/>
  <c r="H225" i="277"/>
  <c r="G225" i="277"/>
  <c r="E225" i="277"/>
  <c r="M223" i="277"/>
  <c r="L223" i="277"/>
  <c r="K223" i="277"/>
  <c r="J223" i="277"/>
  <c r="I223" i="277"/>
  <c r="H223" i="277"/>
  <c r="G223" i="277"/>
  <c r="E223" i="277"/>
  <c r="M218" i="277"/>
  <c r="L218" i="277"/>
  <c r="M217" i="277"/>
  <c r="L217" i="277"/>
  <c r="M216" i="277"/>
  <c r="L216" i="277"/>
  <c r="M215" i="277"/>
  <c r="L215" i="277"/>
  <c r="M214" i="277"/>
  <c r="L214" i="277"/>
  <c r="M213" i="277"/>
  <c r="L213" i="277"/>
  <c r="M212" i="277"/>
  <c r="L212" i="277"/>
  <c r="M211" i="277"/>
  <c r="L211" i="277"/>
  <c r="M210" i="277"/>
  <c r="L210" i="277"/>
  <c r="M209" i="277"/>
  <c r="L209" i="277"/>
  <c r="M208" i="277"/>
  <c r="L208" i="277"/>
  <c r="M207" i="277"/>
  <c r="L207" i="277"/>
  <c r="M206" i="277"/>
  <c r="L206" i="277"/>
  <c r="M205" i="277"/>
  <c r="L205" i="277"/>
  <c r="M204" i="277"/>
  <c r="L204" i="277"/>
  <c r="M203" i="277"/>
  <c r="L203" i="277"/>
  <c r="M202" i="277"/>
  <c r="L202" i="277"/>
  <c r="M201" i="277"/>
  <c r="L201" i="277"/>
  <c r="M200" i="277"/>
  <c r="L200" i="277"/>
  <c r="M199" i="277"/>
  <c r="M198" i="277"/>
  <c r="L198" i="277"/>
  <c r="M197" i="277"/>
  <c r="L197" i="277"/>
  <c r="M196" i="277"/>
  <c r="L196" i="277"/>
  <c r="M195" i="277"/>
  <c r="L195" i="277"/>
  <c r="M194" i="277"/>
  <c r="L194" i="277"/>
  <c r="M193" i="277"/>
  <c r="L193" i="277"/>
  <c r="M192" i="277"/>
  <c r="L192" i="277"/>
  <c r="M191" i="277"/>
  <c r="M190" i="277"/>
  <c r="L190" i="277"/>
  <c r="M189" i="277"/>
  <c r="L189" i="277"/>
  <c r="M188" i="277"/>
  <c r="L188" i="277"/>
  <c r="M187" i="277"/>
  <c r="L187" i="277"/>
  <c r="M186" i="277"/>
  <c r="L186" i="277"/>
  <c r="M185" i="277"/>
  <c r="L185" i="277"/>
  <c r="M182" i="277"/>
  <c r="L182" i="277"/>
  <c r="K182" i="277"/>
  <c r="J182" i="277"/>
  <c r="I182" i="277"/>
  <c r="H182" i="277"/>
  <c r="G182" i="277"/>
  <c r="E182" i="277"/>
  <c r="M181" i="277"/>
  <c r="L181" i="277"/>
  <c r="M180" i="277"/>
  <c r="L180" i="277"/>
  <c r="M179" i="277"/>
  <c r="L179" i="277"/>
  <c r="M178" i="277"/>
  <c r="L178" i="277"/>
  <c r="M177" i="277"/>
  <c r="L177" i="277"/>
  <c r="M176" i="277"/>
  <c r="L176" i="277"/>
  <c r="M175" i="277"/>
  <c r="L175" i="277"/>
  <c r="M174" i="277"/>
  <c r="L174" i="277"/>
  <c r="M173" i="277"/>
  <c r="L173" i="277"/>
  <c r="M172" i="277"/>
  <c r="L172" i="277"/>
  <c r="M171" i="277"/>
  <c r="L171" i="277"/>
  <c r="M168" i="277"/>
  <c r="L168" i="277"/>
  <c r="K168" i="277"/>
  <c r="J168" i="277"/>
  <c r="I168" i="277"/>
  <c r="H168" i="277"/>
  <c r="G168" i="277"/>
  <c r="F168" i="277"/>
  <c r="E168" i="277"/>
  <c r="M167" i="277"/>
  <c r="L167" i="277"/>
  <c r="M166" i="277"/>
  <c r="L166" i="277"/>
  <c r="M163" i="277"/>
  <c r="L163" i="277"/>
  <c r="K163" i="277"/>
  <c r="J163" i="277"/>
  <c r="I163" i="277"/>
  <c r="H163" i="277"/>
  <c r="G163" i="277"/>
  <c r="E163" i="277"/>
  <c r="M162" i="277"/>
  <c r="L162" i="277"/>
  <c r="M161" i="277"/>
  <c r="L161" i="277"/>
  <c r="M158" i="277"/>
  <c r="L158" i="277"/>
  <c r="K158" i="277"/>
  <c r="J158" i="277"/>
  <c r="I158" i="277"/>
  <c r="H158" i="277"/>
  <c r="G158" i="277"/>
  <c r="F158" i="277"/>
  <c r="E158" i="277"/>
  <c r="M157" i="277"/>
  <c r="L157" i="277"/>
  <c r="M156" i="277"/>
  <c r="L156" i="277"/>
  <c r="M155" i="277"/>
  <c r="L155" i="277"/>
  <c r="M154" i="277"/>
  <c r="L154" i="277"/>
  <c r="L151" i="277"/>
  <c r="K151" i="277"/>
  <c r="J151" i="277"/>
  <c r="I151" i="277"/>
  <c r="H151" i="277"/>
  <c r="G151" i="277"/>
  <c r="F151" i="277"/>
  <c r="E151" i="277"/>
  <c r="M150" i="277"/>
  <c r="L150" i="277"/>
  <c r="M147" i="277"/>
  <c r="L147" i="277"/>
  <c r="K147" i="277"/>
  <c r="J147" i="277"/>
  <c r="I147" i="277"/>
  <c r="H147" i="277"/>
  <c r="G147" i="277"/>
  <c r="F147" i="277"/>
  <c r="E147" i="277"/>
  <c r="M146" i="277"/>
  <c r="L146" i="277"/>
  <c r="M143" i="277"/>
  <c r="L143" i="277"/>
  <c r="K143" i="277"/>
  <c r="J143" i="277"/>
  <c r="I143" i="277"/>
  <c r="H143" i="277"/>
  <c r="G143" i="277"/>
  <c r="F143" i="277"/>
  <c r="E143" i="277"/>
  <c r="M142" i="277"/>
  <c r="L142" i="277"/>
  <c r="M141" i="277"/>
  <c r="L141" i="277"/>
  <c r="M140" i="277"/>
  <c r="L140" i="277"/>
  <c r="M137" i="277"/>
  <c r="L137" i="277"/>
  <c r="K137" i="277"/>
  <c r="J137" i="277"/>
  <c r="I137" i="277"/>
  <c r="H137" i="277"/>
  <c r="G137" i="277"/>
  <c r="F137" i="277"/>
  <c r="E137" i="277"/>
  <c r="M136" i="277"/>
  <c r="L136" i="277"/>
  <c r="M135" i="277"/>
  <c r="L135" i="277"/>
  <c r="M134" i="277"/>
  <c r="L134" i="277"/>
  <c r="M133" i="277"/>
  <c r="M132" i="277"/>
  <c r="L132" i="277"/>
  <c r="M129" i="277"/>
  <c r="L129" i="277"/>
  <c r="K129" i="277"/>
  <c r="J129" i="277"/>
  <c r="I129" i="277"/>
  <c r="H129" i="277"/>
  <c r="G129" i="277"/>
  <c r="F129" i="277"/>
  <c r="E129" i="277"/>
  <c r="M128" i="277"/>
  <c r="L128" i="277"/>
  <c r="M127" i="277"/>
  <c r="L127" i="277"/>
  <c r="M124" i="277"/>
  <c r="L124" i="277"/>
  <c r="K124" i="277"/>
  <c r="J124" i="277"/>
  <c r="I124" i="277"/>
  <c r="H124" i="277"/>
  <c r="G124" i="277"/>
  <c r="F124" i="277"/>
  <c r="E124" i="277"/>
  <c r="M123" i="277"/>
  <c r="L123" i="277"/>
  <c r="M122" i="277"/>
  <c r="M121" i="277"/>
  <c r="L121" i="277"/>
  <c r="M120" i="277"/>
  <c r="L120" i="277"/>
  <c r="M119" i="277"/>
  <c r="M118" i="277"/>
  <c r="L118" i="277"/>
  <c r="M117" i="277"/>
  <c r="L117" i="277"/>
  <c r="M114" i="277"/>
  <c r="L114" i="277"/>
  <c r="K114" i="277"/>
  <c r="J114" i="277"/>
  <c r="I114" i="277"/>
  <c r="H114" i="277"/>
  <c r="G114" i="277"/>
  <c r="E114" i="277"/>
  <c r="M113" i="277"/>
  <c r="L113" i="277"/>
  <c r="M110" i="277"/>
  <c r="L110" i="277"/>
  <c r="K110" i="277"/>
  <c r="J110" i="277"/>
  <c r="I110" i="277"/>
  <c r="H110" i="277"/>
  <c r="G110" i="277"/>
  <c r="E110" i="277"/>
  <c r="M109" i="277"/>
  <c r="L109" i="277"/>
  <c r="M105" i="277"/>
  <c r="L105" i="277"/>
  <c r="K105" i="277"/>
  <c r="J105" i="277"/>
  <c r="I105" i="277"/>
  <c r="H105" i="277"/>
  <c r="G105" i="277"/>
  <c r="F105" i="277"/>
  <c r="E105" i="277"/>
  <c r="L104" i="277"/>
  <c r="M103" i="277"/>
  <c r="L103" i="277"/>
  <c r="M102" i="277"/>
  <c r="L102" i="277"/>
  <c r="M99" i="277"/>
  <c r="L99" i="277"/>
  <c r="K99" i="277"/>
  <c r="J99" i="277"/>
  <c r="I99" i="277"/>
  <c r="H99" i="277"/>
  <c r="G99" i="277"/>
  <c r="F99" i="277"/>
  <c r="E99" i="277"/>
  <c r="M98" i="277"/>
  <c r="L98" i="277"/>
  <c r="M97" i="277"/>
  <c r="L97" i="277"/>
  <c r="M94" i="277"/>
  <c r="L94" i="277"/>
  <c r="K94" i="277"/>
  <c r="J94" i="277"/>
  <c r="I94" i="277"/>
  <c r="H94" i="277"/>
  <c r="G94" i="277"/>
  <c r="F94" i="277"/>
  <c r="E94" i="277"/>
  <c r="M93" i="277"/>
  <c r="L93" i="277"/>
  <c r="M92" i="277"/>
  <c r="L92" i="277"/>
  <c r="M89" i="277"/>
  <c r="L89" i="277"/>
  <c r="K89" i="277"/>
  <c r="J89" i="277"/>
  <c r="I89" i="277"/>
  <c r="H89" i="277"/>
  <c r="G89" i="277"/>
  <c r="E89" i="277"/>
  <c r="M88" i="277"/>
  <c r="L88" i="277"/>
  <c r="M87" i="277"/>
  <c r="L87" i="277"/>
  <c r="M86" i="277"/>
  <c r="L86" i="277"/>
  <c r="M85" i="277"/>
  <c r="L85" i="277"/>
  <c r="M84" i="277"/>
  <c r="L84" i="277"/>
  <c r="M83" i="277"/>
  <c r="L83" i="277"/>
  <c r="M82" i="277"/>
  <c r="L82" i="277"/>
  <c r="M81" i="277"/>
  <c r="L81" i="277"/>
  <c r="M80" i="277"/>
  <c r="L80" i="277"/>
  <c r="M79" i="277"/>
  <c r="L79" i="277"/>
  <c r="M78" i="277"/>
  <c r="L78" i="277"/>
  <c r="M77" i="277"/>
  <c r="L77" i="277"/>
  <c r="M74" i="277"/>
  <c r="L74" i="277"/>
  <c r="K74" i="277"/>
  <c r="J74" i="277"/>
  <c r="I74" i="277"/>
  <c r="H74" i="277"/>
  <c r="G74" i="277"/>
  <c r="F74" i="277"/>
  <c r="E74" i="277"/>
  <c r="M73" i="277"/>
  <c r="L73" i="277"/>
  <c r="M72" i="277"/>
  <c r="L72" i="277"/>
  <c r="M71" i="277"/>
  <c r="L71" i="277"/>
  <c r="M70" i="277"/>
  <c r="L70" i="277"/>
  <c r="M69" i="277"/>
  <c r="L69" i="277"/>
  <c r="M68" i="277"/>
  <c r="L68" i="277"/>
  <c r="M67" i="277"/>
  <c r="L67" i="277"/>
  <c r="M66" i="277"/>
  <c r="L66" i="277"/>
  <c r="M65" i="277"/>
  <c r="L65" i="277"/>
  <c r="M64" i="277"/>
  <c r="L64" i="277"/>
  <c r="M63" i="277"/>
  <c r="L63" i="277"/>
  <c r="M60" i="277"/>
  <c r="L60" i="277"/>
  <c r="K60" i="277"/>
  <c r="J60" i="277"/>
  <c r="I60" i="277"/>
  <c r="H60" i="277"/>
  <c r="G60" i="277"/>
  <c r="F60" i="277"/>
  <c r="E60" i="277"/>
  <c r="M59" i="277"/>
  <c r="L59" i="277"/>
  <c r="M58" i="277"/>
  <c r="L58" i="277"/>
  <c r="M57" i="277"/>
  <c r="L57" i="277"/>
  <c r="M54" i="277"/>
  <c r="L54" i="277"/>
  <c r="K54" i="277"/>
  <c r="J54" i="277"/>
  <c r="I54" i="277"/>
  <c r="H54" i="277"/>
  <c r="G54" i="277"/>
  <c r="F54" i="277"/>
  <c r="E54" i="277"/>
  <c r="M53" i="277"/>
  <c r="L53" i="277"/>
  <c r="M50" i="277"/>
  <c r="L50" i="277"/>
  <c r="K50" i="277"/>
  <c r="J50" i="277"/>
  <c r="I50" i="277"/>
  <c r="H50" i="277"/>
  <c r="G50" i="277"/>
  <c r="F50" i="277"/>
  <c r="E50" i="277"/>
  <c r="M49" i="277"/>
  <c r="L49" i="277"/>
  <c r="M48" i="277"/>
  <c r="L48" i="277"/>
  <c r="M45" i="277"/>
  <c r="L45" i="277"/>
  <c r="K45" i="277"/>
  <c r="J45" i="277"/>
  <c r="I45" i="277"/>
  <c r="H45" i="277"/>
  <c r="F45" i="277"/>
  <c r="E45" i="277"/>
  <c r="M44" i="277"/>
  <c r="L44" i="277"/>
  <c r="M41" i="277"/>
  <c r="L41" i="277"/>
  <c r="K41" i="277"/>
  <c r="J41" i="277"/>
  <c r="I41" i="277"/>
  <c r="H41" i="277"/>
  <c r="G41" i="277"/>
  <c r="E41" i="277"/>
  <c r="M40" i="277"/>
  <c r="L40" i="277"/>
  <c r="M39" i="277"/>
  <c r="L39" i="277"/>
  <c r="M38" i="277"/>
  <c r="L38" i="277"/>
  <c r="M37" i="277"/>
  <c r="L37" i="277"/>
  <c r="M36" i="277"/>
  <c r="L36" i="277"/>
  <c r="M34" i="277"/>
  <c r="L34" i="277"/>
  <c r="M33" i="277"/>
  <c r="L33" i="277"/>
  <c r="M32" i="277"/>
  <c r="L32" i="277"/>
  <c r="M29" i="277"/>
  <c r="L29" i="277"/>
  <c r="K29" i="277"/>
  <c r="J29" i="277"/>
  <c r="I29" i="277"/>
  <c r="H29" i="277"/>
  <c r="G29" i="277"/>
  <c r="F29" i="277"/>
  <c r="E29" i="277"/>
  <c r="M28" i="277"/>
  <c r="L28" i="277"/>
  <c r="M25" i="277"/>
  <c r="L25" i="277"/>
  <c r="K25" i="277"/>
  <c r="J25" i="277"/>
  <c r="I25" i="277"/>
  <c r="H25" i="277"/>
  <c r="G25" i="277"/>
  <c r="E25" i="277"/>
  <c r="M24" i="277"/>
  <c r="L24" i="277"/>
  <c r="M23" i="277"/>
  <c r="L23" i="277"/>
  <c r="M22" i="277"/>
  <c r="L22" i="277"/>
  <c r="M19" i="277"/>
  <c r="L19" i="277"/>
  <c r="K19" i="277"/>
  <c r="J19" i="277"/>
  <c r="I19" i="277"/>
  <c r="H19" i="277"/>
  <c r="G19" i="277"/>
  <c r="F19" i="277"/>
  <c r="E19" i="277"/>
  <c r="M18" i="277"/>
  <c r="L18" i="277"/>
  <c r="M17" i="277"/>
  <c r="M16" i="277"/>
  <c r="L16" i="277"/>
  <c r="M15" i="277"/>
  <c r="L15" i="277"/>
  <c r="G19" i="276"/>
  <c r="N17" i="276"/>
  <c r="M17" i="276"/>
  <c r="L17" i="276"/>
  <c r="K17" i="276"/>
  <c r="J17" i="276"/>
  <c r="I17" i="276"/>
  <c r="H17" i="276"/>
  <c r="G17" i="276"/>
  <c r="F17" i="276"/>
  <c r="M18" i="275"/>
  <c r="L18" i="275"/>
  <c r="K18" i="275"/>
  <c r="J18" i="275"/>
  <c r="I18" i="275"/>
  <c r="H18" i="275"/>
  <c r="G18" i="275"/>
  <c r="F18" i="275"/>
  <c r="E18" i="275"/>
  <c r="M16" i="275"/>
  <c r="L16" i="275"/>
  <c r="K16" i="275"/>
  <c r="J16" i="275"/>
  <c r="I16" i="275"/>
  <c r="H16" i="275"/>
  <c r="G16" i="275"/>
  <c r="F16" i="275"/>
  <c r="E16" i="275"/>
  <c r="M15" i="275"/>
  <c r="L15" i="275"/>
  <c r="M25" i="274"/>
  <c r="L25" i="274"/>
  <c r="K25" i="274"/>
  <c r="J25" i="274"/>
  <c r="I25" i="274"/>
  <c r="H25" i="274"/>
  <c r="G25" i="274"/>
  <c r="F25" i="274"/>
  <c r="E25" i="274"/>
  <c r="D25" i="274"/>
  <c r="L23" i="274"/>
  <c r="M22" i="274"/>
  <c r="L22" i="274"/>
  <c r="M19" i="274"/>
  <c r="L19" i="274"/>
  <c r="K19" i="274"/>
  <c r="J19" i="274"/>
  <c r="I19" i="274"/>
  <c r="H19" i="274"/>
  <c r="G19" i="274"/>
  <c r="F19" i="274"/>
  <c r="E19" i="274"/>
  <c r="M18" i="274"/>
  <c r="L18" i="274"/>
  <c r="M15" i="274"/>
  <c r="L15" i="274"/>
  <c r="K15" i="274"/>
  <c r="J15" i="274"/>
  <c r="I15" i="274"/>
  <c r="H15" i="274"/>
  <c r="G15" i="274"/>
  <c r="F15" i="274"/>
  <c r="E15" i="274"/>
  <c r="M14" i="274"/>
  <c r="L14" i="274"/>
  <c r="M55" i="273"/>
  <c r="L55" i="273"/>
  <c r="J55" i="273"/>
  <c r="I55" i="273"/>
  <c r="H55" i="273"/>
  <c r="G55" i="273"/>
  <c r="E55" i="273"/>
  <c r="D55" i="273"/>
  <c r="M52" i="273"/>
  <c r="L52" i="273"/>
  <c r="J52" i="273"/>
  <c r="I52" i="273"/>
  <c r="H52" i="273"/>
  <c r="G52" i="273"/>
  <c r="E52" i="273"/>
  <c r="M51" i="273"/>
  <c r="L51" i="273"/>
  <c r="M48" i="273"/>
  <c r="L48" i="273"/>
  <c r="J48" i="273"/>
  <c r="I48" i="273"/>
  <c r="H48" i="273"/>
  <c r="G48" i="273"/>
  <c r="E48" i="273"/>
  <c r="M47" i="273"/>
  <c r="L47" i="273"/>
  <c r="M44" i="273"/>
  <c r="L44" i="273"/>
  <c r="J44" i="273"/>
  <c r="I44" i="273"/>
  <c r="H44" i="273"/>
  <c r="G44" i="273"/>
  <c r="E44" i="273"/>
  <c r="M43" i="273"/>
  <c r="L43" i="273"/>
  <c r="M42" i="273"/>
  <c r="L42" i="273"/>
  <c r="M39" i="273"/>
  <c r="L39" i="273"/>
  <c r="J39" i="273"/>
  <c r="I39" i="273"/>
  <c r="H39" i="273"/>
  <c r="G39" i="273"/>
  <c r="E39" i="273"/>
  <c r="M38" i="273"/>
  <c r="L38" i="273"/>
  <c r="M35" i="273"/>
  <c r="L35" i="273"/>
  <c r="J35" i="273"/>
  <c r="I35" i="273"/>
  <c r="H35" i="273"/>
  <c r="G35" i="273"/>
  <c r="E35" i="273"/>
  <c r="M34" i="273"/>
  <c r="L34" i="273"/>
  <c r="M31" i="273"/>
  <c r="L31" i="273"/>
  <c r="J31" i="273"/>
  <c r="I31" i="273"/>
  <c r="H31" i="273"/>
  <c r="G31" i="273"/>
  <c r="E31" i="273"/>
  <c r="M30" i="273"/>
  <c r="L30" i="273"/>
  <c r="M23" i="273"/>
  <c r="L23" i="273"/>
  <c r="J23" i="273"/>
  <c r="I23" i="273"/>
  <c r="H23" i="273"/>
  <c r="G23" i="273"/>
  <c r="E23" i="273"/>
  <c r="M22" i="273"/>
  <c r="L22" i="273"/>
  <c r="M19" i="273"/>
  <c r="L19" i="273"/>
  <c r="J19" i="273"/>
  <c r="I19" i="273"/>
  <c r="H19" i="273"/>
  <c r="G19" i="273"/>
  <c r="E19" i="273"/>
  <c r="L18" i="273"/>
  <c r="M15" i="273"/>
  <c r="L15" i="273"/>
  <c r="J15" i="273"/>
  <c r="I15" i="273"/>
  <c r="H15" i="273"/>
  <c r="G15" i="273"/>
  <c r="E15" i="273"/>
  <c r="M14" i="273"/>
  <c r="L14" i="273"/>
  <c r="O35" i="272"/>
  <c r="N35" i="272"/>
  <c r="M35" i="272"/>
  <c r="L35" i="272"/>
  <c r="K35" i="272"/>
  <c r="J35" i="272"/>
  <c r="I35" i="272"/>
  <c r="H35" i="272"/>
  <c r="G35" i="272"/>
  <c r="O34" i="272"/>
  <c r="N34" i="272"/>
  <c r="M34" i="272"/>
  <c r="L34" i="272"/>
  <c r="K34" i="272"/>
  <c r="J34" i="272"/>
  <c r="I34" i="272"/>
  <c r="H34" i="272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O135" i="271"/>
  <c r="N135" i="271"/>
  <c r="M135" i="271"/>
  <c r="L135" i="271"/>
  <c r="K135" i="271"/>
  <c r="J135" i="271"/>
  <c r="I135" i="271"/>
  <c r="G135" i="271"/>
  <c r="C135" i="271"/>
  <c r="O133" i="271"/>
  <c r="N133" i="271"/>
  <c r="M133" i="271"/>
  <c r="L133" i="271"/>
  <c r="K133" i="271"/>
  <c r="J133" i="271"/>
  <c r="I133" i="271"/>
  <c r="G133" i="271"/>
  <c r="O132" i="271"/>
  <c r="N132" i="271"/>
  <c r="O131" i="271"/>
  <c r="N131" i="271"/>
  <c r="O130" i="271"/>
  <c r="N130" i="271"/>
  <c r="O129" i="271"/>
  <c r="N129" i="271"/>
  <c r="O128" i="271"/>
  <c r="N128" i="271"/>
  <c r="O127" i="271"/>
  <c r="N127" i="271"/>
  <c r="O125" i="271"/>
  <c r="N125" i="271"/>
  <c r="O124" i="271"/>
  <c r="N124" i="271"/>
  <c r="O123" i="271"/>
  <c r="N123" i="271"/>
  <c r="O122" i="271"/>
  <c r="N122" i="271"/>
  <c r="O121" i="271"/>
  <c r="N121" i="271"/>
  <c r="O120" i="271"/>
  <c r="N120" i="271"/>
  <c r="O119" i="271"/>
  <c r="N119" i="271"/>
  <c r="O118" i="271"/>
  <c r="N118" i="271"/>
  <c r="O117" i="271"/>
  <c r="N117" i="271"/>
  <c r="O116" i="271"/>
  <c r="N116" i="271"/>
  <c r="O115" i="271"/>
  <c r="N115" i="271"/>
  <c r="O114" i="271"/>
  <c r="N114" i="271"/>
  <c r="O113" i="271"/>
  <c r="N113" i="271"/>
  <c r="O112" i="271"/>
  <c r="N112" i="271"/>
  <c r="O111" i="271"/>
  <c r="N111" i="271"/>
  <c r="O110" i="271"/>
  <c r="N110" i="271"/>
  <c r="O109" i="271"/>
  <c r="N109" i="271"/>
  <c r="O108" i="271"/>
  <c r="N108" i="271"/>
  <c r="O107" i="271"/>
  <c r="N107" i="271"/>
  <c r="O106" i="271"/>
  <c r="N106" i="271"/>
  <c r="O105" i="271"/>
  <c r="N105" i="271"/>
  <c r="O104" i="271"/>
  <c r="N104" i="271"/>
  <c r="O103" i="271"/>
  <c r="N103" i="271"/>
  <c r="O102" i="271"/>
  <c r="N102" i="271"/>
  <c r="O101" i="271"/>
  <c r="N101" i="271"/>
  <c r="O100" i="271"/>
  <c r="N100" i="271"/>
  <c r="O99" i="271"/>
  <c r="N99" i="271"/>
  <c r="O95" i="271"/>
  <c r="N95" i="271"/>
  <c r="M95" i="271"/>
  <c r="L95" i="271"/>
  <c r="K95" i="271"/>
  <c r="J95" i="271"/>
  <c r="I95" i="271"/>
  <c r="H95" i="271"/>
  <c r="G95" i="271"/>
  <c r="O94" i="271"/>
  <c r="N94" i="271"/>
  <c r="O91" i="271"/>
  <c r="N91" i="271"/>
  <c r="M91" i="271"/>
  <c r="L91" i="271"/>
  <c r="K91" i="271"/>
  <c r="J91" i="271"/>
  <c r="I91" i="271"/>
  <c r="H91" i="271"/>
  <c r="G91" i="271"/>
  <c r="O90" i="271"/>
  <c r="N90" i="271"/>
  <c r="O89" i="271"/>
  <c r="N89" i="271"/>
  <c r="O88" i="271"/>
  <c r="N88" i="271"/>
  <c r="O87" i="271"/>
  <c r="N87" i="271"/>
  <c r="O86" i="271"/>
  <c r="N86" i="271"/>
  <c r="O85" i="271"/>
  <c r="N85" i="271"/>
  <c r="O83" i="271"/>
  <c r="N83" i="271"/>
  <c r="M83" i="271"/>
  <c r="L83" i="271"/>
  <c r="K83" i="271"/>
  <c r="J83" i="271"/>
  <c r="I83" i="271"/>
  <c r="H83" i="271"/>
  <c r="G83" i="271"/>
  <c r="O82" i="271"/>
  <c r="O75" i="271"/>
  <c r="N75" i="271"/>
  <c r="M75" i="271"/>
  <c r="L75" i="271"/>
  <c r="K75" i="271"/>
  <c r="J75" i="271"/>
  <c r="I75" i="271"/>
  <c r="H75" i="271"/>
  <c r="G75" i="271"/>
  <c r="O74" i="271"/>
  <c r="N74" i="271"/>
  <c r="O73" i="271"/>
  <c r="N73" i="271"/>
  <c r="O70" i="271"/>
  <c r="N70" i="271"/>
  <c r="M70" i="271"/>
  <c r="L70" i="271"/>
  <c r="K70" i="271"/>
  <c r="J70" i="271"/>
  <c r="I70" i="271"/>
  <c r="H70" i="271"/>
  <c r="G70" i="271"/>
  <c r="O69" i="271"/>
  <c r="N69" i="271"/>
  <c r="O66" i="271"/>
  <c r="N66" i="271"/>
  <c r="M66" i="271"/>
  <c r="L66" i="271"/>
  <c r="K66" i="271"/>
  <c r="J66" i="271"/>
  <c r="I66" i="271"/>
  <c r="H66" i="271"/>
  <c r="G66" i="271"/>
  <c r="O65" i="271"/>
  <c r="N65" i="271"/>
  <c r="O64" i="271"/>
  <c r="N64" i="271"/>
  <c r="O63" i="271"/>
  <c r="N63" i="271"/>
  <c r="O62" i="271"/>
  <c r="N62" i="271"/>
  <c r="O59" i="271"/>
  <c r="N59" i="271"/>
  <c r="M59" i="271"/>
  <c r="L59" i="271"/>
  <c r="K59" i="271"/>
  <c r="J59" i="271"/>
  <c r="I59" i="271"/>
  <c r="H59" i="271"/>
  <c r="G59" i="271"/>
  <c r="O58" i="271"/>
  <c r="N58" i="271"/>
  <c r="O57" i="271"/>
  <c r="N57" i="271"/>
  <c r="O56" i="271"/>
  <c r="N56" i="271"/>
  <c r="O55" i="271"/>
  <c r="N55" i="271"/>
  <c r="O54" i="271"/>
  <c r="N54" i="271"/>
  <c r="O53" i="271"/>
  <c r="N53" i="271"/>
  <c r="O52" i="271"/>
  <c r="N52" i="271"/>
  <c r="O49" i="271"/>
  <c r="N49" i="271"/>
  <c r="M49" i="271"/>
  <c r="L49" i="271"/>
  <c r="K49" i="271"/>
  <c r="J49" i="271"/>
  <c r="I49" i="271"/>
  <c r="H49" i="271"/>
  <c r="G49" i="271"/>
  <c r="O48" i="271"/>
  <c r="O47" i="271"/>
  <c r="N47" i="271"/>
  <c r="O44" i="271"/>
  <c r="N44" i="271"/>
  <c r="M44" i="271"/>
  <c r="L44" i="271"/>
  <c r="K44" i="271"/>
  <c r="J44" i="271"/>
  <c r="I44" i="271"/>
  <c r="H44" i="271"/>
  <c r="G44" i="271"/>
  <c r="O43" i="271"/>
  <c r="N43" i="271"/>
  <c r="O42" i="271"/>
  <c r="O39" i="271"/>
  <c r="N39" i="271"/>
  <c r="M39" i="271"/>
  <c r="L39" i="271"/>
  <c r="K39" i="271"/>
  <c r="J39" i="271"/>
  <c r="I39" i="271"/>
  <c r="H39" i="271"/>
  <c r="G39" i="271"/>
  <c r="O38" i="271"/>
  <c r="N38" i="271"/>
  <c r="O35" i="271"/>
  <c r="N35" i="271"/>
  <c r="M35" i="271"/>
  <c r="L35" i="271"/>
  <c r="K35" i="271"/>
  <c r="J35" i="271"/>
  <c r="I35" i="271"/>
  <c r="H35" i="271"/>
  <c r="G35" i="271"/>
  <c r="O34" i="271"/>
  <c r="N34" i="271"/>
  <c r="O33" i="271"/>
  <c r="N33" i="271"/>
  <c r="O30" i="271"/>
  <c r="N30" i="271"/>
  <c r="M30" i="271"/>
  <c r="L30" i="271"/>
  <c r="K30" i="271"/>
  <c r="J30" i="271"/>
  <c r="I30" i="271"/>
  <c r="H30" i="271"/>
  <c r="G30" i="271"/>
  <c r="O29" i="271"/>
  <c r="O28" i="271"/>
  <c r="N28" i="271"/>
  <c r="O25" i="271"/>
  <c r="N25" i="271"/>
  <c r="M25" i="271"/>
  <c r="L25" i="271"/>
  <c r="K25" i="271"/>
  <c r="J25" i="271"/>
  <c r="I25" i="271"/>
  <c r="G25" i="271"/>
  <c r="O24" i="271"/>
  <c r="N24" i="271"/>
  <c r="O20" i="271"/>
  <c r="N20" i="271"/>
  <c r="M20" i="271"/>
  <c r="L20" i="271"/>
  <c r="K20" i="271"/>
  <c r="J20" i="271"/>
  <c r="I20" i="271"/>
  <c r="H20" i="271"/>
  <c r="G20" i="271"/>
  <c r="O19" i="271"/>
  <c r="N19" i="271"/>
  <c r="O16" i="271"/>
  <c r="N16" i="271"/>
  <c r="M16" i="271"/>
  <c r="L16" i="271"/>
  <c r="K16" i="271"/>
  <c r="J16" i="271"/>
  <c r="I16" i="271"/>
  <c r="G16" i="271"/>
  <c r="O15" i="271"/>
  <c r="N15" i="271"/>
  <c r="O14" i="271"/>
  <c r="N226" i="270"/>
  <c r="M226" i="270"/>
  <c r="L226" i="270"/>
  <c r="K226" i="270"/>
  <c r="J226" i="270"/>
  <c r="I226" i="270"/>
  <c r="H226" i="270"/>
  <c r="F226" i="270"/>
  <c r="N224" i="270"/>
  <c r="M224" i="270"/>
  <c r="L224" i="270"/>
  <c r="K224" i="270"/>
  <c r="J224" i="270"/>
  <c r="I224" i="270"/>
  <c r="H224" i="270"/>
  <c r="F224" i="270"/>
  <c r="N219" i="270"/>
  <c r="M219" i="270"/>
  <c r="N218" i="270"/>
  <c r="M218" i="270"/>
  <c r="N217" i="270"/>
  <c r="M217" i="270"/>
  <c r="N216" i="270"/>
  <c r="M216" i="270"/>
  <c r="N215" i="270"/>
  <c r="M215" i="270"/>
  <c r="N214" i="270"/>
  <c r="M214" i="270"/>
  <c r="N213" i="270"/>
  <c r="M213" i="270"/>
  <c r="N212" i="270"/>
  <c r="M212" i="270"/>
  <c r="N211" i="270"/>
  <c r="M211" i="270"/>
  <c r="N210" i="270"/>
  <c r="M210" i="270"/>
  <c r="N209" i="270"/>
  <c r="M209" i="270"/>
  <c r="N208" i="270"/>
  <c r="M208" i="270"/>
  <c r="N207" i="270"/>
  <c r="M207" i="270"/>
  <c r="N206" i="270"/>
  <c r="M206" i="270"/>
  <c r="N205" i="270"/>
  <c r="M205" i="270"/>
  <c r="N204" i="270"/>
  <c r="M204" i="270"/>
  <c r="N203" i="270"/>
  <c r="M203" i="270"/>
  <c r="N202" i="270"/>
  <c r="M202" i="270"/>
  <c r="N201" i="270"/>
  <c r="M201" i="270"/>
  <c r="N200" i="270"/>
  <c r="N199" i="270"/>
  <c r="M199" i="270"/>
  <c r="N198" i="270"/>
  <c r="M198" i="270"/>
  <c r="N197" i="270"/>
  <c r="M197" i="270"/>
  <c r="N196" i="270"/>
  <c r="M196" i="270"/>
  <c r="N195" i="270"/>
  <c r="M195" i="270"/>
  <c r="N194" i="270"/>
  <c r="M194" i="270"/>
  <c r="N193" i="270"/>
  <c r="M193" i="270"/>
  <c r="N192" i="270"/>
  <c r="N191" i="270"/>
  <c r="M191" i="270"/>
  <c r="N190" i="270"/>
  <c r="M190" i="270"/>
  <c r="N189" i="270"/>
  <c r="M189" i="270"/>
  <c r="N188" i="270"/>
  <c r="M188" i="270"/>
  <c r="N187" i="270"/>
  <c r="M187" i="270"/>
  <c r="N186" i="270"/>
  <c r="M186" i="270"/>
  <c r="N183" i="270"/>
  <c r="M183" i="270"/>
  <c r="L183" i="270"/>
  <c r="K183" i="270"/>
  <c r="J183" i="270"/>
  <c r="I183" i="270"/>
  <c r="H183" i="270"/>
  <c r="F183" i="270"/>
  <c r="N182" i="270"/>
  <c r="M182" i="270"/>
  <c r="N181" i="270"/>
  <c r="M181" i="270"/>
  <c r="N180" i="270"/>
  <c r="M180" i="270"/>
  <c r="N179" i="270"/>
  <c r="M179" i="270"/>
  <c r="N178" i="270"/>
  <c r="M178" i="270"/>
  <c r="N177" i="270"/>
  <c r="M177" i="270"/>
  <c r="N176" i="270"/>
  <c r="M176" i="270"/>
  <c r="N175" i="270"/>
  <c r="M175" i="270"/>
  <c r="N174" i="270"/>
  <c r="M174" i="270"/>
  <c r="N173" i="270"/>
  <c r="M173" i="270"/>
  <c r="N172" i="270"/>
  <c r="M172" i="270"/>
  <c r="N169" i="270"/>
  <c r="M169" i="270"/>
  <c r="L169" i="270"/>
  <c r="K169" i="270"/>
  <c r="J169" i="270"/>
  <c r="I169" i="270"/>
  <c r="H169" i="270"/>
  <c r="G169" i="270"/>
  <c r="F169" i="270"/>
  <c r="N168" i="270"/>
  <c r="M168" i="270"/>
  <c r="N167" i="270"/>
  <c r="M167" i="270"/>
  <c r="N164" i="270"/>
  <c r="M164" i="270"/>
  <c r="L164" i="270"/>
  <c r="K164" i="270"/>
  <c r="J164" i="270"/>
  <c r="I164" i="270"/>
  <c r="H164" i="270"/>
  <c r="F164" i="270"/>
  <c r="N163" i="270"/>
  <c r="M163" i="270"/>
  <c r="N162" i="270"/>
  <c r="M162" i="270"/>
  <c r="N159" i="270"/>
  <c r="M159" i="270"/>
  <c r="L159" i="270"/>
  <c r="K159" i="270"/>
  <c r="J159" i="270"/>
  <c r="I159" i="270"/>
  <c r="H159" i="270"/>
  <c r="G159" i="270"/>
  <c r="F159" i="270"/>
  <c r="N158" i="270"/>
  <c r="M158" i="270"/>
  <c r="N157" i="270"/>
  <c r="M157" i="270"/>
  <c r="N156" i="270"/>
  <c r="M156" i="270"/>
  <c r="N155" i="270"/>
  <c r="M155" i="270"/>
  <c r="M152" i="270"/>
  <c r="L152" i="270"/>
  <c r="K152" i="270"/>
  <c r="J152" i="270"/>
  <c r="I152" i="270"/>
  <c r="H152" i="270"/>
  <c r="G152" i="270"/>
  <c r="F152" i="270"/>
  <c r="N151" i="270"/>
  <c r="M151" i="270"/>
  <c r="N148" i="270"/>
  <c r="M148" i="270"/>
  <c r="L148" i="270"/>
  <c r="K148" i="270"/>
  <c r="J148" i="270"/>
  <c r="I148" i="270"/>
  <c r="H148" i="270"/>
  <c r="G148" i="270"/>
  <c r="F148" i="270"/>
  <c r="N147" i="270"/>
  <c r="M147" i="270"/>
  <c r="N144" i="270"/>
  <c r="M144" i="270"/>
  <c r="L144" i="270"/>
  <c r="K144" i="270"/>
  <c r="J144" i="270"/>
  <c r="I144" i="270"/>
  <c r="H144" i="270"/>
  <c r="G144" i="270"/>
  <c r="F144" i="270"/>
  <c r="N143" i="270"/>
  <c r="M143" i="270"/>
  <c r="N142" i="270"/>
  <c r="M142" i="270"/>
  <c r="N141" i="270"/>
  <c r="M141" i="270"/>
  <c r="N138" i="270"/>
  <c r="M138" i="270"/>
  <c r="L138" i="270"/>
  <c r="K138" i="270"/>
  <c r="J138" i="270"/>
  <c r="I138" i="270"/>
  <c r="H138" i="270"/>
  <c r="G138" i="270"/>
  <c r="F138" i="270"/>
  <c r="N137" i="270"/>
  <c r="M137" i="270"/>
  <c r="N136" i="270"/>
  <c r="M136" i="270"/>
  <c r="N135" i="270"/>
  <c r="M135" i="270"/>
  <c r="N134" i="270"/>
  <c r="N133" i="270"/>
  <c r="M133" i="270"/>
  <c r="N130" i="270"/>
  <c r="M130" i="270"/>
  <c r="L130" i="270"/>
  <c r="K130" i="270"/>
  <c r="J130" i="270"/>
  <c r="I130" i="270"/>
  <c r="H130" i="270"/>
  <c r="G130" i="270"/>
  <c r="F130" i="270"/>
  <c r="N129" i="270"/>
  <c r="M129" i="270"/>
  <c r="N128" i="270"/>
  <c r="M128" i="270"/>
  <c r="N124" i="270"/>
  <c r="M124" i="270"/>
  <c r="L124" i="270"/>
  <c r="K124" i="270"/>
  <c r="J124" i="270"/>
  <c r="I124" i="270"/>
  <c r="H124" i="270"/>
  <c r="G124" i="270"/>
  <c r="F124" i="270"/>
  <c r="N123" i="270"/>
  <c r="M123" i="270"/>
  <c r="N122" i="270"/>
  <c r="N121" i="270"/>
  <c r="M121" i="270"/>
  <c r="N120" i="270"/>
  <c r="M120" i="270"/>
  <c r="N119" i="270"/>
  <c r="N118" i="270"/>
  <c r="M118" i="270"/>
  <c r="N117" i="270"/>
  <c r="M117" i="270"/>
  <c r="N114" i="270"/>
  <c r="M114" i="270"/>
  <c r="L114" i="270"/>
  <c r="K114" i="270"/>
  <c r="J114" i="270"/>
  <c r="I114" i="270"/>
  <c r="H114" i="270"/>
  <c r="F114" i="270"/>
  <c r="N113" i="270"/>
  <c r="M113" i="270"/>
  <c r="N110" i="270"/>
  <c r="M110" i="270"/>
  <c r="L110" i="270"/>
  <c r="K110" i="270"/>
  <c r="J110" i="270"/>
  <c r="I110" i="270"/>
  <c r="H110" i="270"/>
  <c r="F110" i="270"/>
  <c r="N109" i="270"/>
  <c r="M109" i="270"/>
  <c r="N105" i="270"/>
  <c r="M105" i="270"/>
  <c r="L105" i="270"/>
  <c r="K105" i="270"/>
  <c r="J105" i="270"/>
  <c r="I105" i="270"/>
  <c r="H105" i="270"/>
  <c r="G105" i="270"/>
  <c r="F105" i="270"/>
  <c r="M104" i="270"/>
  <c r="N103" i="270"/>
  <c r="M103" i="270"/>
  <c r="N102" i="270"/>
  <c r="M102" i="270"/>
  <c r="N99" i="270"/>
  <c r="M99" i="270"/>
  <c r="L99" i="270"/>
  <c r="K99" i="270"/>
  <c r="J99" i="270"/>
  <c r="I99" i="270"/>
  <c r="H99" i="270"/>
  <c r="G99" i="270"/>
  <c r="F99" i="270"/>
  <c r="N98" i="270"/>
  <c r="M98" i="270"/>
  <c r="N97" i="270"/>
  <c r="M97" i="270"/>
  <c r="N94" i="270"/>
  <c r="M94" i="270"/>
  <c r="L94" i="270"/>
  <c r="K94" i="270"/>
  <c r="J94" i="270"/>
  <c r="I94" i="270"/>
  <c r="H94" i="270"/>
  <c r="G94" i="270"/>
  <c r="F94" i="270"/>
  <c r="N93" i="270"/>
  <c r="M93" i="270"/>
  <c r="N92" i="270"/>
  <c r="M92" i="270"/>
  <c r="N89" i="270"/>
  <c r="M89" i="270"/>
  <c r="L89" i="270"/>
  <c r="K89" i="270"/>
  <c r="J89" i="270"/>
  <c r="I89" i="270"/>
  <c r="H89" i="270"/>
  <c r="F89" i="270"/>
  <c r="N88" i="270"/>
  <c r="M88" i="270"/>
  <c r="N87" i="270"/>
  <c r="M87" i="270"/>
  <c r="N86" i="270"/>
  <c r="M86" i="270"/>
  <c r="N85" i="270"/>
  <c r="M85" i="270"/>
  <c r="N84" i="270"/>
  <c r="M84" i="270"/>
  <c r="N83" i="270"/>
  <c r="M83" i="270"/>
  <c r="N82" i="270"/>
  <c r="M82" i="270"/>
  <c r="N81" i="270"/>
  <c r="M81" i="270"/>
  <c r="N80" i="270"/>
  <c r="M80" i="270"/>
  <c r="N79" i="270"/>
  <c r="M79" i="270"/>
  <c r="N78" i="270"/>
  <c r="M78" i="270"/>
  <c r="N77" i="270"/>
  <c r="M77" i="270"/>
  <c r="N74" i="270"/>
  <c r="M74" i="270"/>
  <c r="L74" i="270"/>
  <c r="K74" i="270"/>
  <c r="J74" i="270"/>
  <c r="I74" i="270"/>
  <c r="H74" i="270"/>
  <c r="G74" i="270"/>
  <c r="F74" i="270"/>
  <c r="N73" i="270"/>
  <c r="M73" i="270"/>
  <c r="N72" i="270"/>
  <c r="M72" i="270"/>
  <c r="N71" i="270"/>
  <c r="M71" i="270"/>
  <c r="N70" i="270"/>
  <c r="M70" i="270"/>
  <c r="N69" i="270"/>
  <c r="M69" i="270"/>
  <c r="N68" i="270"/>
  <c r="M68" i="270"/>
  <c r="N67" i="270"/>
  <c r="M67" i="270"/>
  <c r="N66" i="270"/>
  <c r="M66" i="270"/>
  <c r="N65" i="270"/>
  <c r="M65" i="270"/>
  <c r="N64" i="270"/>
  <c r="M64" i="270"/>
  <c r="N63" i="270"/>
  <c r="M63" i="270"/>
  <c r="N60" i="270"/>
  <c r="M60" i="270"/>
  <c r="L60" i="270"/>
  <c r="K60" i="270"/>
  <c r="J60" i="270"/>
  <c r="I60" i="270"/>
  <c r="H60" i="270"/>
  <c r="G60" i="270"/>
  <c r="F60" i="270"/>
  <c r="N59" i="270"/>
  <c r="M59" i="270"/>
  <c r="N58" i="270"/>
  <c r="M58" i="270"/>
  <c r="N57" i="270"/>
  <c r="M57" i="270"/>
  <c r="N54" i="270"/>
  <c r="M54" i="270"/>
  <c r="L54" i="270"/>
  <c r="K54" i="270"/>
  <c r="J54" i="270"/>
  <c r="I54" i="270"/>
  <c r="H54" i="270"/>
  <c r="G54" i="270"/>
  <c r="F54" i="270"/>
  <c r="N53" i="270"/>
  <c r="M53" i="270"/>
  <c r="N50" i="270"/>
  <c r="M50" i="270"/>
  <c r="L50" i="270"/>
  <c r="K50" i="270"/>
  <c r="J50" i="270"/>
  <c r="I50" i="270"/>
  <c r="H50" i="270"/>
  <c r="G50" i="270"/>
  <c r="F50" i="270"/>
  <c r="N49" i="270"/>
  <c r="M49" i="270"/>
  <c r="N48" i="270"/>
  <c r="M48" i="270"/>
  <c r="N45" i="270"/>
  <c r="M45" i="270"/>
  <c r="L45" i="270"/>
  <c r="K45" i="270"/>
  <c r="J45" i="270"/>
  <c r="I45" i="270"/>
  <c r="G45" i="270"/>
  <c r="F45" i="270"/>
  <c r="N44" i="270"/>
  <c r="M44" i="270"/>
  <c r="N41" i="270"/>
  <c r="M41" i="270"/>
  <c r="L41" i="270"/>
  <c r="K41" i="270"/>
  <c r="J41" i="270"/>
  <c r="I41" i="270"/>
  <c r="H41" i="270"/>
  <c r="F41" i="270"/>
  <c r="N40" i="270"/>
  <c r="M40" i="270"/>
  <c r="N39" i="270"/>
  <c r="M39" i="270"/>
  <c r="N38" i="270"/>
  <c r="M38" i="270"/>
  <c r="N37" i="270"/>
  <c r="M37" i="270"/>
  <c r="N36" i="270"/>
  <c r="M36" i="270"/>
  <c r="N34" i="270"/>
  <c r="M34" i="270"/>
  <c r="N33" i="270"/>
  <c r="M33" i="270"/>
  <c r="N32" i="270"/>
  <c r="M32" i="270"/>
  <c r="N29" i="270"/>
  <c r="M29" i="270"/>
  <c r="L29" i="270"/>
  <c r="K29" i="270"/>
  <c r="J29" i="270"/>
  <c r="I29" i="270"/>
  <c r="H29" i="270"/>
  <c r="G29" i="270"/>
  <c r="F29" i="270"/>
  <c r="N28" i="270"/>
  <c r="M28" i="270"/>
  <c r="N25" i="270"/>
  <c r="M25" i="270"/>
  <c r="L25" i="270"/>
  <c r="K25" i="270"/>
  <c r="J25" i="270"/>
  <c r="I25" i="270"/>
  <c r="H25" i="270"/>
  <c r="F25" i="270"/>
  <c r="N24" i="270"/>
  <c r="M24" i="270"/>
  <c r="N23" i="270"/>
  <c r="M23" i="270"/>
  <c r="N22" i="270"/>
  <c r="M22" i="270"/>
  <c r="N19" i="270"/>
  <c r="M19" i="270"/>
  <c r="L19" i="270"/>
  <c r="K19" i="270"/>
  <c r="J19" i="270"/>
  <c r="I19" i="270"/>
  <c r="H19" i="270"/>
  <c r="G19" i="270"/>
  <c r="F19" i="270"/>
  <c r="N18" i="270"/>
  <c r="M18" i="270"/>
  <c r="N17" i="270"/>
  <c r="N16" i="270"/>
  <c r="M16" i="270"/>
  <c r="N15" i="270"/>
  <c r="M15" i="270"/>
  <c r="M18" i="269"/>
  <c r="L18" i="269"/>
  <c r="K18" i="269"/>
  <c r="J18" i="269"/>
  <c r="I18" i="269"/>
  <c r="H18" i="269"/>
  <c r="G18" i="269"/>
  <c r="F18" i="269"/>
  <c r="E18" i="269"/>
  <c r="M16" i="269"/>
  <c r="L16" i="269"/>
  <c r="K16" i="269"/>
  <c r="J16" i="269"/>
  <c r="I16" i="269"/>
  <c r="H16" i="269"/>
  <c r="G16" i="269"/>
  <c r="F16" i="269"/>
  <c r="E16" i="269"/>
  <c r="M15" i="269"/>
  <c r="L15" i="269"/>
  <c r="M21" i="268"/>
  <c r="L21" i="268"/>
  <c r="K21" i="268"/>
  <c r="J21" i="268"/>
  <c r="I21" i="268"/>
  <c r="H21" i="268"/>
  <c r="G21" i="268"/>
  <c r="F21" i="268"/>
  <c r="E21" i="268"/>
  <c r="M19" i="268"/>
  <c r="L19" i="268"/>
  <c r="K19" i="268"/>
  <c r="J19" i="268"/>
  <c r="I19" i="268"/>
  <c r="H19" i="268"/>
  <c r="G19" i="268"/>
  <c r="F19" i="268"/>
  <c r="E19" i="268"/>
  <c r="M18" i="268"/>
  <c r="L18" i="268"/>
  <c r="M16" i="268"/>
  <c r="L16" i="268"/>
  <c r="K16" i="268"/>
  <c r="J16" i="268"/>
  <c r="I16" i="268"/>
  <c r="H16" i="268"/>
  <c r="G16" i="268"/>
  <c r="F16" i="268"/>
  <c r="E16" i="268"/>
  <c r="M15" i="268"/>
  <c r="L15" i="268"/>
  <c r="L56" i="266"/>
  <c r="K56" i="266"/>
  <c r="I56" i="266"/>
  <c r="H56" i="266"/>
  <c r="G56" i="266"/>
  <c r="F56" i="266"/>
  <c r="D56" i="266"/>
  <c r="C56" i="266"/>
  <c r="L53" i="266"/>
  <c r="K53" i="266"/>
  <c r="I53" i="266"/>
  <c r="H53" i="266"/>
  <c r="G53" i="266"/>
  <c r="F53" i="266"/>
  <c r="D53" i="266"/>
  <c r="L52" i="266"/>
  <c r="K52" i="266"/>
  <c r="L49" i="266"/>
  <c r="K49" i="266"/>
  <c r="I49" i="266"/>
  <c r="H49" i="266"/>
  <c r="G49" i="266"/>
  <c r="F49" i="266"/>
  <c r="D49" i="266"/>
  <c r="L48" i="266"/>
  <c r="K48" i="266"/>
  <c r="L45" i="266"/>
  <c r="K45" i="266"/>
  <c r="I45" i="266"/>
  <c r="H45" i="266"/>
  <c r="G45" i="266"/>
  <c r="F45" i="266"/>
  <c r="D45" i="266"/>
  <c r="L44" i="266"/>
  <c r="K44" i="266"/>
  <c r="L43" i="266"/>
  <c r="K43" i="266"/>
  <c r="L40" i="266"/>
  <c r="K40" i="266"/>
  <c r="I40" i="266"/>
  <c r="H40" i="266"/>
  <c r="G40" i="266"/>
  <c r="F40" i="266"/>
  <c r="D40" i="266"/>
  <c r="L39" i="266"/>
  <c r="K39" i="266"/>
  <c r="L36" i="266"/>
  <c r="K36" i="266"/>
  <c r="I36" i="266"/>
  <c r="H36" i="266"/>
  <c r="G36" i="266"/>
  <c r="F36" i="266"/>
  <c r="D36" i="266"/>
  <c r="L35" i="266"/>
  <c r="K35" i="266"/>
  <c r="L32" i="266"/>
  <c r="K32" i="266"/>
  <c r="I32" i="266"/>
  <c r="H32" i="266"/>
  <c r="G32" i="266"/>
  <c r="F32" i="266"/>
  <c r="D32" i="266"/>
  <c r="L31" i="266"/>
  <c r="K31" i="266"/>
  <c r="L24" i="266"/>
  <c r="K24" i="266"/>
  <c r="I24" i="266"/>
  <c r="H24" i="266"/>
  <c r="G24" i="266"/>
  <c r="F24" i="266"/>
  <c r="D24" i="266"/>
  <c r="L23" i="266"/>
  <c r="K23" i="266"/>
  <c r="L20" i="266"/>
  <c r="K20" i="266"/>
  <c r="I20" i="266"/>
  <c r="H20" i="266"/>
  <c r="G20" i="266"/>
  <c r="F20" i="266"/>
  <c r="D20" i="266"/>
  <c r="K19" i="266"/>
  <c r="L16" i="266"/>
  <c r="K16" i="266"/>
  <c r="I16" i="266"/>
  <c r="H16" i="266"/>
  <c r="G16" i="266"/>
  <c r="F16" i="266"/>
  <c r="D16" i="266"/>
  <c r="L15" i="266"/>
  <c r="K15" i="266"/>
  <c r="O35" i="265"/>
  <c r="N35" i="265"/>
  <c r="M35" i="265"/>
  <c r="L35" i="265"/>
  <c r="K35" i="265"/>
  <c r="J35" i="265"/>
  <c r="I35" i="265"/>
  <c r="H35" i="265"/>
  <c r="G35" i="265"/>
  <c r="O34" i="265"/>
  <c r="N34" i="265"/>
  <c r="M34" i="265"/>
  <c r="L34" i="265"/>
  <c r="K34" i="265"/>
  <c r="J34" i="265"/>
  <c r="I34" i="265"/>
  <c r="H34" i="265"/>
  <c r="G34" i="265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O139" i="264"/>
  <c r="N139" i="264"/>
  <c r="M139" i="264"/>
  <c r="L139" i="264"/>
  <c r="K139" i="264"/>
  <c r="J139" i="264"/>
  <c r="I139" i="264"/>
  <c r="G139" i="264"/>
  <c r="C139" i="264"/>
  <c r="O137" i="264"/>
  <c r="N137" i="264"/>
  <c r="M137" i="264"/>
  <c r="L137" i="264"/>
  <c r="K137" i="264"/>
  <c r="J137" i="264"/>
  <c r="I137" i="264"/>
  <c r="G137" i="264"/>
  <c r="O136" i="264"/>
  <c r="N136" i="264"/>
  <c r="O135" i="264"/>
  <c r="N135" i="264"/>
  <c r="O134" i="264"/>
  <c r="N134" i="264"/>
  <c r="O133" i="264"/>
  <c r="N133" i="264"/>
  <c r="O132" i="264"/>
  <c r="N132" i="264"/>
  <c r="O130" i="264"/>
  <c r="N130" i="264"/>
  <c r="O129" i="264"/>
  <c r="N129" i="264"/>
  <c r="O128" i="264"/>
  <c r="N128" i="264"/>
  <c r="O127" i="264"/>
  <c r="N127" i="264"/>
  <c r="O126" i="264"/>
  <c r="N126" i="264"/>
  <c r="O125" i="264"/>
  <c r="N125" i="264"/>
  <c r="O124" i="264"/>
  <c r="N124" i="264"/>
  <c r="O123" i="264"/>
  <c r="N123" i="264"/>
  <c r="O122" i="264"/>
  <c r="N122" i="264"/>
  <c r="O121" i="264"/>
  <c r="N121" i="264"/>
  <c r="O120" i="264"/>
  <c r="N120" i="264"/>
  <c r="O119" i="264"/>
  <c r="N119" i="264"/>
  <c r="O118" i="264"/>
  <c r="N118" i="264"/>
  <c r="O117" i="264"/>
  <c r="N117" i="264"/>
  <c r="O116" i="264"/>
  <c r="N116" i="264"/>
  <c r="O115" i="264"/>
  <c r="N115" i="264"/>
  <c r="O114" i="264"/>
  <c r="N114" i="264"/>
  <c r="O113" i="264"/>
  <c r="N113" i="264"/>
  <c r="O112" i="264"/>
  <c r="N112" i="264"/>
  <c r="O111" i="264"/>
  <c r="N111" i="264"/>
  <c r="O110" i="264"/>
  <c r="N110" i="264"/>
  <c r="O109" i="264"/>
  <c r="N109" i="264"/>
  <c r="O108" i="264"/>
  <c r="N108" i="264"/>
  <c r="O107" i="264"/>
  <c r="N107" i="264"/>
  <c r="O106" i="264"/>
  <c r="N106" i="264"/>
  <c r="O105" i="264"/>
  <c r="N105" i="264"/>
  <c r="O101" i="264"/>
  <c r="N101" i="264"/>
  <c r="M101" i="264"/>
  <c r="L101" i="264"/>
  <c r="K101" i="264"/>
  <c r="J101" i="264"/>
  <c r="I101" i="264"/>
  <c r="H101" i="264"/>
  <c r="G101" i="264"/>
  <c r="O100" i="264"/>
  <c r="N100" i="264"/>
  <c r="O97" i="264"/>
  <c r="N97" i="264"/>
  <c r="M97" i="264"/>
  <c r="L97" i="264"/>
  <c r="K97" i="264"/>
  <c r="J97" i="264"/>
  <c r="I97" i="264"/>
  <c r="H97" i="264"/>
  <c r="G97" i="264"/>
  <c r="O96" i="264"/>
  <c r="N96" i="264"/>
  <c r="O95" i="264"/>
  <c r="N95" i="264"/>
  <c r="O94" i="264"/>
  <c r="N94" i="264"/>
  <c r="O93" i="264"/>
  <c r="N93" i="264"/>
  <c r="O92" i="264"/>
  <c r="N92" i="264"/>
  <c r="O91" i="264"/>
  <c r="N91" i="264"/>
  <c r="O89" i="264"/>
  <c r="N89" i="264"/>
  <c r="M89" i="264"/>
  <c r="L89" i="264"/>
  <c r="K89" i="264"/>
  <c r="J89" i="264"/>
  <c r="I89" i="264"/>
  <c r="H89" i="264"/>
  <c r="G89" i="264"/>
  <c r="O88" i="264"/>
  <c r="O81" i="264"/>
  <c r="N81" i="264"/>
  <c r="M81" i="264"/>
  <c r="L81" i="264"/>
  <c r="K81" i="264"/>
  <c r="J81" i="264"/>
  <c r="I81" i="264"/>
  <c r="H81" i="264"/>
  <c r="G81" i="264"/>
  <c r="O80" i="264"/>
  <c r="N80" i="264"/>
  <c r="O79" i="264"/>
  <c r="N79" i="264"/>
  <c r="O76" i="264"/>
  <c r="N76" i="264"/>
  <c r="M76" i="264"/>
  <c r="L76" i="264"/>
  <c r="K76" i="264"/>
  <c r="J76" i="264"/>
  <c r="I76" i="264"/>
  <c r="H76" i="264"/>
  <c r="G76" i="264"/>
  <c r="O75" i="264"/>
  <c r="N75" i="264"/>
  <c r="O72" i="264"/>
  <c r="N72" i="264"/>
  <c r="M72" i="264"/>
  <c r="L72" i="264"/>
  <c r="K72" i="264"/>
  <c r="J72" i="264"/>
  <c r="I72" i="264"/>
  <c r="H72" i="264"/>
  <c r="G72" i="264"/>
  <c r="O71" i="264"/>
  <c r="N71" i="264"/>
  <c r="O70" i="264"/>
  <c r="N70" i="264"/>
  <c r="O69" i="264"/>
  <c r="N69" i="264"/>
  <c r="O68" i="264"/>
  <c r="N68" i="264"/>
  <c r="O65" i="264"/>
  <c r="N65" i="264"/>
  <c r="M65" i="264"/>
  <c r="L65" i="264"/>
  <c r="K65" i="264"/>
  <c r="J65" i="264"/>
  <c r="I65" i="264"/>
  <c r="H65" i="264"/>
  <c r="G65" i="264"/>
  <c r="O64" i="264"/>
  <c r="N64" i="264"/>
  <c r="O63" i="264"/>
  <c r="N63" i="264"/>
  <c r="O62" i="264"/>
  <c r="N62" i="264"/>
  <c r="O61" i="264"/>
  <c r="N61" i="264"/>
  <c r="O60" i="264"/>
  <c r="N60" i="264"/>
  <c r="O59" i="264"/>
  <c r="N59" i="264"/>
  <c r="O58" i="264"/>
  <c r="N58" i="264"/>
  <c r="O55" i="264"/>
  <c r="N55" i="264"/>
  <c r="M55" i="264"/>
  <c r="L55" i="264"/>
  <c r="K55" i="264"/>
  <c r="J55" i="264"/>
  <c r="I55" i="264"/>
  <c r="H55" i="264"/>
  <c r="G55" i="264"/>
  <c r="O54" i="264"/>
  <c r="O53" i="264"/>
  <c r="N53" i="264"/>
  <c r="O50" i="264"/>
  <c r="N50" i="264"/>
  <c r="M50" i="264"/>
  <c r="L50" i="264"/>
  <c r="K50" i="264"/>
  <c r="J50" i="264"/>
  <c r="I50" i="264"/>
  <c r="H50" i="264"/>
  <c r="G50" i="264"/>
  <c r="O49" i="264"/>
  <c r="N49" i="264"/>
  <c r="O48" i="264"/>
  <c r="O44" i="264"/>
  <c r="N44" i="264"/>
  <c r="M44" i="264"/>
  <c r="L44" i="264"/>
  <c r="K44" i="264"/>
  <c r="J44" i="264"/>
  <c r="I44" i="264"/>
  <c r="H44" i="264"/>
  <c r="G44" i="264"/>
  <c r="O43" i="264"/>
  <c r="N43" i="264"/>
  <c r="O40" i="264"/>
  <c r="N40" i="264"/>
  <c r="M40" i="264"/>
  <c r="L40" i="264"/>
  <c r="K40" i="264"/>
  <c r="J40" i="264"/>
  <c r="I40" i="264"/>
  <c r="H40" i="264"/>
  <c r="G40" i="264"/>
  <c r="O39" i="264"/>
  <c r="N39" i="264"/>
  <c r="O36" i="264"/>
  <c r="N36" i="264"/>
  <c r="M36" i="264"/>
  <c r="L36" i="264"/>
  <c r="K36" i="264"/>
  <c r="J36" i="264"/>
  <c r="I36" i="264"/>
  <c r="H36" i="264"/>
  <c r="G36" i="264"/>
  <c r="O35" i="264"/>
  <c r="N35" i="264"/>
  <c r="O34" i="264"/>
  <c r="N34" i="264"/>
  <c r="O31" i="264"/>
  <c r="N31" i="264"/>
  <c r="M31" i="264"/>
  <c r="L31" i="264"/>
  <c r="K31" i="264"/>
  <c r="J31" i="264"/>
  <c r="I31" i="264"/>
  <c r="H31" i="264"/>
  <c r="G31" i="264"/>
  <c r="O30" i="264"/>
  <c r="O29" i="264"/>
  <c r="N29" i="264"/>
  <c r="O26" i="264"/>
  <c r="N26" i="264"/>
  <c r="M26" i="264"/>
  <c r="L26" i="264"/>
  <c r="K26" i="264"/>
  <c r="J26" i="264"/>
  <c r="I26" i="264"/>
  <c r="G26" i="264"/>
  <c r="O25" i="264"/>
  <c r="N25" i="264"/>
  <c r="O24" i="264"/>
  <c r="N24" i="264"/>
  <c r="O20" i="264"/>
  <c r="N20" i="264"/>
  <c r="M20" i="264"/>
  <c r="L20" i="264"/>
  <c r="K20" i="264"/>
  <c r="J20" i="264"/>
  <c r="I20" i="264"/>
  <c r="H20" i="264"/>
  <c r="G20" i="264"/>
  <c r="O19" i="264"/>
  <c r="N19" i="264"/>
  <c r="O16" i="264"/>
  <c r="N16" i="264"/>
  <c r="M16" i="264"/>
  <c r="L16" i="264"/>
  <c r="K16" i="264"/>
  <c r="J16" i="264"/>
  <c r="I16" i="264"/>
  <c r="G16" i="264"/>
  <c r="O15" i="264"/>
  <c r="N15" i="264"/>
  <c r="O14" i="264"/>
  <c r="N221" i="263"/>
  <c r="M221" i="263"/>
  <c r="L221" i="263"/>
  <c r="K221" i="263"/>
  <c r="J221" i="263"/>
  <c r="I221" i="263"/>
  <c r="H221" i="263"/>
  <c r="F221" i="263"/>
  <c r="D221" i="263"/>
  <c r="N219" i="263"/>
  <c r="M219" i="263"/>
  <c r="L219" i="263"/>
  <c r="K219" i="263"/>
  <c r="J219" i="263"/>
  <c r="I219" i="263"/>
  <c r="H219" i="263"/>
  <c r="F219" i="263"/>
  <c r="N214" i="263"/>
  <c r="M214" i="263"/>
  <c r="N213" i="263"/>
  <c r="M213" i="263"/>
  <c r="N212" i="263"/>
  <c r="M212" i="263"/>
  <c r="N211" i="263"/>
  <c r="M211" i="263"/>
  <c r="N210" i="263"/>
  <c r="M210" i="263"/>
  <c r="N209" i="263"/>
  <c r="M209" i="263"/>
  <c r="N208" i="263"/>
  <c r="M208" i="263"/>
  <c r="N207" i="263"/>
  <c r="M207" i="263"/>
  <c r="N206" i="263"/>
  <c r="M206" i="263"/>
  <c r="N205" i="263"/>
  <c r="M205" i="263"/>
  <c r="N204" i="263"/>
  <c r="M204" i="263"/>
  <c r="N203" i="263"/>
  <c r="M203" i="263"/>
  <c r="N202" i="263"/>
  <c r="M202" i="263"/>
  <c r="N201" i="263"/>
  <c r="M201" i="263"/>
  <c r="N200" i="263"/>
  <c r="M200" i="263"/>
  <c r="N199" i="263"/>
  <c r="M199" i="263"/>
  <c r="N198" i="263"/>
  <c r="M198" i="263"/>
  <c r="N197" i="263"/>
  <c r="M197" i="263"/>
  <c r="N196" i="263"/>
  <c r="M196" i="263"/>
  <c r="N195" i="263"/>
  <c r="M195" i="263"/>
  <c r="N194" i="263"/>
  <c r="M194" i="263"/>
  <c r="N193" i="263"/>
  <c r="M193" i="263"/>
  <c r="N192" i="263"/>
  <c r="M192" i="263"/>
  <c r="N191" i="263"/>
  <c r="M191" i="263"/>
  <c r="N190" i="263"/>
  <c r="M190" i="263"/>
  <c r="N189" i="263"/>
  <c r="M189" i="263"/>
  <c r="N188" i="263"/>
  <c r="N187" i="263"/>
  <c r="M187" i="263"/>
  <c r="N186" i="263"/>
  <c r="M186" i="263"/>
  <c r="N185" i="263"/>
  <c r="M185" i="263"/>
  <c r="N184" i="263"/>
  <c r="M184" i="263"/>
  <c r="N183" i="263"/>
  <c r="M183" i="263"/>
  <c r="N182" i="263"/>
  <c r="M182" i="263"/>
  <c r="N179" i="263"/>
  <c r="M179" i="263"/>
  <c r="L179" i="263"/>
  <c r="K179" i="263"/>
  <c r="J179" i="263"/>
  <c r="I179" i="263"/>
  <c r="H179" i="263"/>
  <c r="F179" i="263"/>
  <c r="N178" i="263"/>
  <c r="M178" i="263"/>
  <c r="N177" i="263"/>
  <c r="M177" i="263"/>
  <c r="N176" i="263"/>
  <c r="M176" i="263"/>
  <c r="N175" i="263"/>
  <c r="M175" i="263"/>
  <c r="N174" i="263"/>
  <c r="M174" i="263"/>
  <c r="N173" i="263"/>
  <c r="M173" i="263"/>
  <c r="N172" i="263"/>
  <c r="M172" i="263"/>
  <c r="N171" i="263"/>
  <c r="M171" i="263"/>
  <c r="N170" i="263"/>
  <c r="M170" i="263"/>
  <c r="N169" i="263"/>
  <c r="M169" i="263"/>
  <c r="N168" i="263"/>
  <c r="M168" i="263"/>
  <c r="N165" i="263"/>
  <c r="M165" i="263"/>
  <c r="L165" i="263"/>
  <c r="K165" i="263"/>
  <c r="J165" i="263"/>
  <c r="I165" i="263"/>
  <c r="H165" i="263"/>
  <c r="G165" i="263"/>
  <c r="F165" i="263"/>
  <c r="N164" i="263"/>
  <c r="M164" i="263"/>
  <c r="N163" i="263"/>
  <c r="M163" i="263"/>
  <c r="N160" i="263"/>
  <c r="M160" i="263"/>
  <c r="L160" i="263"/>
  <c r="K160" i="263"/>
  <c r="J160" i="263"/>
  <c r="I160" i="263"/>
  <c r="H160" i="263"/>
  <c r="F160" i="263"/>
  <c r="N159" i="263"/>
  <c r="M159" i="263"/>
  <c r="N158" i="263"/>
  <c r="M158" i="263"/>
  <c r="N155" i="263"/>
  <c r="M155" i="263"/>
  <c r="L155" i="263"/>
  <c r="K155" i="263"/>
  <c r="J155" i="263"/>
  <c r="I155" i="263"/>
  <c r="H155" i="263"/>
  <c r="G155" i="263"/>
  <c r="F155" i="263"/>
  <c r="N154" i="263"/>
  <c r="M154" i="263"/>
  <c r="N153" i="263"/>
  <c r="M153" i="263"/>
  <c r="N152" i="263"/>
  <c r="M152" i="263"/>
  <c r="N151" i="263"/>
  <c r="M151" i="263"/>
  <c r="M148" i="263"/>
  <c r="L148" i="263"/>
  <c r="K148" i="263"/>
  <c r="J148" i="263"/>
  <c r="I148" i="263"/>
  <c r="H148" i="263"/>
  <c r="G148" i="263"/>
  <c r="F148" i="263"/>
  <c r="N147" i="263"/>
  <c r="M147" i="263"/>
  <c r="N144" i="263"/>
  <c r="M144" i="263"/>
  <c r="L144" i="263"/>
  <c r="K144" i="263"/>
  <c r="J144" i="263"/>
  <c r="I144" i="263"/>
  <c r="H144" i="263"/>
  <c r="G144" i="263"/>
  <c r="F144" i="263"/>
  <c r="N143" i="263"/>
  <c r="M143" i="263"/>
  <c r="N140" i="263"/>
  <c r="M140" i="263"/>
  <c r="L140" i="263"/>
  <c r="K140" i="263"/>
  <c r="J140" i="263"/>
  <c r="I140" i="263"/>
  <c r="H140" i="263"/>
  <c r="G140" i="263"/>
  <c r="F140" i="263"/>
  <c r="N139" i="263"/>
  <c r="M139" i="263"/>
  <c r="N138" i="263"/>
  <c r="M138" i="263"/>
  <c r="N137" i="263"/>
  <c r="M137" i="263"/>
  <c r="N134" i="263"/>
  <c r="M134" i="263"/>
  <c r="L134" i="263"/>
  <c r="K134" i="263"/>
  <c r="J134" i="263"/>
  <c r="I134" i="263"/>
  <c r="H134" i="263"/>
  <c r="G134" i="263"/>
  <c r="F134" i="263"/>
  <c r="N133" i="263"/>
  <c r="M133" i="263"/>
  <c r="N132" i="263"/>
  <c r="M132" i="263"/>
  <c r="N131" i="263"/>
  <c r="M131" i="263"/>
  <c r="N130" i="263"/>
  <c r="M130" i="263"/>
  <c r="N129" i="263"/>
  <c r="N128" i="263"/>
  <c r="M128" i="263"/>
  <c r="N125" i="263"/>
  <c r="M125" i="263"/>
  <c r="L125" i="263"/>
  <c r="K125" i="263"/>
  <c r="J125" i="263"/>
  <c r="I125" i="263"/>
  <c r="H125" i="263"/>
  <c r="G125" i="263"/>
  <c r="F125" i="263"/>
  <c r="N124" i="263"/>
  <c r="M124" i="263"/>
  <c r="N123" i="263"/>
  <c r="M123" i="263"/>
  <c r="N119" i="263"/>
  <c r="M119" i="263"/>
  <c r="L119" i="263"/>
  <c r="K119" i="263"/>
  <c r="J119" i="263"/>
  <c r="I119" i="263"/>
  <c r="H119" i="263"/>
  <c r="G119" i="263"/>
  <c r="F119" i="263"/>
  <c r="N118" i="263"/>
  <c r="M118" i="263"/>
  <c r="N117" i="263"/>
  <c r="N116" i="263"/>
  <c r="M116" i="263"/>
  <c r="N115" i="263"/>
  <c r="M115" i="263"/>
  <c r="N114" i="263"/>
  <c r="N113" i="263"/>
  <c r="M113" i="263"/>
  <c r="N112" i="263"/>
  <c r="M112" i="263"/>
  <c r="N109" i="263"/>
  <c r="M109" i="263"/>
  <c r="L109" i="263"/>
  <c r="K109" i="263"/>
  <c r="J109" i="263"/>
  <c r="I109" i="263"/>
  <c r="H109" i="263"/>
  <c r="F109" i="263"/>
  <c r="N108" i="263"/>
  <c r="M108" i="263"/>
  <c r="N105" i="263"/>
  <c r="M105" i="263"/>
  <c r="L105" i="263"/>
  <c r="K105" i="263"/>
  <c r="J105" i="263"/>
  <c r="I105" i="263"/>
  <c r="H105" i="263"/>
  <c r="F105" i="263"/>
  <c r="N104" i="263"/>
  <c r="M104" i="263"/>
  <c r="N100" i="263"/>
  <c r="M100" i="263"/>
  <c r="L100" i="263"/>
  <c r="K100" i="263"/>
  <c r="J100" i="263"/>
  <c r="I100" i="263"/>
  <c r="H100" i="263"/>
  <c r="G100" i="263"/>
  <c r="F100" i="263"/>
  <c r="N99" i="263"/>
  <c r="M99" i="263"/>
  <c r="N98" i="263"/>
  <c r="M98" i="263"/>
  <c r="N97" i="263"/>
  <c r="M97" i="263"/>
  <c r="N94" i="263"/>
  <c r="M94" i="263"/>
  <c r="L94" i="263"/>
  <c r="K94" i="263"/>
  <c r="J94" i="263"/>
  <c r="I94" i="263"/>
  <c r="H94" i="263"/>
  <c r="G94" i="263"/>
  <c r="F94" i="263"/>
  <c r="N93" i="263"/>
  <c r="M93" i="263"/>
  <c r="N92" i="263"/>
  <c r="M92" i="263"/>
  <c r="N89" i="263"/>
  <c r="M89" i="263"/>
  <c r="L89" i="263"/>
  <c r="K89" i="263"/>
  <c r="J89" i="263"/>
  <c r="I89" i="263"/>
  <c r="H89" i="263"/>
  <c r="G89" i="263"/>
  <c r="F89" i="263"/>
  <c r="N88" i="263"/>
  <c r="M88" i="263"/>
  <c r="N87" i="263"/>
  <c r="M87" i="263"/>
  <c r="N84" i="263"/>
  <c r="M84" i="263"/>
  <c r="L84" i="263"/>
  <c r="K84" i="263"/>
  <c r="J84" i="263"/>
  <c r="I84" i="263"/>
  <c r="H84" i="263"/>
  <c r="F84" i="263"/>
  <c r="N83" i="263"/>
  <c r="M83" i="263"/>
  <c r="N82" i="263"/>
  <c r="M82" i="263"/>
  <c r="N81" i="263"/>
  <c r="M81" i="263"/>
  <c r="N80" i="263"/>
  <c r="M80" i="263"/>
  <c r="N79" i="263"/>
  <c r="M79" i="263"/>
  <c r="N78" i="263"/>
  <c r="M78" i="263"/>
  <c r="N77" i="263"/>
  <c r="M77" i="263"/>
  <c r="N76" i="263"/>
  <c r="M76" i="263"/>
  <c r="N75" i="263"/>
  <c r="M75" i="263"/>
  <c r="N74" i="263"/>
  <c r="M74" i="263"/>
  <c r="N73" i="263"/>
  <c r="M73" i="263"/>
  <c r="N72" i="263"/>
  <c r="M72" i="263"/>
  <c r="N69" i="263"/>
  <c r="M69" i="263"/>
  <c r="L69" i="263"/>
  <c r="K69" i="263"/>
  <c r="J69" i="263"/>
  <c r="I69" i="263"/>
  <c r="H69" i="263"/>
  <c r="G69" i="263"/>
  <c r="F69" i="263"/>
  <c r="N68" i="263"/>
  <c r="M68" i="263"/>
  <c r="N67" i="263"/>
  <c r="M67" i="263"/>
  <c r="N66" i="263"/>
  <c r="M66" i="263"/>
  <c r="N65" i="263"/>
  <c r="M65" i="263"/>
  <c r="N64" i="263"/>
  <c r="M64" i="263"/>
  <c r="N63" i="263"/>
  <c r="M63" i="263"/>
  <c r="N62" i="263"/>
  <c r="M62" i="263"/>
  <c r="N61" i="263"/>
  <c r="M61" i="263"/>
  <c r="N60" i="263"/>
  <c r="M60" i="263"/>
  <c r="N57" i="263"/>
  <c r="M57" i="263"/>
  <c r="L57" i="263"/>
  <c r="K57" i="263"/>
  <c r="J57" i="263"/>
  <c r="I57" i="263"/>
  <c r="H57" i="263"/>
  <c r="G57" i="263"/>
  <c r="F57" i="263"/>
  <c r="N56" i="263"/>
  <c r="M56" i="263"/>
  <c r="N55" i="263"/>
  <c r="M55" i="263"/>
  <c r="N54" i="263"/>
  <c r="M54" i="263"/>
  <c r="N51" i="263"/>
  <c r="M51" i="263"/>
  <c r="L51" i="263"/>
  <c r="K51" i="263"/>
  <c r="J51" i="263"/>
  <c r="I51" i="263"/>
  <c r="H51" i="263"/>
  <c r="G51" i="263"/>
  <c r="F51" i="263"/>
  <c r="N50" i="263"/>
  <c r="M50" i="263"/>
  <c r="N47" i="263"/>
  <c r="M47" i="263"/>
  <c r="L47" i="263"/>
  <c r="K47" i="263"/>
  <c r="J47" i="263"/>
  <c r="I47" i="263"/>
  <c r="H47" i="263"/>
  <c r="G47" i="263"/>
  <c r="F47" i="263"/>
  <c r="N46" i="263"/>
  <c r="M46" i="263"/>
  <c r="N45" i="263"/>
  <c r="M45" i="263"/>
  <c r="N42" i="263"/>
  <c r="M42" i="263"/>
  <c r="L42" i="263"/>
  <c r="K42" i="263"/>
  <c r="J42" i="263"/>
  <c r="I42" i="263"/>
  <c r="G42" i="263"/>
  <c r="F42" i="263"/>
  <c r="N41" i="263"/>
  <c r="M41" i="263"/>
  <c r="N38" i="263"/>
  <c r="M38" i="263"/>
  <c r="L38" i="263"/>
  <c r="K38" i="263"/>
  <c r="J38" i="263"/>
  <c r="I38" i="263"/>
  <c r="H38" i="263"/>
  <c r="F38" i="263"/>
  <c r="N37" i="263"/>
  <c r="M37" i="263"/>
  <c r="N36" i="263"/>
  <c r="M36" i="263"/>
  <c r="N35" i="263"/>
  <c r="M35" i="263"/>
  <c r="N33" i="263"/>
  <c r="M33" i="263"/>
  <c r="N32" i="263"/>
  <c r="M32" i="263"/>
  <c r="N31" i="263"/>
  <c r="M31" i="263"/>
  <c r="N28" i="263"/>
  <c r="M28" i="263"/>
  <c r="L28" i="263"/>
  <c r="K28" i="263"/>
  <c r="J28" i="263"/>
  <c r="I28" i="263"/>
  <c r="H28" i="263"/>
  <c r="G28" i="263"/>
  <c r="F28" i="263"/>
  <c r="N27" i="263"/>
  <c r="M27" i="263"/>
  <c r="N24" i="263"/>
  <c r="M24" i="263"/>
  <c r="L24" i="263"/>
  <c r="K24" i="263"/>
  <c r="J24" i="263"/>
  <c r="I24" i="263"/>
  <c r="H24" i="263"/>
  <c r="F24" i="263"/>
  <c r="N23" i="263"/>
  <c r="M23" i="263"/>
  <c r="N22" i="263"/>
  <c r="M22" i="263"/>
  <c r="N21" i="263"/>
  <c r="M21" i="263"/>
  <c r="N18" i="263"/>
  <c r="M18" i="263"/>
  <c r="L18" i="263"/>
  <c r="K18" i="263"/>
  <c r="J18" i="263"/>
  <c r="I18" i="263"/>
  <c r="H18" i="263"/>
  <c r="G18" i="263"/>
  <c r="F18" i="263"/>
  <c r="N17" i="263"/>
  <c r="M17" i="263"/>
  <c r="N16" i="263"/>
  <c r="N15" i="263"/>
  <c r="M15" i="263"/>
  <c r="N14" i="263"/>
  <c r="M14" i="263"/>
  <c r="M17" i="262"/>
  <c r="L17" i="262"/>
  <c r="K17" i="262"/>
  <c r="J17" i="262"/>
  <c r="I17" i="262"/>
  <c r="H17" i="262"/>
  <c r="G17" i="262"/>
  <c r="F17" i="262"/>
  <c r="E17" i="262"/>
  <c r="M16" i="262"/>
  <c r="L16" i="262"/>
  <c r="K16" i="262"/>
  <c r="J16" i="262"/>
  <c r="I16" i="262"/>
  <c r="H16" i="262"/>
  <c r="G16" i="262"/>
  <c r="F16" i="262"/>
  <c r="E16" i="262"/>
  <c r="M15" i="262"/>
  <c r="L15" i="262"/>
  <c r="M21" i="260"/>
  <c r="L21" i="260"/>
  <c r="K21" i="260"/>
  <c r="J21" i="260"/>
  <c r="I21" i="260"/>
  <c r="H21" i="260"/>
  <c r="G21" i="260"/>
  <c r="F21" i="260"/>
  <c r="E21" i="260"/>
  <c r="M19" i="260"/>
  <c r="L19" i="260"/>
  <c r="K19" i="260"/>
  <c r="J19" i="260"/>
  <c r="I19" i="260"/>
  <c r="H19" i="260"/>
  <c r="G19" i="260"/>
  <c r="F19" i="260"/>
  <c r="E19" i="260"/>
  <c r="M18" i="260"/>
  <c r="L18" i="260"/>
  <c r="M16" i="260"/>
  <c r="L16" i="260"/>
  <c r="K16" i="260"/>
  <c r="J16" i="260"/>
  <c r="I16" i="260"/>
  <c r="H16" i="260"/>
  <c r="G16" i="260"/>
  <c r="F16" i="260"/>
  <c r="E16" i="260"/>
  <c r="M15" i="260"/>
  <c r="L15" i="260"/>
  <c r="L53" i="259"/>
  <c r="K53" i="259"/>
  <c r="I53" i="259"/>
  <c r="H53" i="259"/>
  <c r="G53" i="259"/>
  <c r="F53" i="259"/>
  <c r="D53" i="259"/>
  <c r="C53" i="259"/>
  <c r="L50" i="259"/>
  <c r="K50" i="259"/>
  <c r="I50" i="259"/>
  <c r="H50" i="259"/>
  <c r="G50" i="259"/>
  <c r="F50" i="259"/>
  <c r="D50" i="259"/>
  <c r="L49" i="259"/>
  <c r="K49" i="259"/>
  <c r="L46" i="259"/>
  <c r="K46" i="259"/>
  <c r="I46" i="259"/>
  <c r="H46" i="259"/>
  <c r="G46" i="259"/>
  <c r="F46" i="259"/>
  <c r="D46" i="259"/>
  <c r="L45" i="259"/>
  <c r="K45" i="259"/>
  <c r="L42" i="259"/>
  <c r="K42" i="259"/>
  <c r="J42" i="259"/>
  <c r="I42" i="259"/>
  <c r="H42" i="259"/>
  <c r="G42" i="259"/>
  <c r="F42" i="259"/>
  <c r="D42" i="259"/>
  <c r="L41" i="259"/>
  <c r="K41" i="259"/>
  <c r="L40" i="259"/>
  <c r="K40" i="259"/>
  <c r="L37" i="259"/>
  <c r="K37" i="259"/>
  <c r="I37" i="259"/>
  <c r="H37" i="259"/>
  <c r="G37" i="259"/>
  <c r="F37" i="259"/>
  <c r="D37" i="259"/>
  <c r="L36" i="259"/>
  <c r="K36" i="259"/>
  <c r="L33" i="259"/>
  <c r="K33" i="259"/>
  <c r="I33" i="259"/>
  <c r="H33" i="259"/>
  <c r="G33" i="259"/>
  <c r="F33" i="259"/>
  <c r="D33" i="259"/>
  <c r="L32" i="259"/>
  <c r="K32" i="259"/>
  <c r="L29" i="259"/>
  <c r="K29" i="259"/>
  <c r="I29" i="259"/>
  <c r="H29" i="259"/>
  <c r="G29" i="259"/>
  <c r="F29" i="259"/>
  <c r="D29" i="259"/>
  <c r="L28" i="259"/>
  <c r="K28" i="259"/>
  <c r="L24" i="259"/>
  <c r="K24" i="259"/>
  <c r="J24" i="259"/>
  <c r="I24" i="259"/>
  <c r="H24" i="259"/>
  <c r="G24" i="259"/>
  <c r="F24" i="259"/>
  <c r="D24" i="259"/>
  <c r="L23" i="259"/>
  <c r="K23" i="259"/>
  <c r="L20" i="259"/>
  <c r="K20" i="259"/>
  <c r="I20" i="259"/>
  <c r="H20" i="259"/>
  <c r="G20" i="259"/>
  <c r="F20" i="259"/>
  <c r="D20" i="259"/>
  <c r="K19" i="259"/>
  <c r="L16" i="259"/>
  <c r="K16" i="259"/>
  <c r="I16" i="259"/>
  <c r="H16" i="259"/>
  <c r="G16" i="259"/>
  <c r="F16" i="259"/>
  <c r="D16" i="259"/>
  <c r="L15" i="259"/>
  <c r="K15" i="259"/>
  <c r="O35" i="261"/>
  <c r="N35" i="261"/>
  <c r="M35" i="261"/>
  <c r="L35" i="261"/>
  <c r="K35" i="261"/>
  <c r="J35" i="261"/>
  <c r="I35" i="261"/>
  <c r="H35" i="261"/>
  <c r="G35" i="261"/>
  <c r="O34" i="261"/>
  <c r="N34" i="261"/>
  <c r="M34" i="261"/>
  <c r="L34" i="261"/>
  <c r="K34" i="261"/>
  <c r="J34" i="261"/>
  <c r="I34" i="261"/>
  <c r="H34" i="261"/>
  <c r="G34" i="26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O134" i="258"/>
  <c r="N134" i="258"/>
  <c r="M134" i="258"/>
  <c r="L134" i="258"/>
  <c r="K134" i="258"/>
  <c r="J134" i="258"/>
  <c r="I134" i="258"/>
  <c r="G134" i="258"/>
  <c r="C134" i="258"/>
  <c r="O132" i="258"/>
  <c r="N132" i="258"/>
  <c r="M132" i="258"/>
  <c r="L132" i="258"/>
  <c r="K132" i="258"/>
  <c r="J132" i="258"/>
  <c r="I132" i="258"/>
  <c r="G132" i="258"/>
  <c r="O131" i="258"/>
  <c r="N131" i="258"/>
  <c r="O130" i="258"/>
  <c r="N130" i="258"/>
  <c r="O129" i="258"/>
  <c r="N129" i="258"/>
  <c r="O128" i="258"/>
  <c r="N128" i="258"/>
  <c r="O127" i="258"/>
  <c r="N127" i="258"/>
  <c r="O125" i="258"/>
  <c r="N125" i="258"/>
  <c r="O124" i="258"/>
  <c r="N124" i="258"/>
  <c r="O123" i="258"/>
  <c r="N123" i="258"/>
  <c r="O122" i="258"/>
  <c r="N122" i="258"/>
  <c r="O121" i="258"/>
  <c r="N121" i="258"/>
  <c r="O120" i="258"/>
  <c r="N120" i="258"/>
  <c r="O119" i="258"/>
  <c r="N119" i="258"/>
  <c r="O118" i="258"/>
  <c r="N118" i="258"/>
  <c r="O117" i="258"/>
  <c r="N117" i="258"/>
  <c r="O116" i="258"/>
  <c r="N116" i="258"/>
  <c r="O115" i="258"/>
  <c r="N115" i="258"/>
  <c r="O114" i="258"/>
  <c r="N114" i="258"/>
  <c r="O113" i="258"/>
  <c r="N113" i="258"/>
  <c r="O112" i="258"/>
  <c r="N112" i="258"/>
  <c r="O111" i="258"/>
  <c r="N111" i="258"/>
  <c r="O110" i="258"/>
  <c r="N110" i="258"/>
  <c r="O109" i="258"/>
  <c r="N109" i="258"/>
  <c r="O108" i="258"/>
  <c r="N108" i="258"/>
  <c r="O107" i="258"/>
  <c r="N107" i="258"/>
  <c r="O106" i="258"/>
  <c r="N106" i="258"/>
  <c r="O105" i="258"/>
  <c r="N105" i="258"/>
  <c r="O104" i="258"/>
  <c r="N104" i="258"/>
  <c r="O103" i="258"/>
  <c r="N103" i="258"/>
  <c r="O102" i="258"/>
  <c r="N102" i="258"/>
  <c r="O101" i="258"/>
  <c r="N101" i="258"/>
  <c r="O100" i="258"/>
  <c r="N100" i="258"/>
  <c r="O96" i="258"/>
  <c r="N96" i="258"/>
  <c r="M96" i="258"/>
  <c r="L96" i="258"/>
  <c r="K96" i="258"/>
  <c r="J96" i="258"/>
  <c r="I96" i="258"/>
  <c r="H96" i="258"/>
  <c r="G96" i="258"/>
  <c r="O95" i="258"/>
  <c r="N95" i="258"/>
  <c r="O92" i="258"/>
  <c r="N92" i="258"/>
  <c r="M92" i="258"/>
  <c r="L92" i="258"/>
  <c r="K92" i="258"/>
  <c r="J92" i="258"/>
  <c r="I92" i="258"/>
  <c r="H92" i="258"/>
  <c r="G92" i="258"/>
  <c r="O91" i="258"/>
  <c r="N91" i="258"/>
  <c r="O90" i="258"/>
  <c r="N90" i="258"/>
  <c r="O89" i="258"/>
  <c r="N89" i="258"/>
  <c r="O88" i="258"/>
  <c r="N88" i="258"/>
  <c r="O87" i="258"/>
  <c r="N87" i="258"/>
  <c r="O86" i="258"/>
  <c r="N86" i="258"/>
  <c r="O84" i="258"/>
  <c r="N84" i="258"/>
  <c r="M84" i="258"/>
  <c r="L84" i="258"/>
  <c r="K84" i="258"/>
  <c r="J84" i="258"/>
  <c r="I84" i="258"/>
  <c r="H84" i="258"/>
  <c r="G84" i="258"/>
  <c r="O83" i="258"/>
  <c r="N83" i="258"/>
  <c r="O80" i="258"/>
  <c r="N80" i="258"/>
  <c r="M80" i="258"/>
  <c r="L80" i="258"/>
  <c r="K80" i="258"/>
  <c r="J80" i="258"/>
  <c r="I80" i="258"/>
  <c r="H80" i="258"/>
  <c r="G80" i="258"/>
  <c r="O79" i="258"/>
  <c r="N79" i="258"/>
  <c r="O78" i="258"/>
  <c r="N78" i="258"/>
  <c r="O75" i="258"/>
  <c r="N75" i="258"/>
  <c r="M75" i="258"/>
  <c r="L75" i="258"/>
  <c r="K75" i="258"/>
  <c r="J75" i="258"/>
  <c r="I75" i="258"/>
  <c r="H75" i="258"/>
  <c r="G75" i="258"/>
  <c r="O74" i="258"/>
  <c r="N74" i="258"/>
  <c r="O71" i="258"/>
  <c r="N71" i="258"/>
  <c r="M71" i="258"/>
  <c r="L71" i="258"/>
  <c r="K71" i="258"/>
  <c r="J71" i="258"/>
  <c r="I71" i="258"/>
  <c r="H71" i="258"/>
  <c r="G71" i="258"/>
  <c r="O70" i="258"/>
  <c r="N70" i="258"/>
  <c r="O69" i="258"/>
  <c r="N69" i="258"/>
  <c r="O68" i="258"/>
  <c r="N68" i="258"/>
  <c r="O67" i="258"/>
  <c r="N67" i="258"/>
  <c r="O64" i="258"/>
  <c r="N64" i="258"/>
  <c r="M64" i="258"/>
  <c r="L64" i="258"/>
  <c r="K64" i="258"/>
  <c r="J64" i="258"/>
  <c r="I64" i="258"/>
  <c r="H64" i="258"/>
  <c r="G64" i="258"/>
  <c r="O63" i="258"/>
  <c r="N63" i="258"/>
  <c r="O62" i="258"/>
  <c r="N62" i="258"/>
  <c r="O61" i="258"/>
  <c r="N61" i="258"/>
  <c r="O60" i="258"/>
  <c r="N60" i="258"/>
  <c r="O59" i="258"/>
  <c r="N59" i="258"/>
  <c r="O58" i="258"/>
  <c r="N58" i="258"/>
  <c r="O57" i="258"/>
  <c r="N57" i="258"/>
  <c r="O54" i="258"/>
  <c r="N54" i="258"/>
  <c r="M54" i="258"/>
  <c r="L54" i="258"/>
  <c r="K54" i="258"/>
  <c r="J54" i="258"/>
  <c r="I54" i="258"/>
  <c r="H54" i="258"/>
  <c r="G54" i="258"/>
  <c r="O53" i="258"/>
  <c r="O52" i="258"/>
  <c r="N52" i="258"/>
  <c r="O49" i="258"/>
  <c r="N49" i="258"/>
  <c r="M49" i="258"/>
  <c r="L49" i="258"/>
  <c r="K49" i="258"/>
  <c r="J49" i="258"/>
  <c r="I49" i="258"/>
  <c r="H49" i="258"/>
  <c r="G49" i="258"/>
  <c r="O48" i="258"/>
  <c r="N48" i="258"/>
  <c r="O47" i="258"/>
  <c r="O43" i="258"/>
  <c r="N43" i="258"/>
  <c r="M43" i="258"/>
  <c r="L43" i="258"/>
  <c r="K43" i="258"/>
  <c r="J43" i="258"/>
  <c r="I43" i="258"/>
  <c r="H43" i="258"/>
  <c r="G43" i="258"/>
  <c r="O42" i="258"/>
  <c r="N42" i="258"/>
  <c r="O39" i="258"/>
  <c r="N39" i="258"/>
  <c r="M39" i="258"/>
  <c r="L39" i="258"/>
  <c r="K39" i="258"/>
  <c r="J39" i="258"/>
  <c r="I39" i="258"/>
  <c r="H39" i="258"/>
  <c r="G39" i="258"/>
  <c r="O38" i="258"/>
  <c r="N38" i="258"/>
  <c r="O35" i="258"/>
  <c r="N35" i="258"/>
  <c r="M35" i="258"/>
  <c r="L35" i="258"/>
  <c r="K35" i="258"/>
  <c r="J35" i="258"/>
  <c r="I35" i="258"/>
  <c r="H35" i="258"/>
  <c r="G35" i="258"/>
  <c r="O34" i="258"/>
  <c r="N34" i="258"/>
  <c r="O33" i="258"/>
  <c r="N33" i="258"/>
  <c r="O30" i="258"/>
  <c r="N30" i="258"/>
  <c r="M30" i="258"/>
  <c r="L30" i="258"/>
  <c r="K30" i="258"/>
  <c r="J30" i="258"/>
  <c r="I30" i="258"/>
  <c r="H30" i="258"/>
  <c r="G30" i="258"/>
  <c r="O29" i="258"/>
  <c r="N29" i="258"/>
  <c r="O28" i="258"/>
  <c r="N28" i="258"/>
  <c r="O25" i="258"/>
  <c r="N25" i="258"/>
  <c r="M25" i="258"/>
  <c r="L25" i="258"/>
  <c r="K25" i="258"/>
  <c r="J25" i="258"/>
  <c r="I25" i="258"/>
  <c r="H25" i="258"/>
  <c r="G25" i="258"/>
  <c r="O24" i="258"/>
  <c r="N24" i="258"/>
  <c r="O23" i="258"/>
  <c r="N23" i="258"/>
  <c r="O20" i="258"/>
  <c r="N20" i="258"/>
  <c r="M20" i="258"/>
  <c r="L20" i="258"/>
  <c r="K20" i="258"/>
  <c r="J20" i="258"/>
  <c r="I20" i="258"/>
  <c r="H20" i="258"/>
  <c r="G20" i="258"/>
  <c r="O19" i="258"/>
  <c r="N19" i="258"/>
  <c r="O16" i="258"/>
  <c r="N16" i="258"/>
  <c r="M16" i="258"/>
  <c r="L16" i="258"/>
  <c r="K16" i="258"/>
  <c r="J16" i="258"/>
  <c r="I16" i="258"/>
  <c r="H16" i="258"/>
  <c r="G16" i="258"/>
  <c r="O15" i="258"/>
  <c r="N15" i="258"/>
  <c r="O14" i="258"/>
  <c r="N14" i="258"/>
  <c r="N224" i="257"/>
  <c r="M224" i="257"/>
  <c r="L224" i="257"/>
  <c r="K224" i="257"/>
  <c r="J224" i="257"/>
  <c r="I224" i="257"/>
  <c r="H224" i="257"/>
  <c r="F224" i="257"/>
  <c r="D224" i="257"/>
  <c r="N222" i="257"/>
  <c r="M222" i="257"/>
  <c r="L222" i="257"/>
  <c r="K222" i="257"/>
  <c r="J222" i="257"/>
  <c r="I222" i="257"/>
  <c r="H222" i="257"/>
  <c r="F222" i="257"/>
  <c r="N218" i="257"/>
  <c r="M218" i="257"/>
  <c r="N217" i="257"/>
  <c r="M217" i="257"/>
  <c r="N216" i="257"/>
  <c r="M216" i="257"/>
  <c r="N215" i="257"/>
  <c r="M215" i="257"/>
  <c r="N214" i="257"/>
  <c r="M214" i="257"/>
  <c r="N213" i="257"/>
  <c r="M213" i="257"/>
  <c r="N212" i="257"/>
  <c r="M212" i="257"/>
  <c r="N211" i="257"/>
  <c r="M211" i="257"/>
  <c r="N210" i="257"/>
  <c r="M210" i="257"/>
  <c r="N209" i="257"/>
  <c r="M209" i="257"/>
  <c r="N208" i="257"/>
  <c r="M208" i="257"/>
  <c r="N207" i="257"/>
  <c r="M207" i="257"/>
  <c r="N206" i="257"/>
  <c r="M206" i="257"/>
  <c r="N205" i="257"/>
  <c r="M205" i="257"/>
  <c r="N204" i="257"/>
  <c r="M204" i="257"/>
  <c r="N203" i="257"/>
  <c r="M203" i="257"/>
  <c r="N202" i="257"/>
  <c r="M202" i="257"/>
  <c r="N201" i="257"/>
  <c r="M201" i="257"/>
  <c r="N200" i="257"/>
  <c r="M200" i="257"/>
  <c r="N199" i="257"/>
  <c r="M199" i="257"/>
  <c r="N198" i="257"/>
  <c r="M198" i="257"/>
  <c r="N197" i="257"/>
  <c r="M197" i="257"/>
  <c r="N196" i="257"/>
  <c r="M196" i="257"/>
  <c r="N195" i="257"/>
  <c r="M195" i="257"/>
  <c r="N194" i="257"/>
  <c r="M194" i="257"/>
  <c r="N193" i="257"/>
  <c r="M193" i="257"/>
  <c r="N192" i="257"/>
  <c r="N191" i="257"/>
  <c r="M191" i="257"/>
  <c r="N190" i="257"/>
  <c r="M190" i="257"/>
  <c r="N189" i="257"/>
  <c r="M189" i="257"/>
  <c r="N188" i="257"/>
  <c r="M188" i="257"/>
  <c r="N187" i="257"/>
  <c r="M187" i="257"/>
  <c r="N186" i="257"/>
  <c r="M186" i="257"/>
  <c r="N183" i="257"/>
  <c r="M183" i="257"/>
  <c r="L183" i="257"/>
  <c r="K183" i="257"/>
  <c r="J183" i="257"/>
  <c r="I183" i="257"/>
  <c r="H183" i="257"/>
  <c r="F183" i="257"/>
  <c r="N182" i="257"/>
  <c r="M182" i="257"/>
  <c r="N181" i="257"/>
  <c r="M181" i="257"/>
  <c r="N180" i="257"/>
  <c r="M180" i="257"/>
  <c r="N179" i="257"/>
  <c r="M179" i="257"/>
  <c r="N178" i="257"/>
  <c r="M178" i="257"/>
  <c r="N177" i="257"/>
  <c r="M177" i="257"/>
  <c r="N176" i="257"/>
  <c r="M176" i="257"/>
  <c r="N175" i="257"/>
  <c r="M175" i="257"/>
  <c r="N174" i="257"/>
  <c r="M174" i="257"/>
  <c r="N173" i="257"/>
  <c r="M173" i="257"/>
  <c r="N172" i="257"/>
  <c r="M172" i="257"/>
  <c r="N169" i="257"/>
  <c r="M169" i="257"/>
  <c r="L169" i="257"/>
  <c r="K169" i="257"/>
  <c r="J169" i="257"/>
  <c r="I169" i="257"/>
  <c r="H169" i="257"/>
  <c r="G169" i="257"/>
  <c r="F169" i="257"/>
  <c r="N168" i="257"/>
  <c r="M168" i="257"/>
  <c r="N167" i="257"/>
  <c r="M167" i="257"/>
  <c r="N164" i="257"/>
  <c r="M164" i="257"/>
  <c r="L164" i="257"/>
  <c r="K164" i="257"/>
  <c r="J164" i="257"/>
  <c r="I164" i="257"/>
  <c r="H164" i="257"/>
  <c r="F164" i="257"/>
  <c r="N163" i="257"/>
  <c r="M163" i="257"/>
  <c r="N162" i="257"/>
  <c r="M162" i="257"/>
  <c r="N159" i="257"/>
  <c r="M159" i="257"/>
  <c r="L159" i="257"/>
  <c r="K159" i="257"/>
  <c r="J159" i="257"/>
  <c r="I159" i="257"/>
  <c r="H159" i="257"/>
  <c r="G159" i="257"/>
  <c r="F159" i="257"/>
  <c r="N158" i="257"/>
  <c r="M158" i="257"/>
  <c r="N157" i="257"/>
  <c r="M157" i="257"/>
  <c r="N156" i="257"/>
  <c r="M156" i="257"/>
  <c r="N155" i="257"/>
  <c r="M155" i="257"/>
  <c r="M152" i="257"/>
  <c r="L152" i="257"/>
  <c r="K152" i="257"/>
  <c r="J152" i="257"/>
  <c r="I152" i="257"/>
  <c r="H152" i="257"/>
  <c r="G152" i="257"/>
  <c r="F152" i="257"/>
  <c r="N151" i="257"/>
  <c r="M151" i="257"/>
  <c r="N148" i="257"/>
  <c r="M148" i="257"/>
  <c r="L148" i="257"/>
  <c r="K148" i="257"/>
  <c r="J148" i="257"/>
  <c r="I148" i="257"/>
  <c r="H148" i="257"/>
  <c r="G148" i="257"/>
  <c r="F148" i="257"/>
  <c r="N147" i="257"/>
  <c r="M147" i="257"/>
  <c r="N144" i="257"/>
  <c r="M144" i="257"/>
  <c r="L144" i="257"/>
  <c r="K144" i="257"/>
  <c r="J144" i="257"/>
  <c r="I144" i="257"/>
  <c r="H144" i="257"/>
  <c r="G144" i="257"/>
  <c r="F144" i="257"/>
  <c r="N143" i="257"/>
  <c r="M143" i="257"/>
  <c r="N142" i="257"/>
  <c r="M142" i="257"/>
  <c r="N141" i="257"/>
  <c r="M141" i="257"/>
  <c r="N140" i="257"/>
  <c r="M140" i="257"/>
  <c r="N137" i="257"/>
  <c r="M137" i="257"/>
  <c r="L137" i="257"/>
  <c r="K137" i="257"/>
  <c r="J137" i="257"/>
  <c r="I137" i="257"/>
  <c r="H137" i="257"/>
  <c r="G137" i="257"/>
  <c r="F137" i="257"/>
  <c r="N136" i="257"/>
  <c r="M136" i="257"/>
  <c r="N135" i="257"/>
  <c r="M135" i="257"/>
  <c r="N134" i="257"/>
  <c r="M134" i="257"/>
  <c r="N133" i="257"/>
  <c r="M133" i="257"/>
  <c r="N132" i="257"/>
  <c r="M132" i="257"/>
  <c r="N131" i="257"/>
  <c r="M131" i="257"/>
  <c r="N128" i="257"/>
  <c r="M128" i="257"/>
  <c r="L128" i="257"/>
  <c r="K128" i="257"/>
  <c r="J128" i="257"/>
  <c r="I128" i="257"/>
  <c r="H128" i="257"/>
  <c r="G128" i="257"/>
  <c r="F128" i="257"/>
  <c r="N127" i="257"/>
  <c r="M127" i="257"/>
  <c r="N126" i="257"/>
  <c r="M126" i="257"/>
  <c r="N122" i="257"/>
  <c r="M122" i="257"/>
  <c r="L122" i="257"/>
  <c r="K122" i="257"/>
  <c r="J122" i="257"/>
  <c r="I122" i="257"/>
  <c r="H122" i="257"/>
  <c r="G122" i="257"/>
  <c r="F122" i="257"/>
  <c r="N121" i="257"/>
  <c r="M121" i="257"/>
  <c r="N120" i="257"/>
  <c r="N119" i="257"/>
  <c r="M119" i="257"/>
  <c r="N118" i="257"/>
  <c r="M118" i="257"/>
  <c r="N117" i="257"/>
  <c r="M117" i="257"/>
  <c r="N116" i="257"/>
  <c r="M116" i="257"/>
  <c r="N115" i="257"/>
  <c r="M115" i="257"/>
  <c r="N112" i="257"/>
  <c r="M112" i="257"/>
  <c r="L112" i="257"/>
  <c r="K112" i="257"/>
  <c r="J112" i="257"/>
  <c r="I112" i="257"/>
  <c r="H112" i="257"/>
  <c r="F112" i="257"/>
  <c r="N111" i="257"/>
  <c r="M111" i="257"/>
  <c r="N108" i="257"/>
  <c r="M108" i="257"/>
  <c r="L108" i="257"/>
  <c r="K108" i="257"/>
  <c r="J108" i="257"/>
  <c r="I108" i="257"/>
  <c r="H108" i="257"/>
  <c r="F108" i="257"/>
  <c r="N107" i="257"/>
  <c r="M107" i="257"/>
  <c r="N103" i="257"/>
  <c r="M103" i="257"/>
  <c r="L103" i="257"/>
  <c r="K103" i="257"/>
  <c r="J103" i="257"/>
  <c r="I103" i="257"/>
  <c r="H103" i="257"/>
  <c r="G103" i="257"/>
  <c r="F103" i="257"/>
  <c r="N102" i="257"/>
  <c r="M102" i="257"/>
  <c r="N101" i="257"/>
  <c r="M101" i="257"/>
  <c r="N100" i="257"/>
  <c r="M100" i="257"/>
  <c r="N97" i="257"/>
  <c r="M97" i="257"/>
  <c r="L97" i="257"/>
  <c r="K97" i="257"/>
  <c r="J97" i="257"/>
  <c r="I97" i="257"/>
  <c r="H97" i="257"/>
  <c r="G97" i="257"/>
  <c r="F97" i="257"/>
  <c r="N96" i="257"/>
  <c r="M96" i="257"/>
  <c r="N95" i="257"/>
  <c r="M95" i="257"/>
  <c r="N92" i="257"/>
  <c r="M92" i="257"/>
  <c r="L92" i="257"/>
  <c r="K92" i="257"/>
  <c r="J92" i="257"/>
  <c r="I92" i="257"/>
  <c r="H92" i="257"/>
  <c r="G92" i="257"/>
  <c r="F92" i="257"/>
  <c r="N91" i="257"/>
  <c r="M91" i="257"/>
  <c r="N90" i="257"/>
  <c r="M90" i="257"/>
  <c r="N87" i="257"/>
  <c r="M87" i="257"/>
  <c r="L87" i="257"/>
  <c r="K87" i="257"/>
  <c r="J87" i="257"/>
  <c r="I87" i="257"/>
  <c r="H87" i="257"/>
  <c r="G87" i="257"/>
  <c r="F87" i="257"/>
  <c r="N86" i="257"/>
  <c r="M86" i="257"/>
  <c r="N85" i="257"/>
  <c r="M85" i="257"/>
  <c r="N84" i="257"/>
  <c r="M84" i="257"/>
  <c r="N83" i="257"/>
  <c r="M83" i="257"/>
  <c r="N82" i="257"/>
  <c r="M82" i="257"/>
  <c r="N81" i="257"/>
  <c r="M81" i="257"/>
  <c r="N80" i="257"/>
  <c r="M80" i="257"/>
  <c r="N79" i="257"/>
  <c r="M79" i="257"/>
  <c r="N78" i="257"/>
  <c r="M78" i="257"/>
  <c r="N77" i="257"/>
  <c r="M77" i="257"/>
  <c r="N76" i="257"/>
  <c r="M76" i="257"/>
  <c r="N75" i="257"/>
  <c r="M75" i="257"/>
  <c r="N74" i="257"/>
  <c r="M74" i="257"/>
  <c r="N71" i="257"/>
  <c r="M71" i="257"/>
  <c r="L71" i="257"/>
  <c r="K71" i="257"/>
  <c r="J71" i="257"/>
  <c r="I71" i="257"/>
  <c r="H71" i="257"/>
  <c r="G71" i="257"/>
  <c r="F71" i="257"/>
  <c r="N70" i="257"/>
  <c r="M70" i="257"/>
  <c r="N69" i="257"/>
  <c r="M69" i="257"/>
  <c r="N68" i="257"/>
  <c r="M68" i="257"/>
  <c r="N67" i="257"/>
  <c r="M67" i="257"/>
  <c r="N66" i="257"/>
  <c r="M66" i="257"/>
  <c r="N65" i="257"/>
  <c r="M65" i="257"/>
  <c r="N64" i="257"/>
  <c r="M64" i="257"/>
  <c r="N63" i="257"/>
  <c r="M63" i="257"/>
  <c r="N62" i="257"/>
  <c r="M62" i="257"/>
  <c r="N61" i="257"/>
  <c r="M61" i="257"/>
  <c r="N60" i="257"/>
  <c r="M60" i="257"/>
  <c r="N57" i="257"/>
  <c r="M57" i="257"/>
  <c r="L57" i="257"/>
  <c r="K57" i="257"/>
  <c r="J57" i="257"/>
  <c r="I57" i="257"/>
  <c r="H57" i="257"/>
  <c r="G57" i="257"/>
  <c r="F57" i="257"/>
  <c r="N56" i="257"/>
  <c r="M56" i="257"/>
  <c r="N55" i="257"/>
  <c r="M55" i="257"/>
  <c r="N54" i="257"/>
  <c r="M54" i="257"/>
  <c r="N51" i="257"/>
  <c r="M51" i="257"/>
  <c r="L51" i="257"/>
  <c r="K51" i="257"/>
  <c r="J51" i="257"/>
  <c r="I51" i="257"/>
  <c r="H51" i="257"/>
  <c r="G51" i="257"/>
  <c r="F51" i="257"/>
  <c r="N50" i="257"/>
  <c r="M50" i="257"/>
  <c r="N47" i="257"/>
  <c r="M47" i="257"/>
  <c r="L47" i="257"/>
  <c r="K47" i="257"/>
  <c r="J47" i="257"/>
  <c r="I47" i="257"/>
  <c r="H47" i="257"/>
  <c r="G47" i="257"/>
  <c r="F47" i="257"/>
  <c r="N46" i="257"/>
  <c r="M46" i="257"/>
  <c r="N45" i="257"/>
  <c r="M45" i="257"/>
  <c r="N42" i="257"/>
  <c r="M42" i="257"/>
  <c r="L42" i="257"/>
  <c r="K42" i="257"/>
  <c r="J42" i="257"/>
  <c r="I42" i="257"/>
  <c r="G42" i="257"/>
  <c r="F42" i="257"/>
  <c r="N41" i="257"/>
  <c r="M41" i="257"/>
  <c r="N38" i="257"/>
  <c r="M38" i="257"/>
  <c r="L38" i="257"/>
  <c r="K38" i="257"/>
  <c r="J38" i="257"/>
  <c r="I38" i="257"/>
  <c r="H38" i="257"/>
  <c r="G38" i="257"/>
  <c r="F38" i="257"/>
  <c r="N37" i="257"/>
  <c r="M37" i="257"/>
  <c r="N36" i="257"/>
  <c r="M36" i="257"/>
  <c r="N35" i="257"/>
  <c r="M35" i="257"/>
  <c r="N33" i="257"/>
  <c r="M33" i="257"/>
  <c r="N32" i="257"/>
  <c r="M32" i="257"/>
  <c r="N31" i="257"/>
  <c r="M31" i="257"/>
  <c r="N28" i="257"/>
  <c r="M28" i="257"/>
  <c r="L28" i="257"/>
  <c r="K28" i="257"/>
  <c r="J28" i="257"/>
  <c r="I28" i="257"/>
  <c r="H28" i="257"/>
  <c r="G28" i="257"/>
  <c r="F28" i="257"/>
  <c r="N27" i="257"/>
  <c r="M27" i="257"/>
  <c r="N26" i="257"/>
  <c r="N23" i="257"/>
  <c r="M23" i="257"/>
  <c r="L23" i="257"/>
  <c r="K23" i="257"/>
  <c r="J23" i="257"/>
  <c r="I23" i="257"/>
  <c r="H23" i="257"/>
  <c r="G23" i="257"/>
  <c r="F23" i="257"/>
  <c r="N22" i="257"/>
  <c r="M22" i="257"/>
  <c r="N21" i="257"/>
  <c r="M21" i="257"/>
  <c r="N18" i="257"/>
  <c r="M18" i="257"/>
  <c r="L18" i="257"/>
  <c r="K18" i="257"/>
  <c r="J18" i="257"/>
  <c r="I18" i="257"/>
  <c r="H18" i="257"/>
  <c r="G18" i="257"/>
  <c r="F18" i="257"/>
  <c r="N17" i="257"/>
  <c r="M17" i="257"/>
  <c r="N16" i="257"/>
  <c r="M16" i="257"/>
  <c r="N15" i="257"/>
  <c r="M15" i="257"/>
  <c r="N14" i="257"/>
  <c r="M14" i="257"/>
  <c r="L17" i="256"/>
  <c r="K17" i="256"/>
  <c r="J17" i="256"/>
  <c r="I17" i="256"/>
  <c r="H17" i="256"/>
  <c r="G17" i="256"/>
  <c r="F17" i="256"/>
  <c r="E17" i="256"/>
  <c r="D17" i="256"/>
  <c r="L16" i="256"/>
  <c r="K16" i="256"/>
  <c r="J16" i="256"/>
  <c r="I16" i="256"/>
  <c r="H16" i="256"/>
  <c r="G16" i="256"/>
  <c r="F16" i="256"/>
  <c r="E16" i="256"/>
  <c r="D16" i="256"/>
  <c r="L15" i="256"/>
  <c r="K15" i="256"/>
  <c r="L21" i="255"/>
  <c r="K21" i="255"/>
  <c r="J21" i="255"/>
  <c r="I21" i="255"/>
  <c r="H21" i="255"/>
  <c r="G21" i="255"/>
  <c r="F21" i="255"/>
  <c r="E21" i="255"/>
  <c r="D21" i="255"/>
  <c r="L19" i="255"/>
  <c r="K19" i="255"/>
  <c r="J19" i="255"/>
  <c r="I19" i="255"/>
  <c r="H19" i="255"/>
  <c r="G19" i="255"/>
  <c r="F19" i="255"/>
  <c r="E19" i="255"/>
  <c r="D19" i="255"/>
  <c r="L18" i="255"/>
  <c r="K18" i="255"/>
  <c r="L16" i="255"/>
  <c r="K16" i="255"/>
  <c r="J16" i="255"/>
  <c r="I16" i="255"/>
  <c r="H16" i="255"/>
  <c r="G16" i="255"/>
  <c r="F16" i="255"/>
  <c r="E16" i="255"/>
  <c r="D16" i="255"/>
  <c r="L15" i="255"/>
  <c r="K15" i="255"/>
  <c r="L45" i="254"/>
  <c r="K45" i="254"/>
  <c r="I45" i="254"/>
  <c r="H45" i="254"/>
  <c r="G45" i="254"/>
  <c r="F45" i="254"/>
  <c r="D45" i="254"/>
  <c r="L42" i="254"/>
  <c r="K42" i="254"/>
  <c r="I42" i="254"/>
  <c r="H42" i="254"/>
  <c r="G42" i="254"/>
  <c r="F42" i="254"/>
  <c r="D42" i="254"/>
  <c r="L41" i="254"/>
  <c r="K41" i="254"/>
  <c r="L38" i="254"/>
  <c r="K38" i="254"/>
  <c r="I38" i="254"/>
  <c r="H38" i="254"/>
  <c r="G38" i="254"/>
  <c r="F38" i="254"/>
  <c r="D38" i="254"/>
  <c r="L37" i="254"/>
  <c r="K37" i="254"/>
  <c r="L33" i="254"/>
  <c r="K33" i="254"/>
  <c r="I33" i="254"/>
  <c r="H33" i="254"/>
  <c r="G33" i="254"/>
  <c r="F33" i="254"/>
  <c r="D33" i="254"/>
  <c r="L32" i="254"/>
  <c r="K32" i="254"/>
  <c r="L29" i="254"/>
  <c r="K29" i="254"/>
  <c r="I29" i="254"/>
  <c r="H29" i="254"/>
  <c r="G29" i="254"/>
  <c r="F29" i="254"/>
  <c r="D29" i="254"/>
  <c r="L28" i="254"/>
  <c r="K28" i="254"/>
  <c r="L24" i="254"/>
  <c r="K24" i="254"/>
  <c r="I24" i="254"/>
  <c r="H24" i="254"/>
  <c r="G24" i="254"/>
  <c r="F24" i="254"/>
  <c r="D24" i="254"/>
  <c r="L23" i="254"/>
  <c r="K23" i="254"/>
  <c r="L20" i="254"/>
  <c r="K20" i="254"/>
  <c r="I20" i="254"/>
  <c r="H20" i="254"/>
  <c r="G20" i="254"/>
  <c r="F20" i="254"/>
  <c r="D20" i="254"/>
  <c r="K19" i="254"/>
  <c r="L16" i="254"/>
  <c r="K16" i="254"/>
  <c r="I16" i="254"/>
  <c r="H16" i="254"/>
  <c r="G16" i="254"/>
  <c r="F16" i="254"/>
  <c r="D16" i="254"/>
  <c r="L15" i="254"/>
  <c r="K15" i="254"/>
  <c r="O35" i="253"/>
  <c r="N35" i="253"/>
  <c r="M35" i="253"/>
  <c r="L35" i="253"/>
  <c r="K35" i="253"/>
  <c r="J35" i="253"/>
  <c r="I35" i="253"/>
  <c r="H35" i="253"/>
  <c r="G35" i="253"/>
  <c r="O34" i="253"/>
  <c r="N34" i="253"/>
  <c r="M34" i="253"/>
  <c r="L34" i="253"/>
  <c r="K34" i="253"/>
  <c r="J34" i="253"/>
  <c r="I34" i="253"/>
  <c r="H34" i="253"/>
  <c r="G34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O132" i="252"/>
  <c r="N132" i="252"/>
  <c r="M132" i="252"/>
  <c r="L132" i="252"/>
  <c r="K132" i="252"/>
  <c r="J132" i="252"/>
  <c r="I132" i="252"/>
  <c r="G132" i="252"/>
  <c r="C132" i="252"/>
  <c r="O130" i="252"/>
  <c r="N130" i="252"/>
  <c r="M130" i="252"/>
  <c r="L130" i="252"/>
  <c r="K130" i="252"/>
  <c r="J130" i="252"/>
  <c r="I130" i="252"/>
  <c r="G130" i="252"/>
  <c r="O129" i="252"/>
  <c r="N129" i="252"/>
  <c r="O128" i="252"/>
  <c r="N128" i="252"/>
  <c r="O127" i="252"/>
  <c r="N127" i="252"/>
  <c r="O126" i="252"/>
  <c r="N126" i="252"/>
  <c r="O125" i="252"/>
  <c r="N125" i="252"/>
  <c r="O124" i="252"/>
  <c r="N124" i="252"/>
  <c r="O122" i="252"/>
  <c r="N122" i="252"/>
  <c r="O121" i="252"/>
  <c r="N121" i="252"/>
  <c r="O120" i="252"/>
  <c r="N120" i="252"/>
  <c r="O119" i="252"/>
  <c r="N119" i="252"/>
  <c r="O118" i="252"/>
  <c r="N118" i="252"/>
  <c r="O117" i="252"/>
  <c r="N117" i="252"/>
  <c r="O116" i="252"/>
  <c r="N116" i="252"/>
  <c r="O115" i="252"/>
  <c r="N115" i="252"/>
  <c r="O114" i="252"/>
  <c r="N114" i="252"/>
  <c r="O113" i="252"/>
  <c r="N113" i="252"/>
  <c r="O112" i="252"/>
  <c r="N112" i="252"/>
  <c r="O111" i="252"/>
  <c r="N111" i="252"/>
  <c r="O110" i="252"/>
  <c r="N110" i="252"/>
  <c r="O109" i="252"/>
  <c r="N109" i="252"/>
  <c r="O108" i="252"/>
  <c r="N108" i="252"/>
  <c r="O107" i="252"/>
  <c r="N107" i="252"/>
  <c r="O106" i="252"/>
  <c r="N106" i="252"/>
  <c r="O105" i="252"/>
  <c r="N105" i="252"/>
  <c r="O104" i="252"/>
  <c r="N104" i="252"/>
  <c r="O103" i="252"/>
  <c r="N103" i="252"/>
  <c r="O102" i="252"/>
  <c r="N102" i="252"/>
  <c r="O101" i="252"/>
  <c r="N101" i="252"/>
  <c r="O100" i="252"/>
  <c r="N100" i="252"/>
  <c r="O99" i="252"/>
  <c r="N99" i="252"/>
  <c r="O98" i="252"/>
  <c r="N98" i="252"/>
  <c r="O97" i="252"/>
  <c r="N97" i="252"/>
  <c r="O93" i="252"/>
  <c r="N93" i="252"/>
  <c r="M93" i="252"/>
  <c r="L93" i="252"/>
  <c r="K93" i="252"/>
  <c r="J93" i="252"/>
  <c r="I93" i="252"/>
  <c r="H93" i="252"/>
  <c r="G93" i="252"/>
  <c r="O92" i="252"/>
  <c r="N92" i="252"/>
  <c r="O89" i="252"/>
  <c r="N89" i="252"/>
  <c r="M89" i="252"/>
  <c r="L89" i="252"/>
  <c r="K89" i="252"/>
  <c r="J89" i="252"/>
  <c r="I89" i="252"/>
  <c r="H89" i="252"/>
  <c r="G89" i="252"/>
  <c r="O88" i="252"/>
  <c r="N88" i="252"/>
  <c r="O87" i="252"/>
  <c r="N87" i="252"/>
  <c r="O86" i="252"/>
  <c r="N86" i="252"/>
  <c r="O85" i="252"/>
  <c r="N85" i="252"/>
  <c r="O84" i="252"/>
  <c r="N84" i="252"/>
  <c r="O83" i="252"/>
  <c r="N83" i="252"/>
  <c r="O81" i="252"/>
  <c r="N81" i="252"/>
  <c r="M81" i="252"/>
  <c r="L81" i="252"/>
  <c r="K81" i="252"/>
  <c r="J81" i="252"/>
  <c r="I81" i="252"/>
  <c r="H81" i="252"/>
  <c r="G81" i="252"/>
  <c r="O80" i="252"/>
  <c r="N80" i="252"/>
  <c r="O77" i="252"/>
  <c r="N77" i="252"/>
  <c r="M77" i="252"/>
  <c r="L77" i="252"/>
  <c r="K77" i="252"/>
  <c r="J77" i="252"/>
  <c r="I77" i="252"/>
  <c r="H77" i="252"/>
  <c r="G77" i="252"/>
  <c r="O76" i="252"/>
  <c r="N76" i="252"/>
  <c r="O75" i="252"/>
  <c r="N75" i="252"/>
  <c r="O72" i="252"/>
  <c r="N72" i="252"/>
  <c r="M72" i="252"/>
  <c r="L72" i="252"/>
  <c r="K72" i="252"/>
  <c r="J72" i="252"/>
  <c r="I72" i="252"/>
  <c r="H72" i="252"/>
  <c r="G72" i="252"/>
  <c r="O71" i="252"/>
  <c r="N71" i="252"/>
  <c r="O68" i="252"/>
  <c r="N68" i="252"/>
  <c r="M68" i="252"/>
  <c r="L68" i="252"/>
  <c r="K68" i="252"/>
  <c r="J68" i="252"/>
  <c r="I68" i="252"/>
  <c r="H68" i="252"/>
  <c r="G68" i="252"/>
  <c r="O67" i="252"/>
  <c r="N67" i="252"/>
  <c r="O66" i="252"/>
  <c r="N66" i="252"/>
  <c r="O65" i="252"/>
  <c r="N65" i="252"/>
  <c r="O64" i="252"/>
  <c r="N64" i="252"/>
  <c r="O63" i="252"/>
  <c r="N63" i="252"/>
  <c r="O60" i="252"/>
  <c r="N60" i="252"/>
  <c r="M60" i="252"/>
  <c r="L60" i="252"/>
  <c r="K60" i="252"/>
  <c r="J60" i="252"/>
  <c r="I60" i="252"/>
  <c r="H60" i="252"/>
  <c r="G60" i="252"/>
  <c r="O59" i="252"/>
  <c r="N59" i="252"/>
  <c r="O58" i="252"/>
  <c r="O57" i="252"/>
  <c r="O56" i="252"/>
  <c r="O55" i="252"/>
  <c r="O54" i="252"/>
  <c r="O53" i="252"/>
  <c r="O52" i="252"/>
  <c r="O49" i="252"/>
  <c r="N49" i="252"/>
  <c r="M49" i="252"/>
  <c r="L49" i="252"/>
  <c r="K49" i="252"/>
  <c r="J49" i="252"/>
  <c r="I49" i="252"/>
  <c r="H49" i="252"/>
  <c r="G49" i="252"/>
  <c r="O48" i="252"/>
  <c r="O47" i="252"/>
  <c r="N47" i="252"/>
  <c r="O44" i="252"/>
  <c r="N44" i="252"/>
  <c r="M44" i="252"/>
  <c r="L44" i="252"/>
  <c r="K44" i="252"/>
  <c r="J44" i="252"/>
  <c r="I44" i="252"/>
  <c r="H44" i="252"/>
  <c r="G44" i="252"/>
  <c r="O43" i="252"/>
  <c r="N43" i="252"/>
  <c r="O42" i="252"/>
  <c r="O38" i="252"/>
  <c r="N38" i="252"/>
  <c r="M38" i="252"/>
  <c r="L38" i="252"/>
  <c r="K38" i="252"/>
  <c r="J38" i="252"/>
  <c r="I38" i="252"/>
  <c r="H38" i="252"/>
  <c r="G38" i="252"/>
  <c r="O37" i="252"/>
  <c r="N37" i="252"/>
  <c r="O34" i="252"/>
  <c r="N34" i="252"/>
  <c r="M34" i="252"/>
  <c r="L34" i="252"/>
  <c r="K34" i="252"/>
  <c r="J34" i="252"/>
  <c r="I34" i="252"/>
  <c r="H34" i="252"/>
  <c r="G34" i="252"/>
  <c r="O33" i="252"/>
  <c r="N33" i="252"/>
  <c r="O30" i="252"/>
  <c r="N30" i="252"/>
  <c r="M30" i="252"/>
  <c r="L30" i="252"/>
  <c r="K30" i="252"/>
  <c r="J30" i="252"/>
  <c r="I30" i="252"/>
  <c r="H30" i="252"/>
  <c r="G30" i="252"/>
  <c r="O29" i="252"/>
  <c r="N29" i="252"/>
  <c r="O28" i="252"/>
  <c r="N28" i="252"/>
  <c r="O25" i="252"/>
  <c r="N25" i="252"/>
  <c r="M25" i="252"/>
  <c r="L25" i="252"/>
  <c r="K25" i="252"/>
  <c r="J25" i="252"/>
  <c r="I25" i="252"/>
  <c r="H25" i="252"/>
  <c r="G25" i="252"/>
  <c r="O24" i="252"/>
  <c r="N24" i="252"/>
  <c r="O23" i="252"/>
  <c r="N23" i="252"/>
  <c r="O20" i="252"/>
  <c r="N20" i="252"/>
  <c r="M20" i="252"/>
  <c r="L20" i="252"/>
  <c r="K20" i="252"/>
  <c r="J20" i="252"/>
  <c r="I20" i="252"/>
  <c r="H20" i="252"/>
  <c r="G20" i="252"/>
  <c r="O19" i="252"/>
  <c r="N19" i="252"/>
  <c r="O18" i="252"/>
  <c r="N18" i="252"/>
  <c r="O15" i="252"/>
  <c r="N15" i="252"/>
  <c r="M15" i="252"/>
  <c r="L15" i="252"/>
  <c r="K15" i="252"/>
  <c r="J15" i="252"/>
  <c r="I15" i="252"/>
  <c r="H15" i="252"/>
  <c r="G15" i="252"/>
  <c r="O14" i="252"/>
  <c r="N14" i="252"/>
  <c r="L228" i="251"/>
  <c r="N227" i="251"/>
  <c r="M227" i="251"/>
  <c r="L227" i="251"/>
  <c r="K227" i="251"/>
  <c r="J227" i="251"/>
  <c r="I227" i="251"/>
  <c r="H227" i="251"/>
  <c r="F227" i="251"/>
  <c r="D227" i="251"/>
  <c r="N225" i="251"/>
  <c r="M225" i="251"/>
  <c r="L225" i="251"/>
  <c r="K225" i="251"/>
  <c r="J225" i="251"/>
  <c r="I225" i="251"/>
  <c r="H225" i="251"/>
  <c r="F225" i="251"/>
  <c r="N221" i="251"/>
  <c r="M221" i="251"/>
  <c r="N220" i="251"/>
  <c r="M220" i="251"/>
  <c r="N219" i="251"/>
  <c r="M219" i="251"/>
  <c r="N218" i="251"/>
  <c r="M218" i="251"/>
  <c r="N217" i="251"/>
  <c r="M217" i="251"/>
  <c r="N216" i="251"/>
  <c r="M216" i="251"/>
  <c r="N215" i="251"/>
  <c r="M215" i="251"/>
  <c r="N214" i="251"/>
  <c r="M214" i="251"/>
  <c r="N213" i="251"/>
  <c r="M213" i="251"/>
  <c r="N212" i="251"/>
  <c r="M212" i="251"/>
  <c r="N211" i="251"/>
  <c r="M211" i="251"/>
  <c r="N210" i="251"/>
  <c r="M210" i="251"/>
  <c r="N209" i="251"/>
  <c r="M209" i="251"/>
  <c r="N208" i="251"/>
  <c r="M208" i="251"/>
  <c r="N207" i="251"/>
  <c r="M207" i="251"/>
  <c r="N206" i="251"/>
  <c r="M206" i="251"/>
  <c r="N205" i="251"/>
  <c r="M205" i="251"/>
  <c r="N204" i="251"/>
  <c r="M204" i="251"/>
  <c r="N203" i="251"/>
  <c r="M203" i="251"/>
  <c r="N202" i="251"/>
  <c r="M202" i="251"/>
  <c r="N201" i="251"/>
  <c r="M201" i="251"/>
  <c r="N200" i="251"/>
  <c r="M200" i="251"/>
  <c r="N199" i="251"/>
  <c r="M199" i="251"/>
  <c r="N198" i="251"/>
  <c r="M198" i="251"/>
  <c r="N197" i="251"/>
  <c r="M197" i="251"/>
  <c r="N196" i="251"/>
  <c r="M196" i="251"/>
  <c r="N195" i="251"/>
  <c r="M195" i="251"/>
  <c r="N194" i="251"/>
  <c r="N193" i="251"/>
  <c r="M193" i="251"/>
  <c r="N192" i="251"/>
  <c r="M192" i="251"/>
  <c r="N191" i="251"/>
  <c r="M191" i="251"/>
  <c r="N190" i="251"/>
  <c r="M190" i="251"/>
  <c r="N189" i="251"/>
  <c r="M189" i="251"/>
  <c r="N188" i="251"/>
  <c r="M188" i="251"/>
  <c r="N185" i="251"/>
  <c r="M185" i="251"/>
  <c r="L185" i="251"/>
  <c r="K185" i="251"/>
  <c r="J185" i="251"/>
  <c r="I185" i="251"/>
  <c r="H185" i="251"/>
  <c r="F185" i="251"/>
  <c r="N184" i="251"/>
  <c r="M184" i="251"/>
  <c r="N183" i="251"/>
  <c r="M183" i="251"/>
  <c r="N182" i="251"/>
  <c r="M182" i="251"/>
  <c r="N181" i="251"/>
  <c r="M181" i="251"/>
  <c r="N180" i="251"/>
  <c r="M180" i="251"/>
  <c r="N179" i="251"/>
  <c r="M179" i="251"/>
  <c r="N178" i="251"/>
  <c r="M178" i="251"/>
  <c r="N177" i="251"/>
  <c r="M177" i="251"/>
  <c r="N176" i="251"/>
  <c r="M176" i="251"/>
  <c r="N175" i="251"/>
  <c r="M175" i="251"/>
  <c r="N174" i="251"/>
  <c r="M174" i="251"/>
  <c r="N171" i="251"/>
  <c r="M171" i="251"/>
  <c r="L171" i="251"/>
  <c r="K171" i="251"/>
  <c r="J171" i="251"/>
  <c r="I171" i="251"/>
  <c r="H171" i="251"/>
  <c r="G171" i="251"/>
  <c r="F171" i="251"/>
  <c r="N170" i="251"/>
  <c r="M170" i="251"/>
  <c r="N169" i="251"/>
  <c r="M169" i="251"/>
  <c r="N166" i="251"/>
  <c r="M166" i="251"/>
  <c r="L166" i="251"/>
  <c r="K166" i="251"/>
  <c r="J166" i="251"/>
  <c r="I166" i="251"/>
  <c r="H166" i="251"/>
  <c r="F166" i="251"/>
  <c r="N165" i="251"/>
  <c r="M165" i="251"/>
  <c r="N164" i="251"/>
  <c r="M164" i="251"/>
  <c r="N161" i="251"/>
  <c r="M161" i="251"/>
  <c r="L161" i="251"/>
  <c r="K161" i="251"/>
  <c r="J161" i="251"/>
  <c r="I161" i="251"/>
  <c r="H161" i="251"/>
  <c r="G161" i="251"/>
  <c r="F161" i="251"/>
  <c r="N160" i="251"/>
  <c r="M160" i="251"/>
  <c r="N159" i="251"/>
  <c r="M159" i="251"/>
  <c r="N158" i="251"/>
  <c r="M158" i="251"/>
  <c r="N157" i="251"/>
  <c r="M157" i="251"/>
  <c r="M154" i="251"/>
  <c r="L154" i="251"/>
  <c r="K154" i="251"/>
  <c r="J154" i="251"/>
  <c r="I154" i="251"/>
  <c r="H154" i="251"/>
  <c r="G154" i="251"/>
  <c r="F154" i="251"/>
  <c r="N153" i="251"/>
  <c r="M153" i="251"/>
  <c r="N150" i="251"/>
  <c r="M150" i="251"/>
  <c r="L150" i="251"/>
  <c r="K150" i="251"/>
  <c r="J150" i="251"/>
  <c r="I150" i="251"/>
  <c r="H150" i="251"/>
  <c r="G150" i="251"/>
  <c r="F150" i="251"/>
  <c r="N149" i="251"/>
  <c r="M149" i="251"/>
  <c r="N146" i="251"/>
  <c r="M146" i="251"/>
  <c r="L146" i="251"/>
  <c r="K146" i="251"/>
  <c r="J146" i="251"/>
  <c r="I146" i="251"/>
  <c r="H146" i="251"/>
  <c r="G146" i="251"/>
  <c r="F146" i="251"/>
  <c r="N145" i="251"/>
  <c r="M145" i="251"/>
  <c r="N144" i="251"/>
  <c r="M144" i="251"/>
  <c r="N143" i="251"/>
  <c r="M143" i="251"/>
  <c r="N142" i="251"/>
  <c r="M142" i="251"/>
  <c r="N139" i="251"/>
  <c r="M139" i="251"/>
  <c r="L139" i="251"/>
  <c r="K139" i="251"/>
  <c r="J139" i="251"/>
  <c r="I139" i="251"/>
  <c r="H139" i="251"/>
  <c r="G139" i="251"/>
  <c r="F139" i="251"/>
  <c r="N138" i="251"/>
  <c r="M138" i="251"/>
  <c r="N137" i="251"/>
  <c r="M137" i="251"/>
  <c r="N136" i="251"/>
  <c r="M136" i="251"/>
  <c r="N135" i="251"/>
  <c r="M135" i="251"/>
  <c r="N134" i="251"/>
  <c r="M134" i="251"/>
  <c r="N133" i="251"/>
  <c r="M133" i="251"/>
  <c r="N130" i="251"/>
  <c r="M130" i="251"/>
  <c r="L130" i="251"/>
  <c r="K130" i="251"/>
  <c r="J130" i="251"/>
  <c r="I130" i="251"/>
  <c r="H130" i="251"/>
  <c r="G130" i="251"/>
  <c r="F130" i="251"/>
  <c r="N129" i="251"/>
  <c r="M129" i="251"/>
  <c r="N128" i="251"/>
  <c r="M128" i="251"/>
  <c r="N125" i="251"/>
  <c r="M125" i="251"/>
  <c r="L125" i="251"/>
  <c r="K125" i="251"/>
  <c r="J125" i="251"/>
  <c r="I125" i="251"/>
  <c r="H125" i="251"/>
  <c r="G125" i="251"/>
  <c r="F125" i="251"/>
  <c r="N124" i="251"/>
  <c r="M124" i="251"/>
  <c r="N121" i="251"/>
  <c r="M121" i="251"/>
  <c r="L121" i="251"/>
  <c r="K121" i="251"/>
  <c r="J121" i="251"/>
  <c r="I121" i="251"/>
  <c r="H121" i="251"/>
  <c r="G121" i="251"/>
  <c r="F121" i="251"/>
  <c r="N120" i="251"/>
  <c r="M120" i="251"/>
  <c r="N119" i="251"/>
  <c r="N118" i="251"/>
  <c r="M118" i="251"/>
  <c r="N117" i="251"/>
  <c r="M117" i="251"/>
  <c r="N116" i="251"/>
  <c r="M116" i="251"/>
  <c r="N115" i="251"/>
  <c r="M115" i="251"/>
  <c r="N112" i="251"/>
  <c r="M112" i="251"/>
  <c r="L112" i="251"/>
  <c r="K112" i="251"/>
  <c r="J112" i="251"/>
  <c r="I112" i="251"/>
  <c r="H112" i="251"/>
  <c r="F112" i="251"/>
  <c r="N111" i="251"/>
  <c r="M111" i="251"/>
  <c r="N108" i="251"/>
  <c r="M108" i="251"/>
  <c r="L108" i="251"/>
  <c r="K108" i="251"/>
  <c r="J108" i="251"/>
  <c r="I108" i="251"/>
  <c r="H108" i="251"/>
  <c r="F108" i="251"/>
  <c r="N107" i="251"/>
  <c r="M107" i="251"/>
  <c r="N103" i="251"/>
  <c r="M103" i="251"/>
  <c r="L103" i="251"/>
  <c r="K103" i="251"/>
  <c r="J103" i="251"/>
  <c r="I103" i="251"/>
  <c r="H103" i="251"/>
  <c r="G103" i="251"/>
  <c r="F103" i="251"/>
  <c r="N102" i="251"/>
  <c r="M102" i="251"/>
  <c r="N101" i="251"/>
  <c r="M101" i="251"/>
  <c r="N100" i="251"/>
  <c r="M100" i="251"/>
  <c r="N97" i="251"/>
  <c r="M97" i="251"/>
  <c r="L97" i="251"/>
  <c r="K97" i="251"/>
  <c r="J97" i="251"/>
  <c r="I97" i="251"/>
  <c r="H97" i="251"/>
  <c r="G97" i="251"/>
  <c r="F97" i="251"/>
  <c r="N96" i="251"/>
  <c r="M96" i="251"/>
  <c r="N95" i="251"/>
  <c r="M95" i="251"/>
  <c r="N92" i="251"/>
  <c r="M92" i="251"/>
  <c r="L92" i="251"/>
  <c r="K92" i="251"/>
  <c r="J92" i="251"/>
  <c r="I92" i="251"/>
  <c r="H92" i="251"/>
  <c r="G92" i="251"/>
  <c r="F92" i="251"/>
  <c r="N91" i="251"/>
  <c r="M91" i="251"/>
  <c r="N90" i="251"/>
  <c r="M90" i="251"/>
  <c r="N87" i="251"/>
  <c r="M87" i="251"/>
  <c r="L87" i="251"/>
  <c r="K87" i="251"/>
  <c r="J87" i="251"/>
  <c r="I87" i="251"/>
  <c r="H87" i="251"/>
  <c r="G87" i="251"/>
  <c r="F87" i="251"/>
  <c r="N86" i="251"/>
  <c r="M86" i="251"/>
  <c r="N85" i="251"/>
  <c r="M85" i="251"/>
  <c r="N84" i="251"/>
  <c r="M84" i="251"/>
  <c r="N83" i="251"/>
  <c r="M83" i="251"/>
  <c r="N82" i="251"/>
  <c r="M82" i="251"/>
  <c r="N81" i="251"/>
  <c r="M81" i="251"/>
  <c r="N80" i="251"/>
  <c r="M80" i="251"/>
  <c r="N79" i="251"/>
  <c r="M79" i="251"/>
  <c r="N78" i="251"/>
  <c r="M78" i="251"/>
  <c r="N77" i="251"/>
  <c r="M77" i="251"/>
  <c r="N76" i="251"/>
  <c r="M76" i="251"/>
  <c r="N75" i="251"/>
  <c r="M75" i="251"/>
  <c r="N72" i="251"/>
  <c r="M72" i="251"/>
  <c r="L72" i="251"/>
  <c r="K72" i="251"/>
  <c r="J72" i="251"/>
  <c r="I72" i="251"/>
  <c r="H72" i="251"/>
  <c r="G72" i="251"/>
  <c r="F72" i="251"/>
  <c r="N71" i="251"/>
  <c r="M71" i="251"/>
  <c r="N70" i="251"/>
  <c r="M70" i="251"/>
  <c r="N69" i="251"/>
  <c r="M69" i="251"/>
  <c r="N68" i="251"/>
  <c r="M68" i="251"/>
  <c r="N67" i="251"/>
  <c r="M67" i="251"/>
  <c r="N66" i="251"/>
  <c r="M66" i="251"/>
  <c r="N65" i="251"/>
  <c r="M65" i="251"/>
  <c r="N64" i="251"/>
  <c r="M64" i="251"/>
  <c r="N63" i="251"/>
  <c r="M63" i="251"/>
  <c r="N62" i="251"/>
  <c r="M62" i="251"/>
  <c r="N61" i="251"/>
  <c r="M61" i="251"/>
  <c r="N60" i="251"/>
  <c r="M60" i="251"/>
  <c r="N57" i="251"/>
  <c r="M57" i="251"/>
  <c r="L57" i="251"/>
  <c r="K57" i="251"/>
  <c r="J57" i="251"/>
  <c r="I57" i="251"/>
  <c r="H57" i="251"/>
  <c r="G57" i="251"/>
  <c r="F57" i="251"/>
  <c r="N56" i="251"/>
  <c r="M56" i="251"/>
  <c r="N55" i="251"/>
  <c r="M55" i="251"/>
  <c r="N54" i="251"/>
  <c r="M54" i="251"/>
  <c r="N51" i="251"/>
  <c r="M51" i="251"/>
  <c r="L51" i="251"/>
  <c r="K51" i="251"/>
  <c r="J51" i="251"/>
  <c r="I51" i="251"/>
  <c r="H51" i="251"/>
  <c r="G51" i="251"/>
  <c r="F51" i="251"/>
  <c r="N50" i="251"/>
  <c r="M50" i="251"/>
  <c r="N47" i="251"/>
  <c r="M47" i="251"/>
  <c r="L47" i="251"/>
  <c r="K47" i="251"/>
  <c r="J47" i="251"/>
  <c r="I47" i="251"/>
  <c r="H47" i="251"/>
  <c r="G47" i="251"/>
  <c r="F47" i="251"/>
  <c r="N46" i="251"/>
  <c r="M46" i="251"/>
  <c r="N45" i="251"/>
  <c r="M45" i="251"/>
  <c r="N42" i="251"/>
  <c r="M42" i="251"/>
  <c r="L42" i="251"/>
  <c r="K42" i="251"/>
  <c r="J42" i="251"/>
  <c r="I42" i="251"/>
  <c r="G42" i="251"/>
  <c r="F42" i="251"/>
  <c r="N41" i="251"/>
  <c r="M41" i="251"/>
  <c r="N38" i="251"/>
  <c r="M38" i="251"/>
  <c r="L38" i="251"/>
  <c r="K38" i="251"/>
  <c r="J38" i="251"/>
  <c r="I38" i="251"/>
  <c r="H38" i="251"/>
  <c r="G38" i="251"/>
  <c r="F38" i="251"/>
  <c r="N37" i="251"/>
  <c r="M37" i="251"/>
  <c r="N36" i="251"/>
  <c r="M36" i="251"/>
  <c r="N35" i="251"/>
  <c r="M35" i="251"/>
  <c r="N33" i="251"/>
  <c r="M33" i="251"/>
  <c r="N32" i="251"/>
  <c r="M32" i="251"/>
  <c r="N31" i="251"/>
  <c r="M31" i="251"/>
  <c r="N28" i="251"/>
  <c r="M28" i="251"/>
  <c r="L28" i="251"/>
  <c r="K28" i="251"/>
  <c r="J28" i="251"/>
  <c r="I28" i="251"/>
  <c r="H28" i="251"/>
  <c r="G28" i="251"/>
  <c r="F28" i="251"/>
  <c r="N27" i="251"/>
  <c r="M27" i="251"/>
  <c r="N26" i="251"/>
  <c r="N23" i="251"/>
  <c r="M23" i="251"/>
  <c r="L23" i="251"/>
  <c r="K23" i="251"/>
  <c r="J23" i="251"/>
  <c r="I23" i="251"/>
  <c r="H23" i="251"/>
  <c r="G23" i="251"/>
  <c r="F23" i="251"/>
  <c r="N22" i="251"/>
  <c r="M22" i="251"/>
  <c r="N21" i="251"/>
  <c r="M21" i="251"/>
  <c r="N18" i="251"/>
  <c r="M18" i="251"/>
  <c r="L18" i="251"/>
  <c r="K18" i="251"/>
  <c r="J18" i="251"/>
  <c r="I18" i="251"/>
  <c r="H18" i="251"/>
  <c r="G18" i="251"/>
  <c r="F18" i="251"/>
  <c r="N17" i="251"/>
  <c r="M17" i="251"/>
  <c r="N16" i="251"/>
  <c r="M16" i="251"/>
  <c r="N15" i="251"/>
  <c r="M15" i="251"/>
  <c r="N14" i="251"/>
  <c r="M14" i="251"/>
  <c r="L23" i="250"/>
  <c r="K23" i="250"/>
  <c r="J23" i="250"/>
  <c r="I23" i="250"/>
  <c r="H23" i="250"/>
  <c r="G23" i="250"/>
  <c r="F23" i="250"/>
  <c r="E23" i="250"/>
  <c r="D23" i="250"/>
  <c r="L20" i="250"/>
  <c r="K20" i="250"/>
  <c r="J20" i="250"/>
  <c r="I20" i="250"/>
  <c r="H20" i="250"/>
  <c r="G20" i="250"/>
  <c r="F20" i="250"/>
  <c r="E20" i="250"/>
  <c r="D20" i="250"/>
  <c r="L16" i="250"/>
  <c r="K16" i="250"/>
  <c r="J16" i="250"/>
  <c r="I16" i="250"/>
  <c r="H16" i="250"/>
  <c r="G16" i="250"/>
  <c r="F16" i="250"/>
  <c r="E16" i="250"/>
  <c r="D16" i="250"/>
  <c r="L45" i="249"/>
  <c r="K45" i="249"/>
  <c r="I45" i="249"/>
  <c r="H45" i="249"/>
  <c r="G45" i="249"/>
  <c r="F45" i="249"/>
  <c r="D45" i="249"/>
  <c r="L42" i="249"/>
  <c r="K42" i="249"/>
  <c r="I42" i="249"/>
  <c r="H42" i="249"/>
  <c r="G42" i="249"/>
  <c r="F42" i="249"/>
  <c r="D42" i="249"/>
  <c r="K41" i="249"/>
  <c r="L38" i="249"/>
  <c r="K38" i="249"/>
  <c r="I38" i="249"/>
  <c r="H38" i="249"/>
  <c r="G38" i="249"/>
  <c r="F38" i="249"/>
  <c r="D38" i="249"/>
  <c r="K37" i="249"/>
  <c r="L33" i="249"/>
  <c r="K33" i="249"/>
  <c r="I33" i="249"/>
  <c r="H33" i="249"/>
  <c r="G33" i="249"/>
  <c r="F33" i="249"/>
  <c r="D33" i="249"/>
  <c r="K32" i="249"/>
  <c r="L29" i="249"/>
  <c r="K29" i="249"/>
  <c r="I29" i="249"/>
  <c r="H29" i="249"/>
  <c r="G29" i="249"/>
  <c r="F29" i="249"/>
  <c r="D29" i="249"/>
  <c r="K28" i="249"/>
  <c r="L24" i="249"/>
  <c r="K24" i="249"/>
  <c r="I24" i="249"/>
  <c r="H24" i="249"/>
  <c r="G24" i="249"/>
  <c r="F24" i="249"/>
  <c r="D24" i="249"/>
  <c r="K23" i="249"/>
  <c r="L20" i="249"/>
  <c r="K20" i="249"/>
  <c r="I20" i="249"/>
  <c r="H20" i="249"/>
  <c r="G20" i="249"/>
  <c r="F20" i="249"/>
  <c r="D20" i="249"/>
  <c r="K19" i="249"/>
  <c r="L16" i="249"/>
  <c r="K16" i="249"/>
  <c r="I16" i="249"/>
  <c r="H16" i="249"/>
  <c r="G16" i="249"/>
  <c r="F16" i="249"/>
  <c r="D16" i="249"/>
  <c r="L15" i="249"/>
  <c r="K15" i="249"/>
  <c r="O35" i="248"/>
  <c r="N35" i="248"/>
  <c r="M35" i="248"/>
  <c r="L35" i="248"/>
  <c r="K35" i="248"/>
  <c r="J35" i="248"/>
  <c r="I35" i="248"/>
  <c r="H35" i="248"/>
  <c r="G35" i="248"/>
  <c r="O34" i="248"/>
  <c r="N34" i="248"/>
  <c r="M34" i="248"/>
  <c r="L34" i="248"/>
  <c r="K34" i="248"/>
  <c r="J34" i="248"/>
  <c r="I34" i="248"/>
  <c r="H34" i="248"/>
  <c r="G34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O122" i="247"/>
  <c r="N122" i="247"/>
  <c r="M122" i="247"/>
  <c r="L122" i="247"/>
  <c r="K122" i="247"/>
  <c r="J122" i="247"/>
  <c r="I122" i="247"/>
  <c r="G122" i="247"/>
  <c r="O121" i="247"/>
  <c r="N121" i="247"/>
  <c r="O120" i="247"/>
  <c r="N120" i="247"/>
  <c r="O119" i="247"/>
  <c r="N119" i="247"/>
  <c r="O118" i="247"/>
  <c r="N118" i="247"/>
  <c r="O117" i="247"/>
  <c r="N117" i="247"/>
  <c r="O115" i="247"/>
  <c r="N115" i="247"/>
  <c r="O114" i="247"/>
  <c r="N114" i="247"/>
  <c r="O113" i="247"/>
  <c r="N113" i="247"/>
  <c r="O112" i="247"/>
  <c r="N112" i="247"/>
  <c r="O111" i="247"/>
  <c r="N111" i="247"/>
  <c r="O110" i="247"/>
  <c r="N110" i="247"/>
  <c r="O109" i="247"/>
  <c r="N109" i="247"/>
  <c r="O108" i="247"/>
  <c r="N108" i="247"/>
  <c r="O107" i="247"/>
  <c r="N107" i="247"/>
  <c r="O106" i="247"/>
  <c r="N106" i="247"/>
  <c r="O105" i="247"/>
  <c r="N105" i="247"/>
  <c r="O104" i="247"/>
  <c r="N104" i="247"/>
  <c r="O103" i="247"/>
  <c r="N103" i="247"/>
  <c r="O102" i="247"/>
  <c r="N102" i="247"/>
  <c r="O101" i="247"/>
  <c r="N101" i="247"/>
  <c r="O100" i="247"/>
  <c r="N100" i="247"/>
  <c r="O99" i="247"/>
  <c r="N99" i="247"/>
  <c r="O98" i="247"/>
  <c r="N98" i="247"/>
  <c r="O97" i="247"/>
  <c r="N97" i="247"/>
  <c r="O96" i="247"/>
  <c r="N96" i="247"/>
  <c r="O95" i="247"/>
  <c r="N95" i="247"/>
  <c r="O94" i="247"/>
  <c r="N94" i="247"/>
  <c r="O93" i="247"/>
  <c r="N93" i="247"/>
  <c r="O92" i="247"/>
  <c r="N92" i="247"/>
  <c r="O91" i="247"/>
  <c r="N91" i="247"/>
  <c r="O90" i="247"/>
  <c r="N90" i="247"/>
  <c r="O86" i="247"/>
  <c r="N86" i="247"/>
  <c r="M86" i="247"/>
  <c r="L86" i="247"/>
  <c r="K86" i="247"/>
  <c r="J86" i="247"/>
  <c r="I86" i="247"/>
  <c r="H86" i="247"/>
  <c r="G86" i="247"/>
  <c r="O85" i="247"/>
  <c r="N85" i="247"/>
  <c r="O82" i="247"/>
  <c r="N82" i="247"/>
  <c r="M82" i="247"/>
  <c r="L82" i="247"/>
  <c r="K82" i="247"/>
  <c r="J82" i="247"/>
  <c r="I82" i="247"/>
  <c r="G82" i="247"/>
  <c r="O81" i="247"/>
  <c r="N81" i="247"/>
  <c r="O80" i="247"/>
  <c r="N80" i="247"/>
  <c r="O79" i="247"/>
  <c r="N79" i="247"/>
  <c r="O78" i="247"/>
  <c r="N78" i="247"/>
  <c r="O77" i="247"/>
  <c r="N77" i="247"/>
  <c r="O76" i="247"/>
  <c r="N76" i="247"/>
  <c r="N72" i="247"/>
  <c r="O69" i="247"/>
  <c r="N69" i="247"/>
  <c r="M69" i="247"/>
  <c r="L69" i="247"/>
  <c r="K69" i="247"/>
  <c r="J69" i="247"/>
  <c r="I69" i="247"/>
  <c r="H69" i="247"/>
  <c r="G69" i="247"/>
  <c r="O68" i="247"/>
  <c r="N68" i="247"/>
  <c r="O65" i="247"/>
  <c r="N65" i="247"/>
  <c r="M65" i="247"/>
  <c r="L65" i="247"/>
  <c r="K65" i="247"/>
  <c r="J65" i="247"/>
  <c r="I65" i="247"/>
  <c r="H65" i="247"/>
  <c r="G65" i="247"/>
  <c r="O64" i="247"/>
  <c r="N64" i="247"/>
  <c r="O63" i="247"/>
  <c r="N63" i="247"/>
  <c r="O62" i="247"/>
  <c r="N62" i="247"/>
  <c r="O61" i="247"/>
  <c r="N61" i="247"/>
  <c r="O60" i="247"/>
  <c r="N60" i="247"/>
  <c r="O57" i="247"/>
  <c r="N57" i="247"/>
  <c r="M57" i="247"/>
  <c r="L57" i="247"/>
  <c r="K57" i="247"/>
  <c r="J57" i="247"/>
  <c r="I57" i="247"/>
  <c r="H57" i="247"/>
  <c r="G57" i="247"/>
  <c r="N56" i="247"/>
  <c r="O48" i="247"/>
  <c r="N48" i="247"/>
  <c r="M48" i="247"/>
  <c r="L48" i="247"/>
  <c r="K48" i="247"/>
  <c r="J48" i="247"/>
  <c r="I48" i="247"/>
  <c r="H48" i="247"/>
  <c r="G48" i="247"/>
  <c r="N46" i="247"/>
  <c r="O43" i="247"/>
  <c r="N43" i="247"/>
  <c r="M43" i="247"/>
  <c r="L43" i="247"/>
  <c r="K43" i="247"/>
  <c r="J43" i="247"/>
  <c r="I43" i="247"/>
  <c r="H43" i="247"/>
  <c r="G43" i="247"/>
  <c r="N42" i="247"/>
  <c r="O38" i="247"/>
  <c r="N38" i="247"/>
  <c r="M38" i="247"/>
  <c r="L38" i="247"/>
  <c r="K38" i="247"/>
  <c r="J38" i="247"/>
  <c r="I38" i="247"/>
  <c r="H38" i="247"/>
  <c r="G38" i="247"/>
  <c r="O37" i="247"/>
  <c r="N37" i="247"/>
  <c r="O34" i="247"/>
  <c r="N34" i="247"/>
  <c r="M34" i="247"/>
  <c r="L34" i="247"/>
  <c r="K34" i="247"/>
  <c r="J34" i="247"/>
  <c r="I34" i="247"/>
  <c r="H34" i="247"/>
  <c r="G34" i="247"/>
  <c r="O33" i="247"/>
  <c r="N33" i="247"/>
  <c r="O30" i="247"/>
  <c r="N30" i="247"/>
  <c r="M30" i="247"/>
  <c r="L30" i="247"/>
  <c r="K30" i="247"/>
  <c r="J30" i="247"/>
  <c r="I30" i="247"/>
  <c r="H30" i="247"/>
  <c r="G30" i="247"/>
  <c r="O29" i="247"/>
  <c r="N29" i="247"/>
  <c r="O28" i="247"/>
  <c r="N28" i="247"/>
  <c r="O25" i="247"/>
  <c r="N25" i="247"/>
  <c r="M25" i="247"/>
  <c r="L25" i="247"/>
  <c r="K25" i="247"/>
  <c r="J25" i="247"/>
  <c r="I25" i="247"/>
  <c r="H25" i="247"/>
  <c r="G25" i="247"/>
  <c r="O24" i="247"/>
  <c r="N24" i="247"/>
  <c r="O23" i="247"/>
  <c r="N23" i="247"/>
  <c r="O20" i="247"/>
  <c r="N20" i="247"/>
  <c r="M20" i="247"/>
  <c r="L20" i="247"/>
  <c r="K20" i="247"/>
  <c r="J20" i="247"/>
  <c r="I20" i="247"/>
  <c r="H20" i="247"/>
  <c r="G20" i="247"/>
  <c r="O19" i="247"/>
  <c r="N19" i="247"/>
  <c r="O18" i="247"/>
  <c r="N18" i="247"/>
  <c r="O15" i="247"/>
  <c r="N15" i="247"/>
  <c r="M15" i="247"/>
  <c r="L15" i="247"/>
  <c r="K15" i="247"/>
  <c r="J15" i="247"/>
  <c r="I15" i="247"/>
  <c r="H15" i="247"/>
  <c r="G15" i="247"/>
  <c r="O14" i="247"/>
  <c r="N14" i="247"/>
  <c r="K224" i="246"/>
  <c r="H224" i="246"/>
  <c r="D224" i="246"/>
  <c r="N222" i="246"/>
  <c r="M222" i="246"/>
  <c r="L222" i="246"/>
  <c r="K222" i="246"/>
  <c r="J222" i="246"/>
  <c r="I222" i="246"/>
  <c r="H222" i="246"/>
  <c r="G222" i="246"/>
  <c r="F222" i="246"/>
  <c r="N221" i="246"/>
  <c r="M221" i="246"/>
  <c r="N220" i="246"/>
  <c r="M220" i="246"/>
  <c r="N219" i="246"/>
  <c r="M219" i="246"/>
  <c r="N218" i="246"/>
  <c r="M218" i="246"/>
  <c r="N217" i="246"/>
  <c r="M217" i="246"/>
  <c r="N216" i="246"/>
  <c r="M216" i="246"/>
  <c r="N215" i="246"/>
  <c r="M215" i="246"/>
  <c r="N214" i="246"/>
  <c r="M214" i="246"/>
  <c r="N213" i="246"/>
  <c r="M213" i="246"/>
  <c r="N212" i="246"/>
  <c r="M212" i="246"/>
  <c r="N211" i="246"/>
  <c r="M211" i="246"/>
  <c r="N210" i="246"/>
  <c r="M210" i="246"/>
  <c r="N209" i="246"/>
  <c r="M209" i="246"/>
  <c r="N208" i="246"/>
  <c r="M208" i="246"/>
  <c r="N207" i="246"/>
  <c r="M207" i="246"/>
  <c r="N206" i="246"/>
  <c r="M206" i="246"/>
  <c r="N205" i="246"/>
  <c r="M205" i="246"/>
  <c r="N204" i="246"/>
  <c r="M204" i="246"/>
  <c r="N203" i="246"/>
  <c r="M203" i="246"/>
  <c r="N202" i="246"/>
  <c r="M202" i="246"/>
  <c r="N201" i="246"/>
  <c r="M201" i="246"/>
  <c r="N200" i="246"/>
  <c r="M200" i="246"/>
  <c r="N199" i="246"/>
  <c r="M199" i="246"/>
  <c r="N198" i="246"/>
  <c r="M198" i="246"/>
  <c r="N197" i="246"/>
  <c r="M197" i="246"/>
  <c r="N196" i="246"/>
  <c r="M196" i="246"/>
  <c r="N195" i="246"/>
  <c r="M195" i="246"/>
  <c r="N194" i="246"/>
  <c r="M194" i="246"/>
  <c r="N193" i="246"/>
  <c r="M193" i="246"/>
  <c r="N192" i="246"/>
  <c r="M192" i="246"/>
  <c r="N191" i="246"/>
  <c r="M191" i="246"/>
  <c r="N190" i="246"/>
  <c r="M190" i="246"/>
  <c r="N189" i="246"/>
  <c r="M189" i="246"/>
  <c r="N186" i="246"/>
  <c r="M186" i="246"/>
  <c r="L186" i="246"/>
  <c r="K186" i="246"/>
  <c r="J186" i="246"/>
  <c r="I186" i="246"/>
  <c r="H186" i="246"/>
  <c r="G186" i="246"/>
  <c r="F186" i="246"/>
  <c r="N185" i="246"/>
  <c r="M185" i="246"/>
  <c r="N184" i="246"/>
  <c r="M184" i="246"/>
  <c r="N183" i="246"/>
  <c r="M183" i="246"/>
  <c r="N182" i="246"/>
  <c r="M182" i="246"/>
  <c r="N181" i="246"/>
  <c r="M181" i="246"/>
  <c r="N180" i="246"/>
  <c r="M180" i="246"/>
  <c r="N179" i="246"/>
  <c r="M179" i="246"/>
  <c r="N178" i="246"/>
  <c r="M178" i="246"/>
  <c r="N177" i="246"/>
  <c r="M177" i="246"/>
  <c r="N176" i="246"/>
  <c r="M176" i="246"/>
  <c r="N173" i="246"/>
  <c r="M173" i="246"/>
  <c r="L173" i="246"/>
  <c r="K173" i="246"/>
  <c r="J173" i="246"/>
  <c r="I173" i="246"/>
  <c r="H173" i="246"/>
  <c r="G173" i="246"/>
  <c r="F173" i="246"/>
  <c r="N172" i="246"/>
  <c r="M172" i="246"/>
  <c r="N171" i="246"/>
  <c r="M171" i="246"/>
  <c r="N168" i="246"/>
  <c r="M168" i="246"/>
  <c r="L168" i="246"/>
  <c r="K168" i="246"/>
  <c r="J168" i="246"/>
  <c r="I168" i="246"/>
  <c r="H168" i="246"/>
  <c r="G168" i="246"/>
  <c r="F168" i="246"/>
  <c r="N167" i="246"/>
  <c r="M167" i="246"/>
  <c r="N164" i="246"/>
  <c r="M164" i="246"/>
  <c r="L164" i="246"/>
  <c r="K164" i="246"/>
  <c r="J164" i="246"/>
  <c r="I164" i="246"/>
  <c r="H164" i="246"/>
  <c r="G164" i="246"/>
  <c r="F164" i="246"/>
  <c r="N163" i="246"/>
  <c r="M163" i="246"/>
  <c r="N162" i="246"/>
  <c r="M162" i="246"/>
  <c r="N161" i="246"/>
  <c r="M161" i="246"/>
  <c r="N160" i="246"/>
  <c r="M160" i="246"/>
  <c r="M157" i="246"/>
  <c r="L157" i="246"/>
  <c r="K157" i="246"/>
  <c r="J157" i="246"/>
  <c r="I157" i="246"/>
  <c r="H157" i="246"/>
  <c r="G157" i="246"/>
  <c r="F157" i="246"/>
  <c r="N156" i="246"/>
  <c r="M156" i="246"/>
  <c r="N153" i="246"/>
  <c r="M153" i="246"/>
  <c r="L153" i="246"/>
  <c r="K153" i="246"/>
  <c r="J153" i="246"/>
  <c r="I153" i="246"/>
  <c r="H153" i="246"/>
  <c r="G153" i="246"/>
  <c r="F153" i="246"/>
  <c r="N152" i="246"/>
  <c r="M152" i="246"/>
  <c r="N149" i="246"/>
  <c r="M149" i="246"/>
  <c r="L149" i="246"/>
  <c r="K149" i="246"/>
  <c r="J149" i="246"/>
  <c r="I149" i="246"/>
  <c r="H149" i="246"/>
  <c r="G149" i="246"/>
  <c r="F149" i="246"/>
  <c r="N148" i="246"/>
  <c r="M148" i="246"/>
  <c r="N147" i="246"/>
  <c r="M147" i="246"/>
  <c r="N146" i="246"/>
  <c r="M146" i="246"/>
  <c r="N145" i="246"/>
  <c r="M145" i="246"/>
  <c r="N144" i="246"/>
  <c r="M144" i="246"/>
  <c r="N141" i="246"/>
  <c r="M141" i="246"/>
  <c r="L141" i="246"/>
  <c r="K141" i="246"/>
  <c r="J141" i="246"/>
  <c r="I141" i="246"/>
  <c r="H141" i="246"/>
  <c r="G141" i="246"/>
  <c r="F141" i="246"/>
  <c r="N140" i="246"/>
  <c r="M140" i="246"/>
  <c r="N139" i="246"/>
  <c r="M139" i="246"/>
  <c r="N138" i="246"/>
  <c r="M138" i="246"/>
  <c r="N137" i="246"/>
  <c r="M137" i="246"/>
  <c r="N136" i="246"/>
  <c r="M136" i="246"/>
  <c r="N135" i="246"/>
  <c r="M135" i="246"/>
  <c r="N132" i="246"/>
  <c r="M132" i="246"/>
  <c r="L132" i="246"/>
  <c r="K132" i="246"/>
  <c r="J132" i="246"/>
  <c r="I132" i="246"/>
  <c r="H132" i="246"/>
  <c r="G132" i="246"/>
  <c r="F132" i="246"/>
  <c r="N131" i="246"/>
  <c r="M131" i="246"/>
  <c r="N130" i="246"/>
  <c r="M130" i="246"/>
  <c r="N126" i="246"/>
  <c r="M126" i="246"/>
  <c r="L126" i="246"/>
  <c r="K126" i="246"/>
  <c r="J126" i="246"/>
  <c r="I126" i="246"/>
  <c r="H126" i="246"/>
  <c r="G126" i="246"/>
  <c r="F126" i="246"/>
  <c r="N125" i="246"/>
  <c r="M125" i="246"/>
  <c r="N122" i="246"/>
  <c r="M122" i="246"/>
  <c r="L122" i="246"/>
  <c r="K122" i="246"/>
  <c r="J122" i="246"/>
  <c r="I122" i="246"/>
  <c r="H122" i="246"/>
  <c r="G122" i="246"/>
  <c r="F122" i="246"/>
  <c r="N121" i="246"/>
  <c r="M121" i="246"/>
  <c r="N120" i="246"/>
  <c r="N119" i="246"/>
  <c r="M119" i="246"/>
  <c r="N118" i="246"/>
  <c r="M118" i="246"/>
  <c r="N117" i="246"/>
  <c r="M117" i="246"/>
  <c r="N116" i="246"/>
  <c r="M116" i="246"/>
  <c r="N113" i="246"/>
  <c r="M113" i="246"/>
  <c r="L113" i="246"/>
  <c r="K113" i="246"/>
  <c r="J113" i="246"/>
  <c r="I113" i="246"/>
  <c r="H113" i="246"/>
  <c r="F113" i="246"/>
  <c r="N112" i="246"/>
  <c r="M112" i="246"/>
  <c r="N109" i="246"/>
  <c r="M109" i="246"/>
  <c r="L109" i="246"/>
  <c r="K109" i="246"/>
  <c r="J109" i="246"/>
  <c r="I109" i="246"/>
  <c r="H109" i="246"/>
  <c r="G109" i="246"/>
  <c r="F109" i="246"/>
  <c r="N108" i="246"/>
  <c r="M108" i="246"/>
  <c r="N104" i="246"/>
  <c r="M104" i="246"/>
  <c r="L104" i="246"/>
  <c r="K104" i="246"/>
  <c r="J104" i="246"/>
  <c r="I104" i="246"/>
  <c r="H104" i="246"/>
  <c r="G104" i="246"/>
  <c r="F104" i="246"/>
  <c r="N103" i="246"/>
  <c r="M103" i="246"/>
  <c r="N102" i="246"/>
  <c r="M102" i="246"/>
  <c r="N101" i="246"/>
  <c r="M101" i="246"/>
  <c r="N98" i="246"/>
  <c r="M98" i="246"/>
  <c r="L98" i="246"/>
  <c r="K98" i="246"/>
  <c r="J98" i="246"/>
  <c r="I98" i="246"/>
  <c r="H98" i="246"/>
  <c r="G98" i="246"/>
  <c r="F98" i="246"/>
  <c r="N97" i="246"/>
  <c r="M97" i="246"/>
  <c r="N96" i="246"/>
  <c r="M96" i="246"/>
  <c r="N93" i="246"/>
  <c r="M93" i="246"/>
  <c r="L93" i="246"/>
  <c r="K93" i="246"/>
  <c r="J93" i="246"/>
  <c r="I93" i="246"/>
  <c r="H93" i="246"/>
  <c r="G93" i="246"/>
  <c r="F93" i="246"/>
  <c r="N92" i="246"/>
  <c r="M92" i="246"/>
  <c r="N91" i="246"/>
  <c r="M91" i="246"/>
  <c r="N88" i="246"/>
  <c r="M88" i="246"/>
  <c r="L88" i="246"/>
  <c r="K88" i="246"/>
  <c r="J88" i="246"/>
  <c r="I88" i="246"/>
  <c r="H88" i="246"/>
  <c r="G88" i="246"/>
  <c r="F88" i="246"/>
  <c r="N87" i="246"/>
  <c r="M87" i="246"/>
  <c r="N86" i="246"/>
  <c r="M86" i="246"/>
  <c r="M85" i="246"/>
  <c r="M84" i="246"/>
  <c r="N83" i="246"/>
  <c r="M83" i="246"/>
  <c r="N82" i="246"/>
  <c r="M82" i="246"/>
  <c r="N81" i="246"/>
  <c r="M81" i="246"/>
  <c r="N80" i="246"/>
  <c r="M80" i="246"/>
  <c r="N79" i="246"/>
  <c r="M79" i="246"/>
  <c r="N78" i="246"/>
  <c r="M78" i="246"/>
  <c r="N77" i="246"/>
  <c r="M77" i="246"/>
  <c r="N76" i="246"/>
  <c r="M76" i="246"/>
  <c r="N73" i="246"/>
  <c r="M73" i="246"/>
  <c r="L73" i="246"/>
  <c r="K73" i="246"/>
  <c r="J73" i="246"/>
  <c r="I73" i="246"/>
  <c r="H73" i="246"/>
  <c r="G73" i="246"/>
  <c r="F73" i="246"/>
  <c r="N72" i="246"/>
  <c r="M72" i="246"/>
  <c r="N71" i="246"/>
  <c r="M71" i="246"/>
  <c r="N70" i="246"/>
  <c r="M70" i="246"/>
  <c r="N69" i="246"/>
  <c r="M69" i="246"/>
  <c r="N68" i="246"/>
  <c r="M68" i="246"/>
  <c r="N67" i="246"/>
  <c r="M67" i="246"/>
  <c r="N66" i="246"/>
  <c r="M66" i="246"/>
  <c r="N65" i="246"/>
  <c r="M65" i="246"/>
  <c r="N64" i="246"/>
  <c r="M64" i="246"/>
  <c r="N63" i="246"/>
  <c r="M63" i="246"/>
  <c r="N62" i="246"/>
  <c r="M62" i="246"/>
  <c r="N61" i="246"/>
  <c r="M61" i="246"/>
  <c r="N58" i="246"/>
  <c r="M58" i="246"/>
  <c r="L58" i="246"/>
  <c r="K58" i="246"/>
  <c r="J58" i="246"/>
  <c r="I58" i="246"/>
  <c r="H58" i="246"/>
  <c r="G58" i="246"/>
  <c r="F58" i="246"/>
  <c r="N57" i="246"/>
  <c r="M57" i="246"/>
  <c r="N56" i="246"/>
  <c r="M56" i="246"/>
  <c r="N55" i="246"/>
  <c r="M55" i="246"/>
  <c r="N52" i="246"/>
  <c r="M52" i="246"/>
  <c r="L52" i="246"/>
  <c r="K52" i="246"/>
  <c r="J52" i="246"/>
  <c r="I52" i="246"/>
  <c r="H52" i="246"/>
  <c r="G52" i="246"/>
  <c r="F52" i="246"/>
  <c r="N51" i="246"/>
  <c r="M51" i="246"/>
  <c r="N48" i="246"/>
  <c r="M48" i="246"/>
  <c r="L48" i="246"/>
  <c r="K48" i="246"/>
  <c r="J48" i="246"/>
  <c r="I48" i="246"/>
  <c r="H48" i="246"/>
  <c r="G48" i="246"/>
  <c r="F48" i="246"/>
  <c r="N47" i="246"/>
  <c r="M47" i="246"/>
  <c r="N46" i="246"/>
  <c r="M46" i="246"/>
  <c r="N43" i="246"/>
  <c r="M43" i="246"/>
  <c r="L43" i="246"/>
  <c r="K43" i="246"/>
  <c r="J43" i="246"/>
  <c r="I43" i="246"/>
  <c r="G43" i="246"/>
  <c r="F43" i="246"/>
  <c r="N42" i="246"/>
  <c r="M42" i="246"/>
  <c r="N39" i="246"/>
  <c r="M39" i="246"/>
  <c r="L39" i="246"/>
  <c r="K39" i="246"/>
  <c r="J39" i="246"/>
  <c r="I39" i="246"/>
  <c r="H39" i="246"/>
  <c r="G39" i="246"/>
  <c r="F39" i="246"/>
  <c r="N38" i="246"/>
  <c r="M38" i="246"/>
  <c r="N37" i="246"/>
  <c r="M37" i="246"/>
  <c r="N36" i="246"/>
  <c r="M36" i="246"/>
  <c r="N34" i="246"/>
  <c r="M34" i="246"/>
  <c r="N33" i="246"/>
  <c r="M33" i="246"/>
  <c r="N32" i="246"/>
  <c r="M32" i="246"/>
  <c r="N29" i="246"/>
  <c r="M29" i="246"/>
  <c r="L29" i="246"/>
  <c r="K29" i="246"/>
  <c r="J29" i="246"/>
  <c r="I29" i="246"/>
  <c r="H29" i="246"/>
  <c r="G29" i="246"/>
  <c r="F29" i="246"/>
  <c r="N28" i="246"/>
  <c r="M28" i="246"/>
  <c r="N27" i="246"/>
  <c r="M27" i="246"/>
  <c r="N24" i="246"/>
  <c r="M24" i="246"/>
  <c r="L24" i="246"/>
  <c r="K24" i="246"/>
  <c r="J24" i="246"/>
  <c r="I24" i="246"/>
  <c r="H24" i="246"/>
  <c r="G24" i="246"/>
  <c r="F24" i="246"/>
  <c r="N23" i="246"/>
  <c r="N19" i="246"/>
  <c r="M19" i="246"/>
  <c r="L19" i="246"/>
  <c r="K19" i="246"/>
  <c r="J19" i="246"/>
  <c r="I19" i="246"/>
  <c r="H19" i="246"/>
  <c r="G19" i="246"/>
  <c r="F19" i="246"/>
  <c r="N18" i="246"/>
  <c r="M18" i="246"/>
  <c r="N17" i="246"/>
  <c r="M17" i="246"/>
  <c r="N16" i="246"/>
  <c r="M16" i="246"/>
  <c r="N15" i="246"/>
  <c r="M15" i="246"/>
  <c r="N14" i="246"/>
  <c r="M14" i="246"/>
  <c r="L23" i="242"/>
  <c r="K23" i="242"/>
  <c r="J23" i="242"/>
  <c r="I23" i="242"/>
  <c r="H23" i="242"/>
  <c r="G23" i="242"/>
  <c r="F23" i="242"/>
  <c r="E23" i="242"/>
  <c r="D23" i="242"/>
  <c r="L20" i="242"/>
  <c r="K20" i="242"/>
  <c r="J20" i="242"/>
  <c r="I20" i="242"/>
  <c r="H20" i="242"/>
  <c r="G20" i="242"/>
  <c r="F20" i="242"/>
  <c r="E20" i="242"/>
  <c r="D20" i="242"/>
  <c r="L16" i="242"/>
  <c r="K16" i="242"/>
  <c r="J16" i="242"/>
  <c r="I16" i="242"/>
  <c r="H16" i="242"/>
  <c r="G16" i="242"/>
  <c r="F16" i="242"/>
  <c r="E16" i="242"/>
  <c r="D16" i="242"/>
  <c r="L45" i="243"/>
  <c r="K45" i="243"/>
  <c r="J45" i="243"/>
  <c r="I45" i="243"/>
  <c r="H45" i="243"/>
  <c r="G45" i="243"/>
  <c r="F45" i="243"/>
  <c r="D45" i="243"/>
  <c r="L42" i="243"/>
  <c r="K42" i="243"/>
  <c r="J42" i="243"/>
  <c r="I42" i="243"/>
  <c r="H42" i="243"/>
  <c r="G42" i="243"/>
  <c r="F42" i="243"/>
  <c r="E42" i="243"/>
  <c r="D42" i="243"/>
  <c r="K41" i="243"/>
  <c r="L38" i="243"/>
  <c r="K38" i="243"/>
  <c r="J38" i="243"/>
  <c r="I38" i="243"/>
  <c r="H38" i="243"/>
  <c r="G38" i="243"/>
  <c r="F38" i="243"/>
  <c r="E38" i="243"/>
  <c r="D38" i="243"/>
  <c r="K37" i="243"/>
  <c r="L33" i="243"/>
  <c r="K33" i="243"/>
  <c r="J33" i="243"/>
  <c r="I33" i="243"/>
  <c r="H33" i="243"/>
  <c r="G33" i="243"/>
  <c r="F33" i="243"/>
  <c r="E33" i="243"/>
  <c r="D33" i="243"/>
  <c r="K32" i="243"/>
  <c r="L29" i="243"/>
  <c r="K29" i="243"/>
  <c r="J29" i="243"/>
  <c r="I29" i="243"/>
  <c r="H29" i="243"/>
  <c r="G29" i="243"/>
  <c r="F29" i="243"/>
  <c r="E29" i="243"/>
  <c r="D29" i="243"/>
  <c r="K28" i="243"/>
  <c r="L24" i="243"/>
  <c r="K24" i="243"/>
  <c r="J24" i="243"/>
  <c r="I24" i="243"/>
  <c r="H24" i="243"/>
  <c r="G24" i="243"/>
  <c r="F24" i="243"/>
  <c r="E24" i="243"/>
  <c r="D24" i="243"/>
  <c r="K23" i="243"/>
  <c r="L20" i="243"/>
  <c r="K20" i="243"/>
  <c r="J20" i="243"/>
  <c r="I20" i="243"/>
  <c r="H20" i="243"/>
  <c r="G20" i="243"/>
  <c r="F20" i="243"/>
  <c r="E20" i="243"/>
  <c r="D20" i="243"/>
  <c r="K19" i="243"/>
  <c r="L16" i="243"/>
  <c r="K16" i="243"/>
  <c r="J16" i="243"/>
  <c r="I16" i="243"/>
  <c r="H16" i="243"/>
  <c r="G16" i="243"/>
  <c r="F16" i="243"/>
  <c r="E16" i="243"/>
  <c r="D16" i="243"/>
  <c r="L15" i="243"/>
  <c r="K15" i="243"/>
  <c r="O35" i="244"/>
  <c r="N35" i="244"/>
  <c r="M35" i="244"/>
  <c r="L35" i="244"/>
  <c r="K35" i="244"/>
  <c r="J35" i="244"/>
  <c r="I35" i="244"/>
  <c r="H35" i="244"/>
  <c r="G35" i="244"/>
  <c r="O34" i="244"/>
  <c r="N34" i="244"/>
  <c r="M34" i="244"/>
  <c r="L34" i="244"/>
  <c r="K34" i="244"/>
  <c r="J34" i="244"/>
  <c r="I34" i="244"/>
  <c r="H34" i="244"/>
  <c r="G34" i="244"/>
  <c r="N33" i="244"/>
  <c r="N32" i="244"/>
  <c r="N31" i="244"/>
  <c r="N30" i="244"/>
  <c r="N29" i="244"/>
  <c r="N28" i="244"/>
  <c r="N27" i="244"/>
  <c r="N26" i="244"/>
  <c r="N25" i="244"/>
  <c r="N24" i="244"/>
  <c r="N23" i="244"/>
  <c r="N22" i="244"/>
  <c r="N21" i="244"/>
  <c r="N20" i="244"/>
  <c r="N19" i="244"/>
  <c r="N18" i="244"/>
  <c r="N17" i="244"/>
  <c r="N16" i="244"/>
  <c r="N15" i="244"/>
  <c r="O115" i="245"/>
  <c r="N115" i="245"/>
  <c r="M115" i="245"/>
  <c r="L115" i="245"/>
  <c r="K115" i="245"/>
  <c r="J115" i="245"/>
  <c r="I115" i="245"/>
  <c r="H115" i="245"/>
  <c r="G115" i="245"/>
  <c r="C115" i="245"/>
  <c r="O113" i="245"/>
  <c r="N113" i="245"/>
  <c r="M113" i="245"/>
  <c r="L113" i="245"/>
  <c r="K113" i="245"/>
  <c r="J113" i="245"/>
  <c r="I113" i="245"/>
  <c r="H113" i="245"/>
  <c r="G113" i="245"/>
  <c r="O112" i="245"/>
  <c r="N112" i="245"/>
  <c r="O111" i="245"/>
  <c r="N111" i="245"/>
  <c r="O110" i="245"/>
  <c r="N110" i="245"/>
  <c r="O109" i="245"/>
  <c r="N109" i="245"/>
  <c r="O108" i="245"/>
  <c r="N108" i="245"/>
  <c r="O107" i="245"/>
  <c r="N107" i="245"/>
  <c r="O106" i="245"/>
  <c r="N106" i="245"/>
  <c r="O105" i="245"/>
  <c r="N105" i="245"/>
  <c r="O104" i="245"/>
  <c r="N104" i="245"/>
  <c r="O103" i="245"/>
  <c r="N103" i="245"/>
  <c r="O102" i="245"/>
  <c r="N102" i="245"/>
  <c r="O101" i="245"/>
  <c r="N101" i="245"/>
  <c r="O100" i="245"/>
  <c r="N100" i="245"/>
  <c r="O99" i="245"/>
  <c r="N99" i="245"/>
  <c r="O98" i="245"/>
  <c r="N98" i="245"/>
  <c r="O97" i="245"/>
  <c r="N97" i="245"/>
  <c r="O96" i="245"/>
  <c r="N96" i="245"/>
  <c r="O95" i="245"/>
  <c r="N95" i="245"/>
  <c r="O94" i="245"/>
  <c r="N94" i="245"/>
  <c r="O93" i="245"/>
  <c r="N93" i="245"/>
  <c r="O92" i="245"/>
  <c r="N92" i="245"/>
  <c r="O91" i="245"/>
  <c r="N91" i="245"/>
  <c r="O90" i="245"/>
  <c r="N90" i="245"/>
  <c r="O89" i="245"/>
  <c r="N89" i="245"/>
  <c r="O88" i="245"/>
  <c r="N88" i="245"/>
  <c r="O87" i="245"/>
  <c r="N87" i="245"/>
  <c r="O86" i="245"/>
  <c r="N86" i="245"/>
  <c r="O85" i="245"/>
  <c r="N85" i="245"/>
  <c r="O84" i="245"/>
  <c r="N84" i="245"/>
  <c r="O80" i="245"/>
  <c r="N80" i="245"/>
  <c r="M80" i="245"/>
  <c r="L80" i="245"/>
  <c r="K80" i="245"/>
  <c r="J80" i="245"/>
  <c r="I80" i="245"/>
  <c r="H80" i="245"/>
  <c r="G80" i="245"/>
  <c r="O79" i="245"/>
  <c r="N79" i="245"/>
  <c r="O76" i="245"/>
  <c r="N76" i="245"/>
  <c r="M76" i="245"/>
  <c r="L76" i="245"/>
  <c r="K76" i="245"/>
  <c r="J76" i="245"/>
  <c r="I76" i="245"/>
  <c r="H76" i="245"/>
  <c r="G76" i="245"/>
  <c r="O75" i="245"/>
  <c r="N75" i="245"/>
  <c r="O74" i="245"/>
  <c r="N74" i="245"/>
  <c r="O73" i="245"/>
  <c r="N73" i="245"/>
  <c r="O72" i="245"/>
  <c r="N72" i="245"/>
  <c r="O71" i="245"/>
  <c r="N71" i="245"/>
  <c r="O70" i="245"/>
  <c r="N70" i="245"/>
  <c r="N66" i="245"/>
  <c r="O63" i="245"/>
  <c r="N63" i="245"/>
  <c r="M63" i="245"/>
  <c r="L63" i="245"/>
  <c r="K63" i="245"/>
  <c r="J63" i="245"/>
  <c r="I63" i="245"/>
  <c r="H63" i="245"/>
  <c r="G63" i="245"/>
  <c r="O62" i="245"/>
  <c r="N62" i="245"/>
  <c r="O59" i="245"/>
  <c r="N59" i="245"/>
  <c r="M59" i="245"/>
  <c r="L59" i="245"/>
  <c r="K59" i="245"/>
  <c r="J59" i="245"/>
  <c r="I59" i="245"/>
  <c r="H59" i="245"/>
  <c r="G59" i="245"/>
  <c r="O58" i="245"/>
  <c r="N58" i="245"/>
  <c r="O57" i="245"/>
  <c r="N57" i="245"/>
  <c r="O56" i="245"/>
  <c r="N56" i="245"/>
  <c r="O55" i="245"/>
  <c r="N55" i="245"/>
  <c r="O54" i="245"/>
  <c r="N54" i="245"/>
  <c r="O51" i="245"/>
  <c r="N51" i="245"/>
  <c r="M51" i="245"/>
  <c r="L51" i="245"/>
  <c r="K51" i="245"/>
  <c r="J51" i="245"/>
  <c r="I51" i="245"/>
  <c r="H51" i="245"/>
  <c r="G51" i="245"/>
  <c r="N50" i="245"/>
  <c r="O47" i="245"/>
  <c r="N47" i="245"/>
  <c r="M47" i="245"/>
  <c r="L47" i="245"/>
  <c r="K47" i="245"/>
  <c r="J47" i="245"/>
  <c r="I47" i="245"/>
  <c r="H47" i="245"/>
  <c r="G47" i="245"/>
  <c r="N46" i="245"/>
  <c r="O43" i="245"/>
  <c r="N43" i="245"/>
  <c r="M43" i="245"/>
  <c r="L43" i="245"/>
  <c r="K43" i="245"/>
  <c r="J43" i="245"/>
  <c r="I43" i="245"/>
  <c r="H43" i="245"/>
  <c r="G43" i="245"/>
  <c r="N42" i="245"/>
  <c r="O38" i="245"/>
  <c r="N38" i="245"/>
  <c r="M38" i="245"/>
  <c r="L38" i="245"/>
  <c r="K38" i="245"/>
  <c r="J38" i="245"/>
  <c r="I38" i="245"/>
  <c r="H38" i="245"/>
  <c r="G38" i="245"/>
  <c r="O37" i="245"/>
  <c r="N37" i="245"/>
  <c r="O34" i="245"/>
  <c r="N34" i="245"/>
  <c r="M34" i="245"/>
  <c r="L34" i="245"/>
  <c r="K34" i="245"/>
  <c r="J34" i="245"/>
  <c r="I34" i="245"/>
  <c r="H34" i="245"/>
  <c r="G34" i="245"/>
  <c r="O33" i="245"/>
  <c r="N33" i="245"/>
  <c r="O30" i="245"/>
  <c r="N30" i="245"/>
  <c r="M30" i="245"/>
  <c r="L30" i="245"/>
  <c r="K30" i="245"/>
  <c r="J30" i="245"/>
  <c r="I30" i="245"/>
  <c r="H30" i="245"/>
  <c r="G30" i="245"/>
  <c r="O29" i="245"/>
  <c r="N29" i="245"/>
  <c r="O28" i="245"/>
  <c r="N28" i="245"/>
  <c r="O25" i="245"/>
  <c r="N25" i="245"/>
  <c r="M25" i="245"/>
  <c r="L25" i="245"/>
  <c r="K25" i="245"/>
  <c r="J25" i="245"/>
  <c r="I25" i="245"/>
  <c r="H25" i="245"/>
  <c r="G25" i="245"/>
  <c r="O24" i="245"/>
  <c r="N24" i="245"/>
  <c r="O23" i="245"/>
  <c r="N23" i="245"/>
  <c r="O20" i="245"/>
  <c r="N20" i="245"/>
  <c r="M20" i="245"/>
  <c r="L20" i="245"/>
  <c r="K20" i="245"/>
  <c r="J20" i="245"/>
  <c r="I20" i="245"/>
  <c r="H20" i="245"/>
  <c r="G20" i="245"/>
  <c r="O19" i="245"/>
  <c r="N19" i="245"/>
  <c r="O18" i="245"/>
  <c r="N18" i="245"/>
  <c r="O15" i="245"/>
  <c r="N15" i="245"/>
  <c r="M15" i="245"/>
  <c r="L15" i="245"/>
  <c r="K15" i="245"/>
  <c r="J15" i="245"/>
  <c r="I15" i="245"/>
  <c r="H15" i="245"/>
  <c r="G15" i="245"/>
  <c r="O14" i="245"/>
  <c r="N14" i="245"/>
  <c r="N211" i="241"/>
  <c r="M211" i="241"/>
  <c r="L211" i="241"/>
  <c r="K211" i="241"/>
  <c r="J211" i="241"/>
  <c r="I211" i="241"/>
  <c r="H211" i="241"/>
  <c r="G211" i="241"/>
  <c r="F211" i="241"/>
  <c r="E211" i="241"/>
  <c r="D211" i="241"/>
  <c r="N209" i="241"/>
  <c r="M209" i="241"/>
  <c r="L209" i="241"/>
  <c r="K209" i="241"/>
  <c r="J209" i="241"/>
  <c r="I209" i="241"/>
  <c r="H209" i="241"/>
  <c r="G209" i="241"/>
  <c r="F209" i="241"/>
  <c r="N208" i="241"/>
  <c r="M208" i="241"/>
  <c r="N207" i="241"/>
  <c r="M207" i="241"/>
  <c r="N206" i="241"/>
  <c r="M206" i="241"/>
  <c r="N205" i="241"/>
  <c r="M205" i="241"/>
  <c r="N204" i="241"/>
  <c r="M204" i="241"/>
  <c r="N203" i="241"/>
  <c r="M203" i="241"/>
  <c r="N202" i="241"/>
  <c r="M202" i="241"/>
  <c r="N201" i="241"/>
  <c r="M201" i="241"/>
  <c r="N200" i="241"/>
  <c r="M200" i="241"/>
  <c r="N199" i="241"/>
  <c r="M199" i="241"/>
  <c r="N198" i="241"/>
  <c r="M198" i="241"/>
  <c r="N197" i="241"/>
  <c r="M197" i="241"/>
  <c r="N196" i="241"/>
  <c r="M196" i="241"/>
  <c r="N195" i="241"/>
  <c r="M195" i="241"/>
  <c r="N194" i="241"/>
  <c r="M194" i="241"/>
  <c r="N193" i="241"/>
  <c r="M193" i="241"/>
  <c r="N192" i="241"/>
  <c r="M192" i="241"/>
  <c r="N191" i="241"/>
  <c r="M191" i="241"/>
  <c r="N190" i="241"/>
  <c r="M190" i="241"/>
  <c r="N189" i="241"/>
  <c r="M189" i="241"/>
  <c r="N188" i="241"/>
  <c r="M188" i="241"/>
  <c r="N187" i="241"/>
  <c r="M187" i="241"/>
  <c r="N186" i="241"/>
  <c r="M186" i="241"/>
  <c r="N185" i="241"/>
  <c r="M185" i="241"/>
  <c r="N184" i="241"/>
  <c r="M184" i="241"/>
  <c r="N183" i="241"/>
  <c r="M183" i="241"/>
  <c r="N182" i="241"/>
  <c r="M182" i="241"/>
  <c r="N179" i="241"/>
  <c r="M179" i="241"/>
  <c r="L179" i="241"/>
  <c r="K179" i="241"/>
  <c r="J179" i="241"/>
  <c r="I179" i="241"/>
  <c r="H179" i="241"/>
  <c r="G179" i="241"/>
  <c r="F179" i="241"/>
  <c r="N178" i="241"/>
  <c r="M178" i="241"/>
  <c r="N177" i="241"/>
  <c r="M177" i="241"/>
  <c r="N176" i="241"/>
  <c r="M176" i="241"/>
  <c r="N175" i="241"/>
  <c r="M175" i="241"/>
  <c r="N174" i="241"/>
  <c r="M174" i="241"/>
  <c r="N173" i="241"/>
  <c r="M173" i="241"/>
  <c r="N172" i="241"/>
  <c r="M172" i="241"/>
  <c r="N171" i="241"/>
  <c r="M171" i="241"/>
  <c r="N170" i="241"/>
  <c r="M170" i="241"/>
  <c r="N169" i="241"/>
  <c r="M169" i="241"/>
  <c r="N166" i="241"/>
  <c r="M166" i="241"/>
  <c r="L166" i="241"/>
  <c r="K166" i="241"/>
  <c r="J166" i="241"/>
  <c r="I166" i="241"/>
  <c r="H166" i="241"/>
  <c r="G166" i="241"/>
  <c r="F166" i="241"/>
  <c r="N165" i="241"/>
  <c r="M165" i="241"/>
  <c r="N164" i="241"/>
  <c r="M164" i="241"/>
  <c r="N161" i="241"/>
  <c r="M161" i="241"/>
  <c r="L161" i="241"/>
  <c r="K161" i="241"/>
  <c r="J161" i="241"/>
  <c r="I161" i="241"/>
  <c r="H161" i="241"/>
  <c r="G161" i="241"/>
  <c r="F161" i="241"/>
  <c r="N160" i="241"/>
  <c r="M160" i="241"/>
  <c r="N157" i="241"/>
  <c r="M157" i="241"/>
  <c r="L157" i="241"/>
  <c r="K157" i="241"/>
  <c r="J157" i="241"/>
  <c r="I157" i="241"/>
  <c r="H157" i="241"/>
  <c r="G157" i="241"/>
  <c r="F157" i="241"/>
  <c r="N156" i="241"/>
  <c r="M156" i="241"/>
  <c r="N155" i="241"/>
  <c r="M155" i="241"/>
  <c r="N154" i="241"/>
  <c r="M154" i="241"/>
  <c r="N153" i="241"/>
  <c r="M153" i="241"/>
  <c r="M150" i="241"/>
  <c r="L150" i="241"/>
  <c r="K150" i="241"/>
  <c r="J150" i="241"/>
  <c r="I150" i="241"/>
  <c r="H150" i="241"/>
  <c r="G150" i="241"/>
  <c r="F150" i="241"/>
  <c r="N149" i="241"/>
  <c r="M149" i="241"/>
  <c r="N146" i="241"/>
  <c r="M146" i="241"/>
  <c r="L146" i="241"/>
  <c r="K146" i="241"/>
  <c r="J146" i="241"/>
  <c r="I146" i="241"/>
  <c r="H146" i="241"/>
  <c r="G146" i="241"/>
  <c r="F146" i="241"/>
  <c r="N145" i="241"/>
  <c r="M145" i="241"/>
  <c r="N142" i="241"/>
  <c r="M142" i="241"/>
  <c r="L142" i="241"/>
  <c r="K142" i="241"/>
  <c r="J142" i="241"/>
  <c r="I142" i="241"/>
  <c r="H142" i="241"/>
  <c r="G142" i="241"/>
  <c r="F142" i="241"/>
  <c r="N141" i="241"/>
  <c r="M141" i="241"/>
  <c r="N140" i="241"/>
  <c r="M140" i="241"/>
  <c r="N139" i="241"/>
  <c r="M139" i="241"/>
  <c r="N138" i="241"/>
  <c r="M138" i="241"/>
  <c r="N137" i="241"/>
  <c r="M137" i="241"/>
  <c r="N134" i="241"/>
  <c r="M134" i="241"/>
  <c r="L134" i="241"/>
  <c r="K134" i="241"/>
  <c r="J134" i="241"/>
  <c r="I134" i="241"/>
  <c r="H134" i="241"/>
  <c r="G134" i="241"/>
  <c r="F134" i="241"/>
  <c r="N133" i="241"/>
  <c r="M133" i="241"/>
  <c r="N132" i="241"/>
  <c r="M132" i="241"/>
  <c r="N131" i="241"/>
  <c r="M131" i="241"/>
  <c r="N130" i="241"/>
  <c r="M130" i="241"/>
  <c r="N129" i="241"/>
  <c r="M129" i="241"/>
  <c r="N128" i="241"/>
  <c r="M128" i="241"/>
  <c r="N125" i="241"/>
  <c r="M125" i="241"/>
  <c r="L125" i="241"/>
  <c r="K125" i="241"/>
  <c r="J125" i="241"/>
  <c r="I125" i="241"/>
  <c r="H125" i="241"/>
  <c r="G125" i="241"/>
  <c r="F125" i="241"/>
  <c r="N124" i="241"/>
  <c r="M124" i="241"/>
  <c r="N123" i="241"/>
  <c r="M123" i="241"/>
  <c r="N119" i="241"/>
  <c r="M119" i="241"/>
  <c r="L119" i="241"/>
  <c r="K119" i="241"/>
  <c r="J119" i="241"/>
  <c r="I119" i="241"/>
  <c r="H119" i="241"/>
  <c r="G119" i="241"/>
  <c r="F119" i="241"/>
  <c r="N118" i="241"/>
  <c r="M118" i="241"/>
  <c r="N115" i="241"/>
  <c r="M115" i="241"/>
  <c r="L115" i="241"/>
  <c r="K115" i="241"/>
  <c r="J115" i="241"/>
  <c r="I115" i="241"/>
  <c r="H115" i="241"/>
  <c r="G115" i="241"/>
  <c r="F115" i="241"/>
  <c r="N114" i="241"/>
  <c r="M114" i="241"/>
  <c r="N113" i="241"/>
  <c r="M113" i="241"/>
  <c r="N112" i="241"/>
  <c r="M112" i="241"/>
  <c r="N111" i="241"/>
  <c r="M111" i="241"/>
  <c r="N110" i="241"/>
  <c r="M110" i="241"/>
  <c r="N107" i="241"/>
  <c r="M107" i="241"/>
  <c r="L107" i="241"/>
  <c r="K107" i="241"/>
  <c r="J107" i="241"/>
  <c r="I107" i="241"/>
  <c r="H107" i="241"/>
  <c r="F107" i="241"/>
  <c r="N106" i="241"/>
  <c r="M106" i="241"/>
  <c r="N105" i="241"/>
  <c r="M105" i="241"/>
  <c r="N102" i="241"/>
  <c r="M102" i="241"/>
  <c r="L102" i="241"/>
  <c r="K102" i="241"/>
  <c r="J102" i="241"/>
  <c r="I102" i="241"/>
  <c r="H102" i="241"/>
  <c r="G102" i="241"/>
  <c r="F102" i="241"/>
  <c r="N101" i="241"/>
  <c r="M101" i="241"/>
  <c r="N98" i="241"/>
  <c r="M98" i="241"/>
  <c r="L98" i="241"/>
  <c r="K98" i="241"/>
  <c r="J98" i="241"/>
  <c r="I98" i="241"/>
  <c r="H98" i="241"/>
  <c r="G98" i="241"/>
  <c r="F98" i="241"/>
  <c r="N97" i="241"/>
  <c r="M97" i="241"/>
  <c r="N96" i="241"/>
  <c r="M96" i="241"/>
  <c r="N95" i="241"/>
  <c r="M95" i="241"/>
  <c r="N94" i="241"/>
  <c r="M94" i="241"/>
  <c r="N91" i="241"/>
  <c r="M91" i="241"/>
  <c r="L91" i="241"/>
  <c r="K91" i="241"/>
  <c r="J91" i="241"/>
  <c r="I91" i="241"/>
  <c r="H91" i="241"/>
  <c r="G91" i="241"/>
  <c r="F91" i="241"/>
  <c r="N90" i="241"/>
  <c r="M90" i="241"/>
  <c r="N89" i="241"/>
  <c r="M89" i="241"/>
  <c r="N86" i="241"/>
  <c r="M86" i="241"/>
  <c r="L86" i="241"/>
  <c r="K86" i="241"/>
  <c r="J86" i="241"/>
  <c r="I86" i="241"/>
  <c r="H86" i="241"/>
  <c r="G86" i="241"/>
  <c r="F86" i="241"/>
  <c r="N85" i="241"/>
  <c r="M85" i="241"/>
  <c r="N84" i="241"/>
  <c r="M84" i="241"/>
  <c r="N81" i="241"/>
  <c r="M81" i="241"/>
  <c r="L81" i="241"/>
  <c r="K81" i="241"/>
  <c r="J81" i="241"/>
  <c r="I81" i="241"/>
  <c r="H81" i="241"/>
  <c r="G81" i="241"/>
  <c r="F81" i="241"/>
  <c r="M80" i="241"/>
  <c r="M79" i="241"/>
  <c r="N78" i="241"/>
  <c r="M78" i="241"/>
  <c r="N77" i="241"/>
  <c r="M77" i="241"/>
  <c r="N76" i="241"/>
  <c r="M76" i="241"/>
  <c r="N75" i="241"/>
  <c r="M75" i="241"/>
  <c r="N74" i="241"/>
  <c r="M74" i="241"/>
  <c r="N73" i="241"/>
  <c r="M73" i="241"/>
  <c r="N72" i="241"/>
  <c r="M72" i="241"/>
  <c r="N71" i="241"/>
  <c r="M71" i="241"/>
  <c r="N70" i="241"/>
  <c r="M70" i="241"/>
  <c r="N69" i="241"/>
  <c r="M69" i="241"/>
  <c r="N66" i="241"/>
  <c r="M66" i="241"/>
  <c r="L66" i="241"/>
  <c r="K66" i="241"/>
  <c r="J66" i="241"/>
  <c r="I66" i="241"/>
  <c r="H66" i="241"/>
  <c r="G66" i="241"/>
  <c r="F66" i="241"/>
  <c r="N65" i="241"/>
  <c r="M65" i="241"/>
  <c r="N64" i="241"/>
  <c r="M64" i="241"/>
  <c r="N63" i="241"/>
  <c r="M63" i="241"/>
  <c r="N62" i="241"/>
  <c r="M62" i="241"/>
  <c r="N61" i="241"/>
  <c r="M61" i="241"/>
  <c r="N60" i="241"/>
  <c r="M60" i="241"/>
  <c r="N59" i="241"/>
  <c r="M59" i="241"/>
  <c r="N58" i="241"/>
  <c r="M58" i="241"/>
  <c r="N57" i="241"/>
  <c r="M57" i="241"/>
  <c r="N54" i="241"/>
  <c r="M54" i="241"/>
  <c r="L54" i="241"/>
  <c r="K54" i="241"/>
  <c r="J54" i="241"/>
  <c r="I54" i="241"/>
  <c r="H54" i="241"/>
  <c r="G54" i="241"/>
  <c r="F54" i="241"/>
  <c r="N53" i="241"/>
  <c r="M53" i="241"/>
  <c r="N52" i="241"/>
  <c r="M52" i="241"/>
  <c r="N51" i="241"/>
  <c r="M51" i="241"/>
  <c r="N48" i="241"/>
  <c r="M48" i="241"/>
  <c r="L48" i="241"/>
  <c r="K48" i="241"/>
  <c r="J48" i="241"/>
  <c r="I48" i="241"/>
  <c r="H48" i="241"/>
  <c r="G48" i="241"/>
  <c r="F48" i="241"/>
  <c r="N47" i="241"/>
  <c r="M47" i="241"/>
  <c r="N44" i="241"/>
  <c r="M44" i="241"/>
  <c r="L44" i="241"/>
  <c r="K44" i="241"/>
  <c r="J44" i="241"/>
  <c r="I44" i="241"/>
  <c r="H44" i="241"/>
  <c r="G44" i="241"/>
  <c r="F44" i="241"/>
  <c r="N43" i="241"/>
  <c r="M43" i="241"/>
  <c r="N42" i="241"/>
  <c r="M42" i="241"/>
  <c r="N39" i="241"/>
  <c r="M39" i="241"/>
  <c r="L39" i="241"/>
  <c r="K39" i="241"/>
  <c r="J39" i="241"/>
  <c r="I39" i="241"/>
  <c r="G39" i="241"/>
  <c r="F39" i="241"/>
  <c r="N38" i="241"/>
  <c r="M38" i="241"/>
  <c r="N35" i="241"/>
  <c r="M35" i="241"/>
  <c r="L35" i="241"/>
  <c r="K35" i="241"/>
  <c r="J35" i="241"/>
  <c r="I35" i="241"/>
  <c r="H35" i="241"/>
  <c r="G35" i="241"/>
  <c r="F35" i="241"/>
  <c r="N34" i="241"/>
  <c r="M34" i="241"/>
  <c r="N32" i="241"/>
  <c r="M32" i="241"/>
  <c r="N31" i="241"/>
  <c r="M31" i="241"/>
  <c r="N30" i="241"/>
  <c r="M30" i="241"/>
  <c r="N27" i="241"/>
  <c r="M27" i="241"/>
  <c r="L27" i="241"/>
  <c r="K27" i="241"/>
  <c r="J27" i="241"/>
  <c r="I27" i="241"/>
  <c r="H27" i="241"/>
  <c r="G27" i="241"/>
  <c r="F27" i="241"/>
  <c r="N26" i="241"/>
  <c r="M26" i="241"/>
  <c r="N25" i="241"/>
  <c r="M25" i="241"/>
  <c r="N22" i="241"/>
  <c r="M22" i="241"/>
  <c r="L22" i="241"/>
  <c r="K22" i="241"/>
  <c r="J22" i="241"/>
  <c r="I22" i="241"/>
  <c r="H22" i="241"/>
  <c r="G22" i="241"/>
  <c r="F22" i="241"/>
  <c r="N21" i="241"/>
  <c r="N20" i="241"/>
  <c r="M20" i="241"/>
  <c r="N17" i="241"/>
  <c r="M17" i="241"/>
  <c r="L17" i="241"/>
  <c r="K17" i="241"/>
  <c r="J17" i="241"/>
  <c r="I17" i="241"/>
  <c r="H17" i="241"/>
  <c r="G17" i="241"/>
  <c r="F17" i="241"/>
  <c r="N16" i="241"/>
  <c r="M16" i="241"/>
  <c r="N15" i="241"/>
  <c r="M15" i="241"/>
  <c r="N14" i="241"/>
  <c r="M14" i="241"/>
  <c r="N13" i="241"/>
  <c r="M13" i="241"/>
  <c r="N12" i="241"/>
  <c r="M12" i="241"/>
  <c r="F28" i="239"/>
  <c r="E28" i="239"/>
  <c r="D28" i="239"/>
  <c r="N35" i="238"/>
  <c r="O34" i="238"/>
  <c r="N34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K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M197" i="236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N91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F28" i="234"/>
  <c r="E28" i="234"/>
  <c r="D28" i="234"/>
  <c r="M35" i="233"/>
  <c r="J35" i="233"/>
  <c r="N34" i="233"/>
  <c r="M34" i="233"/>
  <c r="J34" i="233"/>
  <c r="H34" i="233"/>
  <c r="F34" i="233"/>
  <c r="O82" i="232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I16" i="232"/>
  <c r="H16" i="232"/>
  <c r="G16" i="232"/>
  <c r="C204" i="231"/>
  <c r="G197" i="231"/>
  <c r="E197" i="231"/>
  <c r="M170" i="231"/>
  <c r="L170" i="231"/>
  <c r="K170" i="231"/>
  <c r="J170" i="231"/>
  <c r="I170" i="231"/>
  <c r="H170" i="231"/>
  <c r="G170" i="231"/>
  <c r="F170" i="231"/>
  <c r="E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E101" i="231"/>
  <c r="M96" i="231"/>
  <c r="L96" i="231"/>
  <c r="K96" i="231"/>
  <c r="J96" i="231"/>
  <c r="H96" i="231"/>
  <c r="G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E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32" i="228"/>
  <c r="E32" i="228"/>
  <c r="D32" i="228"/>
  <c r="L42" i="227"/>
  <c r="K42" i="227"/>
  <c r="I42" i="227"/>
  <c r="G42" i="227"/>
  <c r="N41" i="227"/>
  <c r="H41" i="227"/>
  <c r="F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C208" i="225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L110" i="225"/>
  <c r="K110" i="225"/>
  <c r="J110" i="225"/>
  <c r="I110" i="225"/>
  <c r="H110" i="225"/>
  <c r="G110" i="225"/>
  <c r="F110" i="225"/>
  <c r="E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N42" i="220"/>
  <c r="H42" i="220"/>
  <c r="F42" i="220"/>
  <c r="O83" i="219"/>
  <c r="L83" i="219"/>
  <c r="K83" i="219"/>
  <c r="I83" i="219"/>
  <c r="H83" i="219"/>
  <c r="G83" i="219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O21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L22" i="217"/>
  <c r="K22" i="217"/>
  <c r="I22" i="217"/>
  <c r="H22" i="217"/>
  <c r="G22" i="217"/>
  <c r="D22" i="217"/>
  <c r="F20" i="217"/>
  <c r="E20" i="217"/>
  <c r="D20" i="217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H131" i="224"/>
  <c r="G131" i="224"/>
  <c r="F131" i="224"/>
  <c r="E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L110" i="224"/>
  <c r="K110" i="224"/>
  <c r="J110" i="224"/>
  <c r="I110" i="224"/>
  <c r="H110" i="224"/>
  <c r="G110" i="224"/>
  <c r="F110" i="224"/>
  <c r="E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M34" i="224"/>
  <c r="L34" i="224"/>
  <c r="K34" i="224"/>
  <c r="J34" i="224"/>
  <c r="I34" i="224"/>
  <c r="H34" i="224"/>
  <c r="G34" i="224"/>
  <c r="F34" i="224"/>
  <c r="E34" i="224"/>
  <c r="M27" i="224"/>
  <c r="L27" i="224"/>
  <c r="K27" i="224"/>
  <c r="J27" i="224"/>
  <c r="I27" i="224"/>
  <c r="H27" i="224"/>
  <c r="G27" i="224"/>
  <c r="F27" i="224"/>
  <c r="E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O47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E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E18" i="213"/>
  <c r="L22" i="212"/>
  <c r="K22" i="212"/>
  <c r="I22" i="212"/>
  <c r="H22" i="212"/>
  <c r="G22" i="212"/>
  <c r="D22" i="212"/>
  <c r="F20" i="212"/>
  <c r="E20" i="212"/>
  <c r="D20" i="212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O30" i="209"/>
  <c r="N30" i="209"/>
  <c r="M30" i="209"/>
  <c r="L30" i="209"/>
  <c r="K30" i="209"/>
  <c r="J30" i="209"/>
  <c r="I30" i="209"/>
  <c r="H30" i="209"/>
  <c r="G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I127" i="208"/>
  <c r="H127" i="208"/>
  <c r="G127" i="208"/>
  <c r="F127" i="208"/>
  <c r="E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J105" i="208"/>
  <c r="I105" i="208"/>
  <c r="H105" i="208"/>
  <c r="G105" i="208"/>
  <c r="F105" i="208"/>
  <c r="E105" i="208"/>
  <c r="M99" i="208"/>
  <c r="L99" i="208"/>
  <c r="K99" i="208"/>
  <c r="J99" i="208"/>
  <c r="I99" i="208"/>
  <c r="H99" i="208"/>
  <c r="G99" i="208"/>
  <c r="E99" i="208"/>
  <c r="J94" i="208"/>
  <c r="H94" i="208"/>
  <c r="G94" i="208"/>
  <c r="E94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M62" i="208"/>
  <c r="L62" i="208"/>
  <c r="K62" i="208"/>
  <c r="J62" i="208"/>
  <c r="I62" i="208"/>
  <c r="H62" i="208"/>
  <c r="G62" i="208"/>
  <c r="F62" i="208"/>
  <c r="E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E18" i="20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M23" i="206"/>
  <c r="J23" i="206"/>
  <c r="I23" i="206"/>
  <c r="H23" i="206"/>
  <c r="G23" i="206"/>
  <c r="F23" i="206"/>
  <c r="E23" i="206"/>
  <c r="L21" i="206"/>
  <c r="M18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L34" i="203"/>
  <c r="K34" i="203"/>
  <c r="I34" i="203"/>
  <c r="G34" i="203"/>
  <c r="L33" i="203"/>
  <c r="K33" i="203"/>
  <c r="I33" i="203"/>
  <c r="G33" i="203"/>
  <c r="F33" i="203"/>
  <c r="E18" i="200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41" i="198"/>
  <c r="O29" i="198"/>
  <c r="N29" i="198"/>
  <c r="M29" i="198"/>
  <c r="L29" i="198"/>
  <c r="K29" i="198"/>
  <c r="J29" i="198"/>
  <c r="I29" i="198"/>
  <c r="H29" i="198"/>
  <c r="G29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E124" i="197"/>
  <c r="M116" i="197"/>
  <c r="L116" i="197"/>
  <c r="K116" i="197"/>
  <c r="J116" i="197"/>
  <c r="I116" i="197"/>
  <c r="H116" i="197"/>
  <c r="G116" i="197"/>
  <c r="F116" i="197"/>
  <c r="E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G62" i="197"/>
  <c r="F62" i="197"/>
  <c r="E62" i="197"/>
  <c r="M53" i="197"/>
  <c r="L53" i="197"/>
  <c r="K53" i="197"/>
  <c r="J53" i="197"/>
  <c r="I53" i="197"/>
  <c r="H53" i="197"/>
  <c r="G53" i="197"/>
  <c r="F53" i="197"/>
  <c r="E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E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E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L33" i="196"/>
  <c r="K33" i="196"/>
  <c r="I33" i="196"/>
  <c r="G33" i="196"/>
  <c r="M32" i="196"/>
  <c r="L32" i="196"/>
  <c r="K32" i="196"/>
  <c r="J32" i="196"/>
  <c r="I32" i="196"/>
  <c r="G32" i="196"/>
  <c r="O78" i="195"/>
  <c r="N78" i="195"/>
  <c r="M78" i="195"/>
  <c r="L78" i="195"/>
  <c r="K78" i="195"/>
  <c r="J78" i="195"/>
  <c r="I78" i="195"/>
  <c r="G78" i="195"/>
  <c r="O62" i="195"/>
  <c r="N62" i="195"/>
  <c r="M62" i="195"/>
  <c r="L62" i="195"/>
  <c r="K62" i="195"/>
  <c r="J62" i="195"/>
  <c r="I62" i="195"/>
  <c r="H62" i="195"/>
  <c r="G62" i="195"/>
  <c r="O58" i="195"/>
  <c r="N58" i="195"/>
  <c r="M58" i="195"/>
  <c r="L58" i="195"/>
  <c r="K58" i="195"/>
  <c r="J58" i="195"/>
  <c r="I58" i="195"/>
  <c r="H58" i="195"/>
  <c r="G58" i="195"/>
  <c r="O47" i="195"/>
  <c r="N47" i="195"/>
  <c r="M47" i="195"/>
  <c r="L47" i="195"/>
  <c r="K47" i="195"/>
  <c r="J47" i="195"/>
  <c r="I47" i="195"/>
  <c r="H47" i="195"/>
  <c r="G47" i="195"/>
  <c r="O43" i="195"/>
  <c r="N43" i="195"/>
  <c r="M43" i="195"/>
  <c r="L43" i="195"/>
  <c r="K43" i="195"/>
  <c r="J43" i="195"/>
  <c r="I43" i="195"/>
  <c r="H43" i="195"/>
  <c r="G43" i="195"/>
  <c r="O30" i="195"/>
  <c r="N30" i="195"/>
  <c r="M30" i="195"/>
  <c r="L30" i="195"/>
  <c r="K30" i="195"/>
  <c r="J30" i="195"/>
  <c r="I30" i="195"/>
  <c r="H30" i="195"/>
  <c r="G30" i="195"/>
  <c r="G25" i="195"/>
  <c r="O21" i="195"/>
  <c r="N21" i="195"/>
  <c r="M21" i="195"/>
  <c r="L21" i="195"/>
  <c r="K21" i="195"/>
  <c r="J21" i="195"/>
  <c r="I21" i="195"/>
  <c r="H21" i="195"/>
  <c r="G21" i="195"/>
  <c r="O16" i="195"/>
  <c r="N16" i="195"/>
  <c r="M16" i="195"/>
  <c r="L16" i="195"/>
  <c r="K16" i="195"/>
  <c r="J16" i="195"/>
  <c r="I16" i="195"/>
  <c r="H16" i="195"/>
  <c r="G16" i="195"/>
  <c r="M171" i="194"/>
  <c r="L171" i="194"/>
  <c r="K171" i="194"/>
  <c r="J171" i="194"/>
  <c r="I171" i="194"/>
  <c r="H171" i="194"/>
  <c r="G171" i="194"/>
  <c r="F171" i="194"/>
  <c r="E171" i="194"/>
  <c r="M162" i="194"/>
  <c r="L162" i="194"/>
  <c r="K162" i="194"/>
  <c r="J162" i="194"/>
  <c r="I162" i="194"/>
  <c r="H162" i="194"/>
  <c r="G162" i="194"/>
  <c r="F162" i="194"/>
  <c r="E162" i="194"/>
  <c r="M156" i="194"/>
  <c r="L156" i="194"/>
  <c r="K156" i="194"/>
  <c r="J156" i="194"/>
  <c r="I156" i="194"/>
  <c r="H156" i="194"/>
  <c r="G156" i="194"/>
  <c r="F156" i="194"/>
  <c r="E156" i="194"/>
  <c r="M151" i="194"/>
  <c r="L151" i="194"/>
  <c r="K151" i="194"/>
  <c r="J151" i="194"/>
  <c r="I151" i="194"/>
  <c r="H151" i="194"/>
  <c r="G151" i="194"/>
  <c r="F151" i="194"/>
  <c r="E151" i="194"/>
  <c r="M147" i="194"/>
  <c r="L147" i="194"/>
  <c r="K147" i="194"/>
  <c r="J147" i="194"/>
  <c r="I147" i="194"/>
  <c r="H147" i="194"/>
  <c r="G147" i="194"/>
  <c r="F147" i="194"/>
  <c r="E147" i="194"/>
  <c r="K141" i="194"/>
  <c r="J141" i="194"/>
  <c r="I141" i="194"/>
  <c r="H141" i="194"/>
  <c r="G141" i="194"/>
  <c r="F141" i="194"/>
  <c r="E141" i="194"/>
  <c r="M137" i="194"/>
  <c r="L137" i="194"/>
  <c r="K137" i="194"/>
  <c r="J137" i="194"/>
  <c r="I137" i="194"/>
  <c r="H137" i="194"/>
  <c r="G137" i="194"/>
  <c r="F137" i="194"/>
  <c r="E137" i="194"/>
  <c r="M133" i="194"/>
  <c r="L133" i="194"/>
  <c r="K133" i="194"/>
  <c r="J133" i="194"/>
  <c r="I133" i="194"/>
  <c r="H133" i="194"/>
  <c r="G133" i="194"/>
  <c r="F133" i="194"/>
  <c r="E133" i="194"/>
  <c r="M125" i="194"/>
  <c r="L125" i="194"/>
  <c r="K125" i="194"/>
  <c r="J125" i="194"/>
  <c r="I125" i="194"/>
  <c r="H125" i="194"/>
  <c r="G125" i="194"/>
  <c r="F125" i="194"/>
  <c r="E125" i="194"/>
  <c r="M116" i="194"/>
  <c r="L116" i="194"/>
  <c r="K116" i="194"/>
  <c r="J116" i="194"/>
  <c r="I116" i="194"/>
  <c r="H116" i="194"/>
  <c r="G116" i="194"/>
  <c r="F116" i="194"/>
  <c r="E116" i="194"/>
  <c r="M111" i="194"/>
  <c r="L111" i="194"/>
  <c r="K111" i="194"/>
  <c r="J111" i="194"/>
  <c r="I111" i="194"/>
  <c r="H111" i="194"/>
  <c r="G111" i="194"/>
  <c r="F111" i="194"/>
  <c r="E111" i="194"/>
  <c r="M107" i="194"/>
  <c r="L107" i="194"/>
  <c r="K107" i="194"/>
  <c r="J107" i="194"/>
  <c r="I107" i="194"/>
  <c r="H107" i="194"/>
  <c r="G107" i="194"/>
  <c r="F107" i="194"/>
  <c r="E107" i="194"/>
  <c r="M103" i="194"/>
  <c r="L103" i="194"/>
  <c r="K103" i="194"/>
  <c r="J103" i="194"/>
  <c r="I103" i="194"/>
  <c r="H103" i="194"/>
  <c r="G103" i="194"/>
  <c r="F103" i="194"/>
  <c r="E103" i="194"/>
  <c r="M97" i="194"/>
  <c r="L97" i="194"/>
  <c r="K97" i="194"/>
  <c r="J97" i="194"/>
  <c r="I97" i="194"/>
  <c r="H97" i="194"/>
  <c r="G97" i="194"/>
  <c r="E97" i="194"/>
  <c r="M93" i="194"/>
  <c r="L93" i="194"/>
  <c r="K93" i="194"/>
  <c r="J93" i="194"/>
  <c r="I93" i="194"/>
  <c r="H93" i="194"/>
  <c r="G93" i="194"/>
  <c r="E93" i="194"/>
  <c r="M84" i="194"/>
  <c r="L84" i="194"/>
  <c r="K84" i="194"/>
  <c r="J84" i="194"/>
  <c r="I84" i="194"/>
  <c r="H84" i="194"/>
  <c r="G84" i="194"/>
  <c r="F84" i="194"/>
  <c r="E84" i="194"/>
  <c r="M78" i="194"/>
  <c r="L78" i="194"/>
  <c r="K78" i="194"/>
  <c r="J78" i="194"/>
  <c r="I78" i="194"/>
  <c r="H78" i="194"/>
  <c r="G78" i="194"/>
  <c r="F78" i="194"/>
  <c r="E78" i="194"/>
  <c r="L73" i="194"/>
  <c r="K73" i="194"/>
  <c r="J73" i="194"/>
  <c r="I73" i="194"/>
  <c r="H73" i="194"/>
  <c r="G73" i="194"/>
  <c r="F73" i="194"/>
  <c r="E73" i="194"/>
  <c r="M62" i="194"/>
  <c r="L62" i="194"/>
  <c r="K62" i="194"/>
  <c r="J62" i="194"/>
  <c r="I62" i="194"/>
  <c r="H62" i="194"/>
  <c r="G62" i="194"/>
  <c r="F62" i="194"/>
  <c r="E62" i="194"/>
  <c r="M53" i="194"/>
  <c r="L53" i="194"/>
  <c r="K53" i="194"/>
  <c r="J53" i="194"/>
  <c r="I53" i="194"/>
  <c r="H53" i="194"/>
  <c r="G53" i="194"/>
  <c r="F53" i="194"/>
  <c r="E53" i="194"/>
  <c r="M47" i="194"/>
  <c r="L47" i="194"/>
  <c r="K47" i="194"/>
  <c r="J47" i="194"/>
  <c r="I47" i="194"/>
  <c r="H47" i="194"/>
  <c r="G47" i="194"/>
  <c r="F47" i="194"/>
  <c r="E47" i="194"/>
  <c r="M43" i="194"/>
  <c r="L43" i="194"/>
  <c r="K43" i="194"/>
  <c r="J43" i="194"/>
  <c r="I43" i="194"/>
  <c r="H43" i="194"/>
  <c r="G43" i="194"/>
  <c r="F43" i="194"/>
  <c r="E43" i="194"/>
  <c r="M38" i="194"/>
  <c r="L38" i="194"/>
  <c r="K38" i="194"/>
  <c r="J38" i="194"/>
  <c r="I38" i="194"/>
  <c r="H38" i="194"/>
  <c r="G38" i="194"/>
  <c r="F38" i="194"/>
  <c r="E38" i="194"/>
  <c r="M34" i="194"/>
  <c r="L34" i="194"/>
  <c r="K34" i="194"/>
  <c r="J34" i="194"/>
  <c r="I34" i="194"/>
  <c r="H34" i="194"/>
  <c r="G34" i="194"/>
  <c r="F34" i="194"/>
  <c r="E34" i="194"/>
  <c r="M28" i="194"/>
  <c r="L28" i="194"/>
  <c r="K28" i="194"/>
  <c r="J28" i="194"/>
  <c r="I28" i="194"/>
  <c r="H28" i="194"/>
  <c r="G28" i="194"/>
  <c r="F28" i="194"/>
  <c r="E28" i="194"/>
  <c r="J23" i="194"/>
  <c r="I23" i="194"/>
  <c r="H23" i="194"/>
  <c r="G23" i="194"/>
  <c r="F23" i="194"/>
  <c r="E23" i="194"/>
  <c r="L21" i="194"/>
  <c r="L18" i="194"/>
  <c r="K18" i="194"/>
  <c r="J18" i="194"/>
  <c r="I18" i="194"/>
  <c r="H18" i="194"/>
  <c r="G18" i="194"/>
  <c r="F18" i="194"/>
  <c r="E18" i="194"/>
  <c r="L34" i="193"/>
  <c r="K34" i="193"/>
  <c r="I34" i="193"/>
  <c r="G34" i="193"/>
  <c r="M33" i="193"/>
  <c r="L33" i="193"/>
  <c r="K33" i="193"/>
  <c r="J33" i="193"/>
  <c r="I33" i="193"/>
  <c r="G33" i="193"/>
  <c r="O78" i="192"/>
  <c r="N78" i="192"/>
  <c r="M78" i="192"/>
  <c r="L78" i="192"/>
  <c r="K78" i="192"/>
  <c r="J78" i="192"/>
  <c r="I78" i="192"/>
  <c r="G78" i="192"/>
  <c r="O62" i="192"/>
  <c r="N62" i="192"/>
  <c r="M62" i="192"/>
  <c r="L62" i="192"/>
  <c r="K62" i="192"/>
  <c r="J62" i="192"/>
  <c r="I62" i="192"/>
  <c r="H62" i="192"/>
  <c r="G62" i="192"/>
  <c r="O58" i="192"/>
  <c r="N58" i="192"/>
  <c r="M58" i="192"/>
  <c r="L58" i="192"/>
  <c r="K58" i="192"/>
  <c r="J58" i="192"/>
  <c r="I58" i="192"/>
  <c r="H58" i="192"/>
  <c r="G58" i="192"/>
  <c r="O47" i="192"/>
  <c r="N47" i="192"/>
  <c r="M47" i="192"/>
  <c r="L47" i="192"/>
  <c r="K47" i="192"/>
  <c r="J47" i="192"/>
  <c r="I47" i="192"/>
  <c r="H47" i="192"/>
  <c r="G47" i="192"/>
  <c r="O43" i="192"/>
  <c r="N43" i="192"/>
  <c r="M43" i="192"/>
  <c r="L43" i="192"/>
  <c r="K43" i="192"/>
  <c r="J43" i="192"/>
  <c r="I43" i="192"/>
  <c r="H43" i="192"/>
  <c r="G43" i="192"/>
  <c r="O30" i="192"/>
  <c r="N30" i="192"/>
  <c r="M30" i="192"/>
  <c r="L30" i="192"/>
  <c r="K30" i="192"/>
  <c r="J30" i="192"/>
  <c r="I30" i="192"/>
  <c r="H30" i="192"/>
  <c r="G30" i="192"/>
  <c r="G25" i="192"/>
  <c r="O21" i="192"/>
  <c r="N21" i="192"/>
  <c r="M21" i="192"/>
  <c r="L21" i="192"/>
  <c r="K21" i="192"/>
  <c r="J21" i="192"/>
  <c r="I21" i="192"/>
  <c r="H21" i="192"/>
  <c r="G21" i="192"/>
  <c r="O16" i="192"/>
  <c r="N16" i="192"/>
  <c r="M16" i="192"/>
  <c r="L16" i="192"/>
  <c r="K16" i="192"/>
  <c r="J16" i="192"/>
  <c r="I16" i="192"/>
  <c r="H16" i="192"/>
  <c r="G16" i="192"/>
  <c r="M170" i="191"/>
  <c r="L170" i="191"/>
  <c r="K170" i="191"/>
  <c r="J170" i="191"/>
  <c r="I170" i="191"/>
  <c r="H170" i="191"/>
  <c r="G170" i="191"/>
  <c r="F170" i="191"/>
  <c r="E170" i="191"/>
  <c r="M161" i="191"/>
  <c r="L161" i="191"/>
  <c r="K161" i="191"/>
  <c r="J161" i="191"/>
  <c r="I161" i="191"/>
  <c r="H161" i="191"/>
  <c r="G161" i="191"/>
  <c r="F161" i="191"/>
  <c r="E161" i="191"/>
  <c r="M155" i="191"/>
  <c r="L155" i="191"/>
  <c r="K155" i="191"/>
  <c r="J155" i="191"/>
  <c r="I155" i="191"/>
  <c r="H155" i="191"/>
  <c r="G155" i="191"/>
  <c r="F155" i="191"/>
  <c r="E155" i="191"/>
  <c r="M150" i="191"/>
  <c r="L150" i="191"/>
  <c r="K150" i="191"/>
  <c r="J150" i="191"/>
  <c r="I150" i="191"/>
  <c r="H150" i="191"/>
  <c r="G150" i="191"/>
  <c r="F150" i="191"/>
  <c r="E150" i="191"/>
  <c r="M146" i="191"/>
  <c r="L146" i="191"/>
  <c r="K146" i="191"/>
  <c r="J146" i="191"/>
  <c r="I146" i="191"/>
  <c r="H146" i="191"/>
  <c r="G146" i="191"/>
  <c r="F146" i="191"/>
  <c r="E146" i="191"/>
  <c r="K140" i="191"/>
  <c r="J140" i="191"/>
  <c r="I140" i="191"/>
  <c r="H140" i="191"/>
  <c r="G140" i="191"/>
  <c r="F140" i="191"/>
  <c r="E140" i="191"/>
  <c r="M136" i="191"/>
  <c r="L136" i="191"/>
  <c r="K136" i="191"/>
  <c r="J136" i="191"/>
  <c r="I136" i="191"/>
  <c r="H136" i="191"/>
  <c r="G136" i="191"/>
  <c r="F136" i="191"/>
  <c r="E136" i="191"/>
  <c r="M132" i="191"/>
  <c r="L132" i="191"/>
  <c r="K132" i="191"/>
  <c r="J132" i="191"/>
  <c r="I132" i="191"/>
  <c r="H132" i="191"/>
  <c r="G132" i="191"/>
  <c r="F132" i="191"/>
  <c r="E132" i="191"/>
  <c r="M124" i="191"/>
  <c r="L124" i="191"/>
  <c r="K124" i="191"/>
  <c r="J124" i="191"/>
  <c r="I124" i="191"/>
  <c r="H124" i="191"/>
  <c r="G124" i="191"/>
  <c r="F124" i="191"/>
  <c r="E124" i="191"/>
  <c r="M116" i="191"/>
  <c r="L116" i="191"/>
  <c r="K116" i="191"/>
  <c r="J116" i="191"/>
  <c r="I116" i="191"/>
  <c r="H116" i="191"/>
  <c r="G116" i="191"/>
  <c r="F116" i="191"/>
  <c r="E116" i="191"/>
  <c r="M111" i="191"/>
  <c r="L111" i="191"/>
  <c r="K111" i="191"/>
  <c r="J111" i="191"/>
  <c r="I111" i="191"/>
  <c r="H111" i="191"/>
  <c r="G111" i="191"/>
  <c r="F111" i="191"/>
  <c r="E111" i="191"/>
  <c r="M107" i="191"/>
  <c r="L107" i="191"/>
  <c r="K107" i="191"/>
  <c r="J107" i="191"/>
  <c r="I107" i="191"/>
  <c r="H107" i="191"/>
  <c r="G107" i="191"/>
  <c r="F107" i="191"/>
  <c r="E107" i="191"/>
  <c r="M103" i="191"/>
  <c r="L103" i="191"/>
  <c r="K103" i="191"/>
  <c r="J103" i="191"/>
  <c r="I103" i="191"/>
  <c r="H103" i="191"/>
  <c r="G103" i="191"/>
  <c r="F103" i="191"/>
  <c r="E103" i="191"/>
  <c r="M97" i="191"/>
  <c r="L97" i="191"/>
  <c r="K97" i="191"/>
  <c r="J97" i="191"/>
  <c r="I97" i="191"/>
  <c r="H97" i="191"/>
  <c r="G97" i="191"/>
  <c r="E97" i="191"/>
  <c r="M93" i="191"/>
  <c r="L93" i="191"/>
  <c r="K93" i="191"/>
  <c r="J93" i="191"/>
  <c r="I93" i="191"/>
  <c r="H93" i="191"/>
  <c r="G93" i="191"/>
  <c r="E93" i="191"/>
  <c r="M84" i="191"/>
  <c r="L84" i="191"/>
  <c r="K84" i="191"/>
  <c r="J84" i="191"/>
  <c r="I84" i="191"/>
  <c r="H84" i="191"/>
  <c r="G84" i="191"/>
  <c r="F84" i="191"/>
  <c r="E84" i="191"/>
  <c r="M78" i="191"/>
  <c r="L78" i="191"/>
  <c r="K78" i="191"/>
  <c r="J78" i="191"/>
  <c r="I78" i="191"/>
  <c r="H78" i="191"/>
  <c r="G78" i="191"/>
  <c r="F78" i="191"/>
  <c r="E78" i="191"/>
  <c r="M73" i="191"/>
  <c r="L73" i="191"/>
  <c r="K73" i="191"/>
  <c r="J73" i="191"/>
  <c r="I73" i="191"/>
  <c r="H73" i="191"/>
  <c r="G73" i="191"/>
  <c r="F73" i="191"/>
  <c r="E73" i="191"/>
  <c r="M62" i="191"/>
  <c r="L62" i="191"/>
  <c r="K62" i="191"/>
  <c r="J62" i="191"/>
  <c r="I62" i="191"/>
  <c r="H62" i="191"/>
  <c r="G62" i="191"/>
  <c r="F62" i="191"/>
  <c r="E62" i="191"/>
  <c r="M53" i="191"/>
  <c r="L53" i="191"/>
  <c r="K53" i="191"/>
  <c r="J53" i="191"/>
  <c r="I53" i="191"/>
  <c r="H53" i="191"/>
  <c r="G53" i="191"/>
  <c r="F53" i="191"/>
  <c r="E53" i="191"/>
  <c r="M47" i="191"/>
  <c r="L47" i="191"/>
  <c r="K47" i="191"/>
  <c r="J47" i="191"/>
  <c r="I47" i="191"/>
  <c r="H47" i="191"/>
  <c r="G47" i="191"/>
  <c r="F47" i="191"/>
  <c r="E47" i="191"/>
  <c r="M43" i="191"/>
  <c r="L43" i="191"/>
  <c r="K43" i="191"/>
  <c r="J43" i="191"/>
  <c r="I43" i="191"/>
  <c r="H43" i="191"/>
  <c r="G43" i="191"/>
  <c r="F43" i="191"/>
  <c r="E43" i="191"/>
  <c r="M38" i="191"/>
  <c r="L38" i="191"/>
  <c r="K38" i="191"/>
  <c r="J38" i="191"/>
  <c r="I38" i="191"/>
  <c r="H38" i="191"/>
  <c r="G38" i="191"/>
  <c r="F38" i="191"/>
  <c r="E38" i="191"/>
  <c r="M34" i="191"/>
  <c r="L34" i="191"/>
  <c r="K34" i="191"/>
  <c r="J34" i="191"/>
  <c r="I34" i="191"/>
  <c r="H34" i="191"/>
  <c r="G34" i="191"/>
  <c r="F34" i="191"/>
  <c r="E34" i="191"/>
  <c r="M28" i="191"/>
  <c r="L28" i="191"/>
  <c r="K28" i="191"/>
  <c r="J28" i="191"/>
  <c r="I28" i="191"/>
  <c r="H28" i="191"/>
  <c r="G28" i="191"/>
  <c r="F28" i="191"/>
  <c r="E28" i="191"/>
  <c r="J23" i="191"/>
  <c r="I23" i="191"/>
  <c r="H23" i="191"/>
  <c r="G23" i="191"/>
  <c r="F23" i="191"/>
  <c r="E23" i="191"/>
  <c r="L21" i="191"/>
  <c r="L18" i="191"/>
  <c r="K18" i="191"/>
  <c r="J18" i="191"/>
  <c r="I18" i="191"/>
  <c r="H18" i="191"/>
  <c r="G18" i="191"/>
  <c r="F18" i="191"/>
  <c r="E18" i="191"/>
  <c r="L34" i="190"/>
  <c r="K34" i="190"/>
  <c r="I34" i="190"/>
  <c r="G34" i="190"/>
  <c r="M33" i="190"/>
  <c r="L33" i="190"/>
  <c r="K33" i="190"/>
  <c r="J33" i="190"/>
  <c r="I33" i="190"/>
  <c r="G33" i="190"/>
  <c r="O78" i="189"/>
  <c r="N78" i="189"/>
  <c r="M78" i="189"/>
  <c r="L78" i="189"/>
  <c r="K78" i="189"/>
  <c r="J78" i="189"/>
  <c r="I78" i="189"/>
  <c r="G78" i="189"/>
  <c r="O62" i="189"/>
  <c r="N62" i="189"/>
  <c r="M62" i="189"/>
  <c r="L62" i="189"/>
  <c r="K62" i="189"/>
  <c r="J62" i="189"/>
  <c r="I62" i="189"/>
  <c r="H62" i="189"/>
  <c r="G62" i="189"/>
  <c r="O58" i="189"/>
  <c r="N58" i="189"/>
  <c r="M58" i="189"/>
  <c r="L58" i="189"/>
  <c r="K58" i="189"/>
  <c r="J58" i="189"/>
  <c r="I58" i="189"/>
  <c r="H58" i="189"/>
  <c r="G58" i="189"/>
  <c r="O47" i="189"/>
  <c r="N47" i="189"/>
  <c r="M47" i="189"/>
  <c r="L47" i="189"/>
  <c r="K47" i="189"/>
  <c r="J47" i="189"/>
  <c r="I47" i="189"/>
  <c r="H47" i="189"/>
  <c r="G47" i="189"/>
  <c r="O43" i="189"/>
  <c r="N43" i="189"/>
  <c r="M43" i="189"/>
  <c r="L43" i="189"/>
  <c r="K43" i="189"/>
  <c r="J43" i="189"/>
  <c r="I43" i="189"/>
  <c r="H43" i="189"/>
  <c r="G43" i="189"/>
  <c r="O30" i="189"/>
  <c r="N30" i="189"/>
  <c r="M30" i="189"/>
  <c r="L30" i="189"/>
  <c r="K30" i="189"/>
  <c r="J30" i="189"/>
  <c r="I30" i="189"/>
  <c r="H30" i="189"/>
  <c r="G30" i="189"/>
  <c r="G25" i="189"/>
  <c r="O21" i="189"/>
  <c r="N21" i="189"/>
  <c r="M21" i="189"/>
  <c r="L21" i="189"/>
  <c r="K21" i="189"/>
  <c r="J21" i="189"/>
  <c r="I21" i="189"/>
  <c r="H21" i="189"/>
  <c r="G21" i="189"/>
  <c r="O16" i="189"/>
  <c r="N16" i="189"/>
  <c r="M16" i="189"/>
  <c r="L16" i="189"/>
  <c r="K16" i="189"/>
  <c r="J16" i="189"/>
  <c r="I16" i="189"/>
  <c r="H16" i="189"/>
  <c r="G16" i="189"/>
  <c r="M169" i="188"/>
  <c r="L169" i="188"/>
  <c r="K169" i="188"/>
  <c r="J169" i="188"/>
  <c r="I169" i="188"/>
  <c r="H169" i="188"/>
  <c r="G169" i="188"/>
  <c r="F169" i="188"/>
  <c r="E169" i="188"/>
  <c r="M160" i="188"/>
  <c r="L160" i="188"/>
  <c r="K160" i="188"/>
  <c r="J160" i="188"/>
  <c r="I160" i="188"/>
  <c r="H160" i="188"/>
  <c r="G160" i="188"/>
  <c r="F160" i="188"/>
  <c r="E160" i="188"/>
  <c r="M154" i="188"/>
  <c r="L154" i="188"/>
  <c r="K154" i="188"/>
  <c r="J154" i="188"/>
  <c r="I154" i="188"/>
  <c r="H154" i="188"/>
  <c r="G154" i="188"/>
  <c r="F154" i="188"/>
  <c r="E154" i="188"/>
  <c r="M149" i="188"/>
  <c r="L149" i="188"/>
  <c r="K149" i="188"/>
  <c r="J149" i="188"/>
  <c r="I149" i="188"/>
  <c r="H149" i="188"/>
  <c r="G149" i="188"/>
  <c r="F149" i="188"/>
  <c r="E149" i="188"/>
  <c r="M145" i="188"/>
  <c r="L145" i="188"/>
  <c r="K145" i="188"/>
  <c r="J145" i="188"/>
  <c r="I145" i="188"/>
  <c r="H145" i="188"/>
  <c r="G145" i="188"/>
  <c r="F145" i="188"/>
  <c r="E145" i="188"/>
  <c r="K139" i="188"/>
  <c r="J139" i="188"/>
  <c r="I139" i="188"/>
  <c r="H139" i="188"/>
  <c r="G139" i="188"/>
  <c r="F139" i="188"/>
  <c r="E139" i="188"/>
  <c r="M135" i="188"/>
  <c r="L135" i="188"/>
  <c r="K135" i="188"/>
  <c r="J135" i="188"/>
  <c r="I135" i="188"/>
  <c r="H135" i="188"/>
  <c r="G135" i="188"/>
  <c r="F135" i="188"/>
  <c r="E135" i="188"/>
  <c r="M131" i="188"/>
  <c r="L131" i="188"/>
  <c r="K131" i="188"/>
  <c r="J131" i="188"/>
  <c r="I131" i="188"/>
  <c r="H131" i="188"/>
  <c r="G131" i="188"/>
  <c r="F131" i="188"/>
  <c r="E131" i="188"/>
  <c r="M123" i="188"/>
  <c r="L123" i="188"/>
  <c r="K123" i="188"/>
  <c r="J123" i="188"/>
  <c r="I123" i="188"/>
  <c r="H123" i="188"/>
  <c r="G123" i="188"/>
  <c r="F123" i="188"/>
  <c r="E123" i="188"/>
  <c r="M115" i="188"/>
  <c r="L115" i="188"/>
  <c r="K115" i="188"/>
  <c r="J115" i="188"/>
  <c r="I115" i="188"/>
  <c r="H115" i="188"/>
  <c r="G115" i="188"/>
  <c r="F115" i="188"/>
  <c r="E115" i="188"/>
  <c r="M110" i="188"/>
  <c r="L110" i="188"/>
  <c r="K110" i="188"/>
  <c r="J110" i="188"/>
  <c r="I110" i="188"/>
  <c r="H110" i="188"/>
  <c r="G110" i="188"/>
  <c r="F110" i="188"/>
  <c r="E110" i="188"/>
  <c r="M106" i="188"/>
  <c r="L106" i="188"/>
  <c r="K106" i="188"/>
  <c r="J106" i="188"/>
  <c r="I106" i="188"/>
  <c r="H106" i="188"/>
  <c r="G106" i="188"/>
  <c r="F106" i="188"/>
  <c r="E106" i="188"/>
  <c r="M102" i="188"/>
  <c r="L102" i="188"/>
  <c r="K102" i="188"/>
  <c r="J102" i="188"/>
  <c r="I102" i="188"/>
  <c r="H102" i="188"/>
  <c r="G102" i="188"/>
  <c r="F102" i="188"/>
  <c r="E102" i="188"/>
  <c r="M96" i="188"/>
  <c r="L96" i="188"/>
  <c r="K96" i="188"/>
  <c r="J96" i="188"/>
  <c r="I96" i="188"/>
  <c r="H96" i="188"/>
  <c r="G96" i="188"/>
  <c r="E96" i="188"/>
  <c r="M92" i="188"/>
  <c r="L92" i="188"/>
  <c r="K92" i="188"/>
  <c r="J92" i="188"/>
  <c r="I92" i="188"/>
  <c r="H92" i="188"/>
  <c r="G92" i="188"/>
  <c r="E92" i="188"/>
  <c r="M83" i="188"/>
  <c r="L83" i="188"/>
  <c r="K83" i="188"/>
  <c r="J83" i="188"/>
  <c r="I83" i="188"/>
  <c r="H83" i="188"/>
  <c r="G83" i="188"/>
  <c r="F83" i="188"/>
  <c r="E83" i="188"/>
  <c r="M78" i="188"/>
  <c r="L78" i="188"/>
  <c r="K78" i="188"/>
  <c r="J78" i="188"/>
  <c r="I78" i="188"/>
  <c r="H78" i="188"/>
  <c r="G78" i="188"/>
  <c r="F78" i="188"/>
  <c r="E78" i="188"/>
  <c r="M73" i="188"/>
  <c r="L73" i="188"/>
  <c r="K73" i="188"/>
  <c r="J73" i="188"/>
  <c r="I73" i="188"/>
  <c r="H73" i="188"/>
  <c r="G73" i="188"/>
  <c r="F73" i="188"/>
  <c r="E73" i="188"/>
  <c r="M62" i="188"/>
  <c r="L62" i="188"/>
  <c r="K62" i="188"/>
  <c r="J62" i="188"/>
  <c r="I62" i="188"/>
  <c r="H62" i="188"/>
  <c r="G62" i="188"/>
  <c r="F62" i="188"/>
  <c r="E62" i="188"/>
  <c r="M53" i="188"/>
  <c r="L53" i="188"/>
  <c r="K53" i="188"/>
  <c r="J53" i="188"/>
  <c r="I53" i="188"/>
  <c r="H53" i="188"/>
  <c r="G53" i="188"/>
  <c r="F53" i="188"/>
  <c r="E53" i="188"/>
  <c r="M47" i="188"/>
  <c r="L47" i="188"/>
  <c r="K47" i="188"/>
  <c r="J47" i="188"/>
  <c r="I47" i="188"/>
  <c r="H47" i="188"/>
  <c r="G47" i="188"/>
  <c r="F47" i="188"/>
  <c r="E47" i="188"/>
  <c r="M43" i="188"/>
  <c r="L43" i="188"/>
  <c r="K43" i="188"/>
  <c r="J43" i="188"/>
  <c r="I43" i="188"/>
  <c r="H43" i="188"/>
  <c r="G43" i="188"/>
  <c r="F43" i="188"/>
  <c r="E43" i="188"/>
  <c r="M38" i="188"/>
  <c r="L38" i="188"/>
  <c r="K38" i="188"/>
  <c r="J38" i="188"/>
  <c r="I38" i="188"/>
  <c r="H38" i="188"/>
  <c r="G38" i="188"/>
  <c r="F38" i="188"/>
  <c r="E38" i="188"/>
  <c r="M34" i="188"/>
  <c r="L34" i="188"/>
  <c r="K34" i="188"/>
  <c r="J34" i="188"/>
  <c r="I34" i="188"/>
  <c r="H34" i="188"/>
  <c r="G34" i="188"/>
  <c r="F34" i="188"/>
  <c r="E34" i="188"/>
  <c r="M28" i="188"/>
  <c r="L28" i="188"/>
  <c r="K28" i="188"/>
  <c r="J28" i="188"/>
  <c r="I28" i="188"/>
  <c r="H28" i="188"/>
  <c r="G28" i="188"/>
  <c r="F28" i="188"/>
  <c r="E28" i="188"/>
  <c r="J23" i="188"/>
  <c r="I23" i="188"/>
  <c r="H23" i="188"/>
  <c r="G23" i="188"/>
  <c r="F23" i="188"/>
  <c r="E23" i="188"/>
  <c r="L21" i="188"/>
  <c r="L18" i="188"/>
  <c r="K18" i="188"/>
  <c r="J18" i="188"/>
  <c r="I18" i="188"/>
  <c r="H18" i="188"/>
  <c r="G18" i="188"/>
  <c r="F18" i="188"/>
  <c r="E18" i="188"/>
  <c r="L34" i="187"/>
  <c r="K34" i="187"/>
  <c r="I34" i="187"/>
  <c r="G34" i="187"/>
  <c r="M33" i="187"/>
  <c r="L33" i="187"/>
  <c r="K33" i="187"/>
  <c r="J33" i="187"/>
  <c r="I33" i="187"/>
  <c r="G33" i="187"/>
  <c r="O77" i="186"/>
  <c r="N77" i="186"/>
  <c r="M77" i="186"/>
  <c r="L77" i="186"/>
  <c r="K77" i="186"/>
  <c r="J77" i="186"/>
  <c r="I77" i="186"/>
  <c r="G77" i="186"/>
  <c r="O61" i="186"/>
  <c r="N61" i="186"/>
  <c r="M61" i="186"/>
  <c r="L61" i="186"/>
  <c r="K61" i="186"/>
  <c r="J61" i="186"/>
  <c r="I61" i="186"/>
  <c r="H61" i="186"/>
  <c r="G61" i="186"/>
  <c r="O57" i="186"/>
  <c r="N57" i="186"/>
  <c r="M57" i="186"/>
  <c r="L57" i="186"/>
  <c r="K57" i="186"/>
  <c r="J57" i="186"/>
  <c r="I57" i="186"/>
  <c r="H57" i="186"/>
  <c r="G57" i="186"/>
  <c r="O46" i="186"/>
  <c r="N46" i="186"/>
  <c r="M46" i="186"/>
  <c r="L46" i="186"/>
  <c r="K46" i="186"/>
  <c r="J46" i="186"/>
  <c r="I46" i="186"/>
  <c r="H46" i="186"/>
  <c r="G46" i="186"/>
  <c r="O42" i="186"/>
  <c r="N42" i="186"/>
  <c r="M42" i="186"/>
  <c r="L42" i="186"/>
  <c r="K42" i="186"/>
  <c r="J42" i="186"/>
  <c r="I42" i="186"/>
  <c r="H42" i="186"/>
  <c r="G42" i="186"/>
  <c r="O29" i="186"/>
  <c r="N29" i="186"/>
  <c r="M29" i="186"/>
  <c r="L29" i="186"/>
  <c r="K29" i="186"/>
  <c r="J29" i="186"/>
  <c r="I29" i="186"/>
  <c r="H29" i="186"/>
  <c r="G29" i="186"/>
  <c r="G25" i="186"/>
  <c r="O21" i="186"/>
  <c r="N21" i="186"/>
  <c r="M21" i="186"/>
  <c r="L21" i="186"/>
  <c r="K21" i="186"/>
  <c r="J21" i="186"/>
  <c r="I21" i="186"/>
  <c r="H21" i="186"/>
  <c r="G21" i="186"/>
  <c r="O16" i="186"/>
  <c r="N16" i="186"/>
  <c r="M16" i="186"/>
  <c r="L16" i="186"/>
  <c r="K16" i="186"/>
  <c r="J16" i="186"/>
  <c r="I16" i="186"/>
  <c r="H16" i="186"/>
  <c r="G16" i="186"/>
  <c r="H193" i="185"/>
  <c r="M170" i="185"/>
  <c r="L170" i="185"/>
  <c r="K170" i="185"/>
  <c r="J170" i="185"/>
  <c r="I170" i="185"/>
  <c r="H170" i="185"/>
  <c r="G170" i="185"/>
  <c r="F170" i="185"/>
  <c r="E170" i="185"/>
  <c r="M161" i="185"/>
  <c r="L161" i="185"/>
  <c r="K161" i="185"/>
  <c r="J161" i="185"/>
  <c r="I161" i="185"/>
  <c r="H161" i="185"/>
  <c r="G161" i="185"/>
  <c r="F161" i="185"/>
  <c r="E161" i="185"/>
  <c r="M155" i="185"/>
  <c r="L155" i="185"/>
  <c r="K155" i="185"/>
  <c r="J155" i="185"/>
  <c r="I155" i="185"/>
  <c r="H155" i="185"/>
  <c r="G155" i="185"/>
  <c r="F155" i="185"/>
  <c r="E155" i="185"/>
  <c r="M150" i="185"/>
  <c r="L150" i="185"/>
  <c r="K150" i="185"/>
  <c r="J150" i="185"/>
  <c r="I150" i="185"/>
  <c r="H150" i="185"/>
  <c r="G150" i="185"/>
  <c r="F150" i="185"/>
  <c r="E150" i="185"/>
  <c r="M146" i="185"/>
  <c r="L146" i="185"/>
  <c r="K146" i="185"/>
  <c r="J146" i="185"/>
  <c r="I146" i="185"/>
  <c r="H146" i="185"/>
  <c r="G146" i="185"/>
  <c r="F146" i="185"/>
  <c r="E146" i="185"/>
  <c r="K140" i="185"/>
  <c r="J140" i="185"/>
  <c r="I140" i="185"/>
  <c r="H140" i="185"/>
  <c r="G140" i="185"/>
  <c r="F140" i="185"/>
  <c r="E140" i="185"/>
  <c r="M136" i="185"/>
  <c r="L136" i="185"/>
  <c r="K136" i="185"/>
  <c r="J136" i="185"/>
  <c r="I136" i="185"/>
  <c r="H136" i="185"/>
  <c r="G136" i="185"/>
  <c r="F136" i="185"/>
  <c r="E136" i="185"/>
  <c r="M132" i="185"/>
  <c r="L132" i="185"/>
  <c r="K132" i="185"/>
  <c r="J132" i="185"/>
  <c r="I132" i="185"/>
  <c r="H132" i="185"/>
  <c r="G132" i="185"/>
  <c r="F132" i="185"/>
  <c r="E132" i="185"/>
  <c r="M124" i="185"/>
  <c r="L124" i="185"/>
  <c r="K124" i="185"/>
  <c r="J124" i="185"/>
  <c r="I124" i="185"/>
  <c r="H124" i="185"/>
  <c r="G124" i="185"/>
  <c r="F124" i="185"/>
  <c r="E124" i="185"/>
  <c r="M116" i="185"/>
  <c r="L116" i="185"/>
  <c r="K116" i="185"/>
  <c r="J116" i="185"/>
  <c r="I116" i="185"/>
  <c r="H116" i="185"/>
  <c r="G116" i="185"/>
  <c r="F116" i="185"/>
  <c r="E116" i="185"/>
  <c r="M111" i="185"/>
  <c r="L111" i="185"/>
  <c r="K111" i="185"/>
  <c r="J111" i="185"/>
  <c r="I111" i="185"/>
  <c r="H111" i="185"/>
  <c r="G111" i="185"/>
  <c r="F111" i="185"/>
  <c r="E111" i="185"/>
  <c r="M107" i="185"/>
  <c r="L107" i="185"/>
  <c r="K107" i="185"/>
  <c r="J107" i="185"/>
  <c r="I107" i="185"/>
  <c r="H107" i="185"/>
  <c r="G107" i="185"/>
  <c r="F107" i="185"/>
  <c r="E107" i="185"/>
  <c r="M103" i="185"/>
  <c r="L103" i="185"/>
  <c r="K103" i="185"/>
  <c r="J103" i="185"/>
  <c r="I103" i="185"/>
  <c r="H103" i="185"/>
  <c r="G103" i="185"/>
  <c r="F103" i="185"/>
  <c r="E103" i="185"/>
  <c r="M97" i="185"/>
  <c r="L97" i="185"/>
  <c r="K97" i="185"/>
  <c r="J97" i="185"/>
  <c r="I97" i="185"/>
  <c r="H97" i="185"/>
  <c r="G97" i="185"/>
  <c r="E97" i="185"/>
  <c r="M93" i="185"/>
  <c r="L93" i="185"/>
  <c r="K93" i="185"/>
  <c r="J93" i="185"/>
  <c r="I93" i="185"/>
  <c r="H93" i="185"/>
  <c r="G93" i="185"/>
  <c r="E93" i="185"/>
  <c r="M84" i="185"/>
  <c r="L84" i="185"/>
  <c r="K84" i="185"/>
  <c r="J84" i="185"/>
  <c r="I84" i="185"/>
  <c r="H84" i="185"/>
  <c r="G84" i="185"/>
  <c r="F84" i="185"/>
  <c r="E84" i="185"/>
  <c r="M79" i="185"/>
  <c r="L79" i="185"/>
  <c r="K79" i="185"/>
  <c r="J79" i="185"/>
  <c r="I79" i="185"/>
  <c r="H79" i="185"/>
  <c r="G79" i="185"/>
  <c r="F79" i="185"/>
  <c r="E79" i="185"/>
  <c r="M74" i="185"/>
  <c r="L74" i="185"/>
  <c r="K74" i="185"/>
  <c r="J74" i="185"/>
  <c r="I74" i="185"/>
  <c r="H74" i="185"/>
  <c r="G74" i="185"/>
  <c r="F74" i="185"/>
  <c r="E74" i="185"/>
  <c r="M63" i="185"/>
  <c r="L63" i="185"/>
  <c r="K63" i="185"/>
  <c r="J63" i="185"/>
  <c r="I63" i="185"/>
  <c r="H63" i="185"/>
  <c r="G63" i="185"/>
  <c r="F63" i="185"/>
  <c r="E63" i="185"/>
  <c r="M54" i="185"/>
  <c r="L54" i="185"/>
  <c r="K54" i="185"/>
  <c r="J54" i="185"/>
  <c r="I54" i="185"/>
  <c r="H54" i="185"/>
  <c r="G54" i="185"/>
  <c r="F54" i="185"/>
  <c r="E54" i="185"/>
  <c r="M48" i="185"/>
  <c r="L48" i="185"/>
  <c r="K48" i="185"/>
  <c r="J48" i="185"/>
  <c r="I48" i="185"/>
  <c r="H48" i="185"/>
  <c r="G48" i="185"/>
  <c r="F48" i="185"/>
  <c r="E48" i="185"/>
  <c r="M44" i="185"/>
  <c r="L44" i="185"/>
  <c r="K44" i="185"/>
  <c r="J44" i="185"/>
  <c r="I44" i="185"/>
  <c r="H44" i="185"/>
  <c r="G44" i="185"/>
  <c r="F44" i="185"/>
  <c r="E44" i="185"/>
  <c r="M39" i="185"/>
  <c r="L39" i="185"/>
  <c r="K39" i="185"/>
  <c r="J39" i="185"/>
  <c r="I39" i="185"/>
  <c r="H39" i="185"/>
  <c r="G39" i="185"/>
  <c r="F39" i="185"/>
  <c r="E39" i="185"/>
  <c r="M35" i="185"/>
  <c r="L35" i="185"/>
  <c r="K35" i="185"/>
  <c r="J35" i="185"/>
  <c r="I35" i="185"/>
  <c r="H35" i="185"/>
  <c r="G35" i="185"/>
  <c r="F35" i="185"/>
  <c r="E35" i="185"/>
  <c r="M29" i="185"/>
  <c r="L29" i="185"/>
  <c r="K29" i="185"/>
  <c r="J29" i="185"/>
  <c r="I29" i="185"/>
  <c r="H29" i="185"/>
  <c r="G29" i="185"/>
  <c r="F29" i="185"/>
  <c r="E29" i="185"/>
  <c r="J24" i="185"/>
  <c r="I24" i="185"/>
  <c r="H24" i="185"/>
  <c r="G24" i="185"/>
  <c r="F24" i="185"/>
  <c r="E24" i="185"/>
  <c r="L22" i="185"/>
  <c r="L19" i="185"/>
  <c r="K19" i="185"/>
  <c r="J19" i="185"/>
  <c r="I19" i="185"/>
  <c r="H19" i="185"/>
  <c r="G19" i="185"/>
  <c r="F19" i="185"/>
  <c r="E19" i="185"/>
  <c r="L34" i="184"/>
  <c r="K34" i="184"/>
  <c r="I34" i="184"/>
  <c r="G34" i="184"/>
  <c r="M33" i="184"/>
  <c r="L33" i="184"/>
  <c r="K33" i="184"/>
  <c r="J33" i="184"/>
  <c r="I33" i="184"/>
  <c r="G33" i="184"/>
  <c r="O80" i="183"/>
  <c r="N80" i="183"/>
  <c r="M80" i="183"/>
  <c r="L80" i="183"/>
  <c r="K80" i="183"/>
  <c r="J80" i="183"/>
  <c r="I80" i="183"/>
  <c r="G80" i="183"/>
  <c r="O64" i="183"/>
  <c r="N64" i="183"/>
  <c r="M64" i="183"/>
  <c r="L64" i="183"/>
  <c r="K64" i="183"/>
  <c r="J64" i="183"/>
  <c r="I64" i="183"/>
  <c r="H64" i="183"/>
  <c r="G64" i="183"/>
  <c r="O60" i="183"/>
  <c r="N60" i="183"/>
  <c r="M60" i="183"/>
  <c r="L60" i="183"/>
  <c r="K60" i="183"/>
  <c r="J60" i="183"/>
  <c r="I60" i="183"/>
  <c r="H60" i="183"/>
  <c r="G60" i="183"/>
  <c r="O50" i="183"/>
  <c r="N50" i="183"/>
  <c r="M50" i="183"/>
  <c r="L50" i="183"/>
  <c r="K50" i="183"/>
  <c r="J50" i="183"/>
  <c r="I50" i="183"/>
  <c r="H50" i="183"/>
  <c r="G50" i="183"/>
  <c r="O46" i="183"/>
  <c r="N46" i="183"/>
  <c r="M46" i="183"/>
  <c r="L46" i="183"/>
  <c r="K46" i="183"/>
  <c r="J46" i="183"/>
  <c r="I46" i="183"/>
  <c r="H46" i="183"/>
  <c r="G46" i="183"/>
  <c r="O42" i="183"/>
  <c r="N42" i="183"/>
  <c r="M42" i="183"/>
  <c r="L42" i="183"/>
  <c r="K42" i="183"/>
  <c r="J42" i="183"/>
  <c r="I42" i="183"/>
  <c r="H42" i="183"/>
  <c r="G42" i="183"/>
  <c r="O29" i="183"/>
  <c r="N29" i="183"/>
  <c r="M29" i="183"/>
  <c r="L29" i="183"/>
  <c r="K29" i="183"/>
  <c r="J29" i="183"/>
  <c r="I29" i="183"/>
  <c r="H29" i="183"/>
  <c r="G29" i="183"/>
  <c r="G25" i="183"/>
  <c r="O21" i="183"/>
  <c r="N21" i="183"/>
  <c r="M21" i="183"/>
  <c r="L21" i="183"/>
  <c r="K21" i="183"/>
  <c r="J21" i="183"/>
  <c r="I21" i="183"/>
  <c r="H21" i="183"/>
  <c r="G21" i="183"/>
  <c r="O16" i="183"/>
  <c r="N16" i="183"/>
  <c r="M16" i="183"/>
  <c r="L16" i="183"/>
  <c r="K16" i="183"/>
  <c r="J16" i="183"/>
  <c r="I16" i="183"/>
  <c r="H16" i="183"/>
  <c r="G16" i="183"/>
  <c r="H193" i="182"/>
  <c r="M170" i="182"/>
  <c r="L170" i="182"/>
  <c r="K170" i="182"/>
  <c r="J170" i="182"/>
  <c r="I170" i="182"/>
  <c r="H170" i="182"/>
  <c r="G170" i="182"/>
  <c r="F170" i="182"/>
  <c r="E170" i="182"/>
  <c r="M161" i="182"/>
  <c r="L161" i="182"/>
  <c r="K161" i="182"/>
  <c r="J161" i="182"/>
  <c r="I161" i="182"/>
  <c r="H161" i="182"/>
  <c r="G161" i="182"/>
  <c r="F161" i="182"/>
  <c r="E161" i="182"/>
  <c r="M155" i="182"/>
  <c r="L155" i="182"/>
  <c r="K155" i="182"/>
  <c r="J155" i="182"/>
  <c r="I155" i="182"/>
  <c r="H155" i="182"/>
  <c r="G155" i="182"/>
  <c r="F155" i="182"/>
  <c r="E155" i="182"/>
  <c r="M150" i="182"/>
  <c r="L150" i="182"/>
  <c r="K150" i="182"/>
  <c r="J150" i="182"/>
  <c r="I150" i="182"/>
  <c r="H150" i="182"/>
  <c r="G150" i="182"/>
  <c r="F150" i="182"/>
  <c r="E150" i="182"/>
  <c r="M146" i="182"/>
  <c r="L146" i="182"/>
  <c r="K146" i="182"/>
  <c r="J146" i="182"/>
  <c r="I146" i="182"/>
  <c r="H146" i="182"/>
  <c r="G146" i="182"/>
  <c r="F146" i="182"/>
  <c r="E146" i="182"/>
  <c r="K140" i="182"/>
  <c r="J140" i="182"/>
  <c r="I140" i="182"/>
  <c r="H140" i="182"/>
  <c r="G140" i="182"/>
  <c r="F140" i="182"/>
  <c r="E140" i="182"/>
  <c r="M136" i="182"/>
  <c r="L136" i="182"/>
  <c r="K136" i="182"/>
  <c r="J136" i="182"/>
  <c r="I136" i="182"/>
  <c r="H136" i="182"/>
  <c r="G136" i="182"/>
  <c r="F136" i="182"/>
  <c r="E136" i="182"/>
  <c r="M132" i="182"/>
  <c r="L132" i="182"/>
  <c r="K132" i="182"/>
  <c r="J132" i="182"/>
  <c r="I132" i="182"/>
  <c r="H132" i="182"/>
  <c r="G132" i="182"/>
  <c r="F132" i="182"/>
  <c r="E132" i="182"/>
  <c r="M124" i="182"/>
  <c r="L124" i="182"/>
  <c r="K124" i="182"/>
  <c r="J124" i="182"/>
  <c r="I124" i="182"/>
  <c r="H124" i="182"/>
  <c r="G124" i="182"/>
  <c r="F124" i="182"/>
  <c r="E124" i="182"/>
  <c r="M116" i="182"/>
  <c r="L116" i="182"/>
  <c r="K116" i="182"/>
  <c r="J116" i="182"/>
  <c r="I116" i="182"/>
  <c r="H116" i="182"/>
  <c r="G116" i="182"/>
  <c r="F116" i="182"/>
  <c r="E116" i="182"/>
  <c r="M111" i="182"/>
  <c r="L111" i="182"/>
  <c r="K111" i="182"/>
  <c r="J111" i="182"/>
  <c r="I111" i="182"/>
  <c r="H111" i="182"/>
  <c r="G111" i="182"/>
  <c r="F111" i="182"/>
  <c r="E111" i="182"/>
  <c r="M107" i="182"/>
  <c r="L107" i="182"/>
  <c r="K107" i="182"/>
  <c r="J107" i="182"/>
  <c r="I107" i="182"/>
  <c r="H107" i="182"/>
  <c r="G107" i="182"/>
  <c r="F107" i="182"/>
  <c r="E107" i="182"/>
  <c r="M103" i="182"/>
  <c r="L103" i="182"/>
  <c r="K103" i="182"/>
  <c r="J103" i="182"/>
  <c r="I103" i="182"/>
  <c r="H103" i="182"/>
  <c r="G103" i="182"/>
  <c r="F103" i="182"/>
  <c r="E103" i="182"/>
  <c r="M97" i="182"/>
  <c r="L97" i="182"/>
  <c r="K97" i="182"/>
  <c r="J97" i="182"/>
  <c r="I97" i="182"/>
  <c r="H97" i="182"/>
  <c r="G97" i="182"/>
  <c r="E97" i="182"/>
  <c r="M93" i="182"/>
  <c r="L93" i="182"/>
  <c r="K93" i="182"/>
  <c r="J93" i="182"/>
  <c r="I93" i="182"/>
  <c r="H93" i="182"/>
  <c r="G93" i="182"/>
  <c r="E93" i="182"/>
  <c r="M84" i="182"/>
  <c r="L84" i="182"/>
  <c r="K84" i="182"/>
  <c r="J84" i="182"/>
  <c r="I84" i="182"/>
  <c r="H84" i="182"/>
  <c r="G84" i="182"/>
  <c r="F84" i="182"/>
  <c r="E84" i="182"/>
  <c r="M79" i="182"/>
  <c r="L79" i="182"/>
  <c r="K79" i="182"/>
  <c r="J79" i="182"/>
  <c r="I79" i="182"/>
  <c r="H79" i="182"/>
  <c r="G79" i="182"/>
  <c r="F79" i="182"/>
  <c r="E79" i="182"/>
  <c r="M74" i="182"/>
  <c r="L74" i="182"/>
  <c r="K74" i="182"/>
  <c r="J74" i="182"/>
  <c r="I74" i="182"/>
  <c r="H74" i="182"/>
  <c r="G74" i="182"/>
  <c r="F74" i="182"/>
  <c r="E74" i="182"/>
  <c r="M63" i="182"/>
  <c r="L63" i="182"/>
  <c r="K63" i="182"/>
  <c r="J63" i="182"/>
  <c r="I63" i="182"/>
  <c r="H63" i="182"/>
  <c r="G63" i="182"/>
  <c r="F63" i="182"/>
  <c r="E63" i="182"/>
  <c r="M54" i="182"/>
  <c r="L54" i="182"/>
  <c r="K54" i="182"/>
  <c r="J54" i="182"/>
  <c r="I54" i="182"/>
  <c r="H54" i="182"/>
  <c r="G54" i="182"/>
  <c r="F54" i="182"/>
  <c r="E54" i="182"/>
  <c r="M48" i="182"/>
  <c r="L48" i="182"/>
  <c r="K48" i="182"/>
  <c r="J48" i="182"/>
  <c r="I48" i="182"/>
  <c r="H48" i="182"/>
  <c r="G48" i="182"/>
  <c r="F48" i="182"/>
  <c r="E48" i="182"/>
  <c r="M44" i="182"/>
  <c r="L44" i="182"/>
  <c r="K44" i="182"/>
  <c r="J44" i="182"/>
  <c r="I44" i="182"/>
  <c r="H44" i="182"/>
  <c r="G44" i="182"/>
  <c r="F44" i="182"/>
  <c r="E44" i="182"/>
  <c r="M39" i="182"/>
  <c r="L39" i="182"/>
  <c r="K39" i="182"/>
  <c r="J39" i="182"/>
  <c r="I39" i="182"/>
  <c r="H39" i="182"/>
  <c r="G39" i="182"/>
  <c r="F39" i="182"/>
  <c r="E39" i="182"/>
  <c r="M35" i="182"/>
  <c r="L35" i="182"/>
  <c r="K35" i="182"/>
  <c r="J35" i="182"/>
  <c r="I35" i="182"/>
  <c r="H35" i="182"/>
  <c r="G35" i="182"/>
  <c r="F35" i="182"/>
  <c r="E35" i="182"/>
  <c r="M29" i="182"/>
  <c r="L29" i="182"/>
  <c r="K29" i="182"/>
  <c r="J29" i="182"/>
  <c r="I29" i="182"/>
  <c r="H29" i="182"/>
  <c r="G29" i="182"/>
  <c r="F29" i="182"/>
  <c r="E29" i="182"/>
  <c r="J24" i="182"/>
  <c r="I24" i="182"/>
  <c r="H24" i="182"/>
  <c r="G24" i="182"/>
  <c r="F24" i="182"/>
  <c r="E24" i="182"/>
  <c r="L22" i="182"/>
  <c r="M19" i="182"/>
  <c r="L19" i="182"/>
  <c r="K19" i="182"/>
  <c r="J19" i="182"/>
  <c r="I19" i="182"/>
  <c r="H19" i="182"/>
  <c r="G19" i="182"/>
  <c r="F19" i="182"/>
  <c r="E19" i="182"/>
  <c r="L34" i="181"/>
  <c r="K34" i="181"/>
  <c r="I34" i="181"/>
  <c r="G34" i="181"/>
  <c r="M33" i="181"/>
  <c r="L33" i="181"/>
  <c r="K33" i="181"/>
  <c r="J33" i="181"/>
  <c r="I33" i="181"/>
  <c r="G33" i="181"/>
  <c r="O80" i="179"/>
  <c r="N80" i="179"/>
  <c r="M80" i="179"/>
  <c r="L80" i="179"/>
  <c r="K80" i="179"/>
  <c r="J80" i="179"/>
  <c r="I80" i="179"/>
  <c r="G80" i="179"/>
  <c r="O64" i="179"/>
  <c r="N64" i="179"/>
  <c r="M64" i="179"/>
  <c r="L64" i="179"/>
  <c r="K64" i="179"/>
  <c r="J64" i="179"/>
  <c r="I64" i="179"/>
  <c r="H64" i="179"/>
  <c r="G64" i="179"/>
  <c r="O60" i="179"/>
  <c r="N60" i="179"/>
  <c r="M60" i="179"/>
  <c r="L60" i="179"/>
  <c r="K60" i="179"/>
  <c r="J60" i="179"/>
  <c r="I60" i="179"/>
  <c r="H60" i="179"/>
  <c r="G60" i="179"/>
  <c r="O50" i="179"/>
  <c r="N50" i="179"/>
  <c r="M50" i="179"/>
  <c r="L50" i="179"/>
  <c r="K50" i="179"/>
  <c r="J50" i="179"/>
  <c r="I50" i="179"/>
  <c r="H50" i="179"/>
  <c r="G50" i="179"/>
  <c r="O46" i="179"/>
  <c r="N46" i="179"/>
  <c r="M46" i="179"/>
  <c r="L46" i="179"/>
  <c r="K46" i="179"/>
  <c r="J46" i="179"/>
  <c r="I46" i="179"/>
  <c r="H46" i="179"/>
  <c r="G46" i="179"/>
  <c r="O42" i="179"/>
  <c r="N42" i="179"/>
  <c r="M42" i="179"/>
  <c r="L42" i="179"/>
  <c r="K42" i="179"/>
  <c r="J42" i="179"/>
  <c r="I42" i="179"/>
  <c r="H42" i="179"/>
  <c r="G42" i="179"/>
  <c r="O29" i="179"/>
  <c r="N29" i="179"/>
  <c r="M29" i="179"/>
  <c r="L29" i="179"/>
  <c r="K29" i="179"/>
  <c r="J29" i="179"/>
  <c r="I29" i="179"/>
  <c r="H29" i="179"/>
  <c r="G29" i="179"/>
  <c r="G25" i="179"/>
  <c r="O21" i="179"/>
  <c r="N21" i="179"/>
  <c r="M21" i="179"/>
  <c r="L21" i="179"/>
  <c r="K21" i="179"/>
  <c r="J21" i="179"/>
  <c r="I21" i="179"/>
  <c r="H21" i="179"/>
  <c r="G21" i="179"/>
  <c r="O16" i="179"/>
  <c r="N16" i="179"/>
  <c r="M16" i="179"/>
  <c r="L16" i="179"/>
  <c r="K16" i="179"/>
  <c r="J16" i="179"/>
  <c r="I16" i="179"/>
  <c r="H16" i="179"/>
  <c r="G16" i="179"/>
  <c r="H195" i="178"/>
  <c r="M172" i="178"/>
  <c r="L172" i="178"/>
  <c r="K172" i="178"/>
  <c r="J172" i="178"/>
  <c r="I172" i="178"/>
  <c r="H172" i="178"/>
  <c r="G172" i="178"/>
  <c r="F172" i="178"/>
  <c r="E172" i="178"/>
  <c r="M163" i="178"/>
  <c r="L163" i="178"/>
  <c r="K163" i="178"/>
  <c r="J163" i="178"/>
  <c r="I163" i="178"/>
  <c r="H163" i="178"/>
  <c r="G163" i="178"/>
  <c r="F163" i="178"/>
  <c r="E163" i="178"/>
  <c r="M156" i="178"/>
  <c r="L156" i="178"/>
  <c r="K156" i="178"/>
  <c r="J156" i="178"/>
  <c r="I156" i="178"/>
  <c r="H156" i="178"/>
  <c r="G156" i="178"/>
  <c r="F156" i="178"/>
  <c r="E156" i="178"/>
  <c r="M151" i="178"/>
  <c r="L151" i="178"/>
  <c r="K151" i="178"/>
  <c r="J151" i="178"/>
  <c r="I151" i="178"/>
  <c r="H151" i="178"/>
  <c r="G151" i="178"/>
  <c r="F151" i="178"/>
  <c r="E151" i="178"/>
  <c r="M147" i="178"/>
  <c r="L147" i="178"/>
  <c r="K147" i="178"/>
  <c r="J147" i="178"/>
  <c r="I147" i="178"/>
  <c r="H147" i="178"/>
  <c r="G147" i="178"/>
  <c r="F147" i="178"/>
  <c r="E147" i="178"/>
  <c r="K141" i="178"/>
  <c r="J141" i="178"/>
  <c r="I141" i="178"/>
  <c r="H141" i="178"/>
  <c r="G141" i="178"/>
  <c r="F141" i="178"/>
  <c r="E141" i="178"/>
  <c r="M137" i="178"/>
  <c r="L137" i="178"/>
  <c r="K137" i="178"/>
  <c r="J137" i="178"/>
  <c r="I137" i="178"/>
  <c r="H137" i="178"/>
  <c r="G137" i="178"/>
  <c r="F137" i="178"/>
  <c r="E137" i="178"/>
  <c r="M133" i="178"/>
  <c r="L133" i="178"/>
  <c r="K133" i="178"/>
  <c r="J133" i="178"/>
  <c r="I133" i="178"/>
  <c r="H133" i="178"/>
  <c r="G133" i="178"/>
  <c r="F133" i="178"/>
  <c r="E133" i="178"/>
  <c r="M125" i="178"/>
  <c r="L125" i="178"/>
  <c r="K125" i="178"/>
  <c r="J125" i="178"/>
  <c r="I125" i="178"/>
  <c r="H125" i="178"/>
  <c r="G125" i="178"/>
  <c r="F125" i="178"/>
  <c r="E125" i="178"/>
  <c r="M117" i="178"/>
  <c r="L117" i="178"/>
  <c r="K117" i="178"/>
  <c r="J117" i="178"/>
  <c r="I117" i="178"/>
  <c r="H117" i="178"/>
  <c r="G117" i="178"/>
  <c r="F117" i="178"/>
  <c r="E117" i="178"/>
  <c r="M112" i="178"/>
  <c r="L112" i="178"/>
  <c r="K112" i="178"/>
  <c r="J112" i="178"/>
  <c r="I112" i="178"/>
  <c r="H112" i="178"/>
  <c r="G112" i="178"/>
  <c r="F112" i="178"/>
  <c r="E112" i="178"/>
  <c r="M108" i="178"/>
  <c r="L108" i="178"/>
  <c r="K108" i="178"/>
  <c r="J108" i="178"/>
  <c r="I108" i="178"/>
  <c r="H108" i="178"/>
  <c r="G108" i="178"/>
  <c r="F108" i="178"/>
  <c r="E108" i="178"/>
  <c r="M104" i="178"/>
  <c r="L104" i="178"/>
  <c r="K104" i="178"/>
  <c r="J104" i="178"/>
  <c r="I104" i="178"/>
  <c r="H104" i="178"/>
  <c r="G104" i="178"/>
  <c r="F104" i="178"/>
  <c r="E104" i="178"/>
  <c r="M98" i="178"/>
  <c r="L98" i="178"/>
  <c r="K98" i="178"/>
  <c r="J98" i="178"/>
  <c r="I98" i="178"/>
  <c r="H98" i="178"/>
  <c r="G98" i="178"/>
  <c r="E98" i="178"/>
  <c r="M94" i="178"/>
  <c r="L94" i="178"/>
  <c r="K94" i="178"/>
  <c r="J94" i="178"/>
  <c r="I94" i="178"/>
  <c r="H94" i="178"/>
  <c r="G94" i="178"/>
  <c r="E94" i="178"/>
  <c r="M85" i="178"/>
  <c r="L85" i="178"/>
  <c r="K85" i="178"/>
  <c r="J85" i="178"/>
  <c r="I85" i="178"/>
  <c r="H85" i="178"/>
  <c r="G85" i="178"/>
  <c r="F85" i="178"/>
  <c r="E85" i="178"/>
  <c r="M80" i="178"/>
  <c r="L80" i="178"/>
  <c r="K80" i="178"/>
  <c r="J80" i="178"/>
  <c r="I80" i="178"/>
  <c r="H80" i="178"/>
  <c r="G80" i="178"/>
  <c r="F80" i="178"/>
  <c r="E80" i="178"/>
  <c r="M75" i="178"/>
  <c r="L75" i="178"/>
  <c r="K75" i="178"/>
  <c r="J75" i="178"/>
  <c r="I75" i="178"/>
  <c r="H75" i="178"/>
  <c r="G75" i="178"/>
  <c r="F75" i="178"/>
  <c r="E75" i="178"/>
  <c r="M63" i="178"/>
  <c r="L63" i="178"/>
  <c r="K63" i="178"/>
  <c r="J63" i="178"/>
  <c r="I63" i="178"/>
  <c r="H63" i="178"/>
  <c r="G63" i="178"/>
  <c r="F63" i="178"/>
  <c r="E63" i="178"/>
  <c r="M54" i="178"/>
  <c r="L54" i="178"/>
  <c r="K54" i="178"/>
  <c r="J54" i="178"/>
  <c r="I54" i="178"/>
  <c r="H54" i="178"/>
  <c r="G54" i="178"/>
  <c r="F54" i="178"/>
  <c r="E54" i="178"/>
  <c r="M48" i="178"/>
  <c r="L48" i="178"/>
  <c r="K48" i="178"/>
  <c r="J48" i="178"/>
  <c r="I48" i="178"/>
  <c r="H48" i="178"/>
  <c r="G48" i="178"/>
  <c r="F48" i="178"/>
  <c r="E48" i="178"/>
  <c r="M44" i="178"/>
  <c r="L44" i="178"/>
  <c r="K44" i="178"/>
  <c r="J44" i="178"/>
  <c r="I44" i="178"/>
  <c r="H44" i="178"/>
  <c r="G44" i="178"/>
  <c r="F44" i="178"/>
  <c r="E44" i="178"/>
  <c r="M39" i="178"/>
  <c r="L39" i="178"/>
  <c r="K39" i="178"/>
  <c r="J39" i="178"/>
  <c r="I39" i="178"/>
  <c r="H39" i="178"/>
  <c r="G39" i="178"/>
  <c r="F39" i="178"/>
  <c r="E39" i="178"/>
  <c r="M35" i="178"/>
  <c r="L35" i="178"/>
  <c r="K35" i="178"/>
  <c r="J35" i="178"/>
  <c r="I35" i="178"/>
  <c r="H35" i="178"/>
  <c r="G35" i="178"/>
  <c r="F35" i="178"/>
  <c r="E35" i="178"/>
  <c r="M29" i="178"/>
  <c r="L29" i="178"/>
  <c r="K29" i="178"/>
  <c r="J29" i="178"/>
  <c r="I29" i="178"/>
  <c r="H29" i="178"/>
  <c r="G29" i="178"/>
  <c r="F29" i="178"/>
  <c r="E29" i="178"/>
  <c r="M24" i="178"/>
  <c r="L24" i="178"/>
  <c r="K24" i="178"/>
  <c r="J24" i="178"/>
  <c r="I24" i="178"/>
  <c r="H24" i="178"/>
  <c r="G24" i="178"/>
  <c r="F24" i="178"/>
  <c r="E24" i="178"/>
  <c r="L22" i="178"/>
  <c r="M19" i="178"/>
  <c r="L19" i="178"/>
  <c r="K19" i="178"/>
  <c r="J19" i="178"/>
  <c r="I19" i="178"/>
  <c r="H19" i="178"/>
  <c r="G19" i="178"/>
  <c r="F19" i="178"/>
  <c r="E19" i="178"/>
  <c r="M39" i="177"/>
  <c r="L39" i="177"/>
  <c r="K39" i="177"/>
  <c r="J39" i="177"/>
  <c r="I39" i="177"/>
  <c r="G39" i="177"/>
  <c r="O80" i="175"/>
  <c r="N80" i="175"/>
  <c r="M80" i="175"/>
  <c r="L80" i="175"/>
  <c r="K80" i="175"/>
  <c r="J80" i="175"/>
  <c r="I80" i="175"/>
  <c r="G80" i="175"/>
  <c r="O64" i="175"/>
  <c r="N64" i="175"/>
  <c r="M64" i="175"/>
  <c r="L64" i="175"/>
  <c r="K64" i="175"/>
  <c r="J64" i="175"/>
  <c r="I64" i="175"/>
  <c r="H64" i="175"/>
  <c r="G64" i="175"/>
  <c r="O60" i="175"/>
  <c r="N60" i="175"/>
  <c r="M60" i="175"/>
  <c r="L60" i="175"/>
  <c r="K60" i="175"/>
  <c r="J60" i="175"/>
  <c r="I60" i="175"/>
  <c r="H60" i="175"/>
  <c r="G60" i="175"/>
  <c r="O50" i="175"/>
  <c r="N50" i="175"/>
  <c r="M50" i="175"/>
  <c r="L50" i="175"/>
  <c r="K50" i="175"/>
  <c r="J50" i="175"/>
  <c r="I50" i="175"/>
  <c r="H50" i="175"/>
  <c r="G50" i="175"/>
  <c r="O46" i="175"/>
  <c r="N46" i="175"/>
  <c r="M46" i="175"/>
  <c r="L46" i="175"/>
  <c r="K46" i="175"/>
  <c r="J46" i="175"/>
  <c r="I46" i="175"/>
  <c r="H46" i="175"/>
  <c r="G46" i="175"/>
  <c r="O42" i="175"/>
  <c r="N42" i="175"/>
  <c r="M42" i="175"/>
  <c r="L42" i="175"/>
  <c r="K42" i="175"/>
  <c r="J42" i="175"/>
  <c r="I42" i="175"/>
  <c r="H42" i="175"/>
  <c r="G42" i="175"/>
  <c r="O29" i="175"/>
  <c r="N29" i="175"/>
  <c r="M29" i="175"/>
  <c r="L29" i="175"/>
  <c r="K29" i="175"/>
  <c r="J29" i="175"/>
  <c r="I29" i="175"/>
  <c r="H29" i="175"/>
  <c r="G29" i="175"/>
  <c r="G25" i="175"/>
  <c r="O21" i="175"/>
  <c r="N21" i="175"/>
  <c r="M21" i="175"/>
  <c r="L21" i="175"/>
  <c r="K21" i="175"/>
  <c r="J21" i="175"/>
  <c r="I21" i="175"/>
  <c r="H21" i="175"/>
  <c r="G21" i="175"/>
  <c r="O16" i="175"/>
  <c r="N16" i="175"/>
  <c r="M16" i="175"/>
  <c r="L16" i="175"/>
  <c r="K16" i="175"/>
  <c r="J16" i="175"/>
  <c r="I16" i="175"/>
  <c r="H16" i="175"/>
  <c r="G16" i="175"/>
  <c r="H192" i="174"/>
  <c r="M169" i="174"/>
  <c r="L169" i="174"/>
  <c r="K169" i="174"/>
  <c r="J169" i="174"/>
  <c r="I169" i="174"/>
  <c r="H169" i="174"/>
  <c r="G169" i="174"/>
  <c r="F169" i="174"/>
  <c r="E169" i="174"/>
  <c r="M160" i="174"/>
  <c r="L160" i="174"/>
  <c r="K160" i="174"/>
  <c r="J160" i="174"/>
  <c r="I160" i="174"/>
  <c r="H160" i="174"/>
  <c r="G160" i="174"/>
  <c r="F160" i="174"/>
  <c r="E160" i="174"/>
  <c r="M153" i="174"/>
  <c r="L153" i="174"/>
  <c r="K153" i="174"/>
  <c r="J153" i="174"/>
  <c r="I153" i="174"/>
  <c r="H153" i="174"/>
  <c r="G153" i="174"/>
  <c r="F153" i="174"/>
  <c r="E153" i="174"/>
  <c r="M148" i="174"/>
  <c r="L148" i="174"/>
  <c r="K148" i="174"/>
  <c r="J148" i="174"/>
  <c r="I148" i="174"/>
  <c r="H148" i="174"/>
  <c r="G148" i="174"/>
  <c r="F148" i="174"/>
  <c r="E148" i="174"/>
  <c r="M144" i="174"/>
  <c r="L144" i="174"/>
  <c r="K144" i="174"/>
  <c r="J144" i="174"/>
  <c r="I144" i="174"/>
  <c r="H144" i="174"/>
  <c r="G144" i="174"/>
  <c r="F144" i="174"/>
  <c r="E144" i="174"/>
  <c r="K138" i="174"/>
  <c r="J138" i="174"/>
  <c r="I138" i="174"/>
  <c r="H138" i="174"/>
  <c r="G138" i="174"/>
  <c r="F138" i="174"/>
  <c r="E138" i="174"/>
  <c r="M134" i="174"/>
  <c r="L134" i="174"/>
  <c r="K134" i="174"/>
  <c r="J134" i="174"/>
  <c r="I134" i="174"/>
  <c r="H134" i="174"/>
  <c r="G134" i="174"/>
  <c r="F134" i="174"/>
  <c r="E134" i="174"/>
  <c r="M130" i="174"/>
  <c r="L130" i="174"/>
  <c r="K130" i="174"/>
  <c r="J130" i="174"/>
  <c r="I130" i="174"/>
  <c r="H130" i="174"/>
  <c r="G130" i="174"/>
  <c r="F130" i="174"/>
  <c r="E130" i="174"/>
  <c r="M122" i="174"/>
  <c r="L122" i="174"/>
  <c r="K122" i="174"/>
  <c r="J122" i="174"/>
  <c r="I122" i="174"/>
  <c r="H122" i="174"/>
  <c r="G122" i="174"/>
  <c r="F122" i="174"/>
  <c r="E122" i="174"/>
  <c r="M114" i="174"/>
  <c r="L114" i="174"/>
  <c r="K114" i="174"/>
  <c r="J114" i="174"/>
  <c r="I114" i="174"/>
  <c r="H114" i="174"/>
  <c r="G114" i="174"/>
  <c r="F114" i="174"/>
  <c r="E114" i="174"/>
  <c r="M109" i="174"/>
  <c r="L109" i="174"/>
  <c r="K109" i="174"/>
  <c r="J109" i="174"/>
  <c r="I109" i="174"/>
  <c r="H109" i="174"/>
  <c r="G109" i="174"/>
  <c r="F109" i="174"/>
  <c r="E109" i="174"/>
  <c r="M105" i="174"/>
  <c r="L105" i="174"/>
  <c r="K105" i="174"/>
  <c r="J105" i="174"/>
  <c r="I105" i="174"/>
  <c r="H105" i="174"/>
  <c r="G105" i="174"/>
  <c r="F105" i="174"/>
  <c r="E105" i="174"/>
  <c r="M98" i="174"/>
  <c r="L98" i="174"/>
  <c r="K98" i="174"/>
  <c r="J98" i="174"/>
  <c r="I98" i="174"/>
  <c r="H98" i="174"/>
  <c r="G98" i="174"/>
  <c r="E98" i="174"/>
  <c r="M94" i="174"/>
  <c r="L94" i="174"/>
  <c r="K94" i="174"/>
  <c r="J94" i="174"/>
  <c r="I94" i="174"/>
  <c r="H94" i="174"/>
  <c r="G94" i="174"/>
  <c r="E94" i="174"/>
  <c r="M85" i="174"/>
  <c r="L85" i="174"/>
  <c r="K85" i="174"/>
  <c r="J85" i="174"/>
  <c r="I85" i="174"/>
  <c r="H85" i="174"/>
  <c r="G85" i="174"/>
  <c r="F85" i="174"/>
  <c r="E85" i="174"/>
  <c r="M81" i="174"/>
  <c r="L81" i="174"/>
  <c r="K81" i="174"/>
  <c r="J81" i="174"/>
  <c r="I81" i="174"/>
  <c r="H81" i="174"/>
  <c r="G81" i="174"/>
  <c r="F81" i="174"/>
  <c r="E81" i="174"/>
  <c r="J75" i="174"/>
  <c r="H75" i="174"/>
  <c r="G75" i="174"/>
  <c r="E75" i="174"/>
  <c r="M63" i="174"/>
  <c r="L63" i="174"/>
  <c r="K63" i="174"/>
  <c r="J63" i="174"/>
  <c r="I63" i="174"/>
  <c r="H63" i="174"/>
  <c r="G63" i="174"/>
  <c r="F63" i="174"/>
  <c r="E63" i="174"/>
  <c r="M54" i="174"/>
  <c r="L54" i="174"/>
  <c r="K54" i="174"/>
  <c r="J54" i="174"/>
  <c r="I54" i="174"/>
  <c r="H54" i="174"/>
  <c r="G54" i="174"/>
  <c r="F54" i="174"/>
  <c r="E54" i="174"/>
  <c r="M48" i="174"/>
  <c r="L48" i="174"/>
  <c r="K48" i="174"/>
  <c r="J48" i="174"/>
  <c r="I48" i="174"/>
  <c r="H48" i="174"/>
  <c r="G48" i="174"/>
  <c r="F48" i="174"/>
  <c r="E48" i="174"/>
  <c r="M44" i="174"/>
  <c r="L44" i="174"/>
  <c r="K44" i="174"/>
  <c r="J44" i="174"/>
  <c r="I44" i="174"/>
  <c r="H44" i="174"/>
  <c r="G44" i="174"/>
  <c r="F44" i="174"/>
  <c r="E44" i="174"/>
  <c r="M39" i="174"/>
  <c r="L39" i="174"/>
  <c r="K39" i="174"/>
  <c r="J39" i="174"/>
  <c r="I39" i="174"/>
  <c r="H39" i="174"/>
  <c r="G39" i="174"/>
  <c r="F39" i="174"/>
  <c r="E39" i="174"/>
  <c r="M35" i="174"/>
  <c r="L35" i="174"/>
  <c r="K35" i="174"/>
  <c r="J35" i="174"/>
  <c r="I35" i="174"/>
  <c r="H35" i="174"/>
  <c r="G35" i="174"/>
  <c r="F35" i="174"/>
  <c r="E35" i="174"/>
  <c r="M29" i="174"/>
  <c r="L29" i="174"/>
  <c r="K29" i="174"/>
  <c r="J29" i="174"/>
  <c r="I29" i="174"/>
  <c r="H29" i="174"/>
  <c r="G29" i="174"/>
  <c r="F29" i="174"/>
  <c r="E29" i="174"/>
  <c r="M24" i="174"/>
  <c r="L24" i="174"/>
  <c r="K24" i="174"/>
  <c r="J24" i="174"/>
  <c r="I24" i="174"/>
  <c r="H24" i="174"/>
  <c r="G24" i="174"/>
  <c r="F24" i="174"/>
  <c r="E24" i="174"/>
  <c r="L22" i="174"/>
  <c r="M19" i="174"/>
  <c r="L19" i="174"/>
  <c r="K19" i="174"/>
  <c r="J19" i="174"/>
  <c r="I19" i="174"/>
  <c r="H19" i="174"/>
  <c r="G19" i="174"/>
  <c r="F19" i="174"/>
  <c r="E19" i="174"/>
  <c r="L192" i="173"/>
  <c r="K192" i="173"/>
  <c r="J192" i="173"/>
  <c r="I192" i="173"/>
  <c r="H192" i="173"/>
  <c r="G192" i="173"/>
  <c r="F192" i="173"/>
  <c r="D192" i="173"/>
  <c r="L169" i="173"/>
  <c r="K169" i="173"/>
  <c r="J169" i="173"/>
  <c r="I169" i="173"/>
  <c r="H169" i="173"/>
  <c r="G169" i="173"/>
  <c r="F169" i="173"/>
  <c r="E169" i="173"/>
  <c r="D169" i="173"/>
  <c r="L160" i="173"/>
  <c r="K160" i="173"/>
  <c r="J160" i="173"/>
  <c r="I160" i="173"/>
  <c r="H160" i="173"/>
  <c r="G160" i="173"/>
  <c r="F160" i="173"/>
  <c r="E160" i="173"/>
  <c r="D160" i="173"/>
  <c r="L153" i="173"/>
  <c r="K153" i="173"/>
  <c r="J153" i="173"/>
  <c r="I153" i="173"/>
  <c r="H153" i="173"/>
  <c r="G153" i="173"/>
  <c r="F153" i="173"/>
  <c r="E153" i="173"/>
  <c r="D153" i="173"/>
  <c r="L148" i="173"/>
  <c r="K148" i="173"/>
  <c r="J148" i="173"/>
  <c r="I148" i="173"/>
  <c r="H148" i="173"/>
  <c r="G148" i="173"/>
  <c r="F148" i="173"/>
  <c r="E148" i="173"/>
  <c r="D148" i="173"/>
  <c r="L144" i="173"/>
  <c r="K144" i="173"/>
  <c r="J144" i="173"/>
  <c r="I144" i="173"/>
  <c r="H144" i="173"/>
  <c r="G144" i="173"/>
  <c r="F144" i="173"/>
  <c r="E144" i="173"/>
  <c r="D144" i="173"/>
  <c r="J138" i="173"/>
  <c r="I138" i="173"/>
  <c r="H138" i="173"/>
  <c r="G138" i="173"/>
  <c r="F138" i="173"/>
  <c r="E138" i="173"/>
  <c r="D138" i="173"/>
  <c r="L134" i="173"/>
  <c r="K134" i="173"/>
  <c r="J134" i="173"/>
  <c r="I134" i="173"/>
  <c r="H134" i="173"/>
  <c r="G134" i="173"/>
  <c r="F134" i="173"/>
  <c r="E134" i="173"/>
  <c r="D134" i="173"/>
  <c r="L130" i="173"/>
  <c r="K130" i="173"/>
  <c r="J130" i="173"/>
  <c r="I130" i="173"/>
  <c r="H130" i="173"/>
  <c r="G130" i="173"/>
  <c r="F130" i="173"/>
  <c r="E130" i="173"/>
  <c r="D130" i="173"/>
  <c r="L122" i="173"/>
  <c r="K122" i="173"/>
  <c r="J122" i="173"/>
  <c r="I122" i="173"/>
  <c r="H122" i="173"/>
  <c r="G122" i="173"/>
  <c r="F122" i="173"/>
  <c r="E122" i="173"/>
  <c r="D122" i="173"/>
  <c r="L114" i="173"/>
  <c r="K114" i="173"/>
  <c r="J114" i="173"/>
  <c r="I114" i="173"/>
  <c r="H114" i="173"/>
  <c r="G114" i="173"/>
  <c r="F114" i="173"/>
  <c r="E114" i="173"/>
  <c r="D114" i="173"/>
  <c r="L109" i="173"/>
  <c r="K109" i="173"/>
  <c r="J109" i="173"/>
  <c r="I109" i="173"/>
  <c r="H109" i="173"/>
  <c r="G109" i="173"/>
  <c r="F109" i="173"/>
  <c r="E109" i="173"/>
  <c r="D109" i="173"/>
  <c r="L105" i="173"/>
  <c r="K105" i="173"/>
  <c r="J105" i="173"/>
  <c r="I105" i="173"/>
  <c r="H105" i="173"/>
  <c r="G105" i="173"/>
  <c r="F105" i="173"/>
  <c r="E105" i="173"/>
  <c r="D105" i="173"/>
  <c r="L98" i="173"/>
  <c r="K98" i="173"/>
  <c r="J98" i="173"/>
  <c r="I98" i="173"/>
  <c r="H98" i="173"/>
  <c r="G98" i="173"/>
  <c r="F98" i="173"/>
  <c r="D98" i="173"/>
  <c r="L94" i="173"/>
  <c r="K94" i="173"/>
  <c r="J94" i="173"/>
  <c r="I94" i="173"/>
  <c r="H94" i="173"/>
  <c r="G94" i="173"/>
  <c r="F94" i="173"/>
  <c r="D94" i="173"/>
  <c r="L85" i="173"/>
  <c r="K85" i="173"/>
  <c r="J85" i="173"/>
  <c r="I85" i="173"/>
  <c r="H85" i="173"/>
  <c r="G85" i="173"/>
  <c r="F85" i="173"/>
  <c r="E85" i="173"/>
  <c r="D85" i="173"/>
  <c r="L81" i="173"/>
  <c r="K81" i="173"/>
  <c r="J81" i="173"/>
  <c r="I81" i="173"/>
  <c r="H81" i="173"/>
  <c r="G81" i="173"/>
  <c r="F81" i="173"/>
  <c r="E81" i="173"/>
  <c r="D81" i="173"/>
  <c r="L75" i="173"/>
  <c r="K75" i="173"/>
  <c r="J75" i="173"/>
  <c r="I75" i="173"/>
  <c r="G75" i="173"/>
  <c r="F75" i="173"/>
  <c r="D75" i="173"/>
  <c r="L63" i="173"/>
  <c r="K63" i="173"/>
  <c r="J63" i="173"/>
  <c r="I63" i="173"/>
  <c r="H63" i="173"/>
  <c r="G63" i="173"/>
  <c r="F63" i="173"/>
  <c r="E63" i="173"/>
  <c r="D63" i="173"/>
  <c r="L54" i="173"/>
  <c r="K54" i="173"/>
  <c r="J54" i="173"/>
  <c r="I54" i="173"/>
  <c r="H54" i="173"/>
  <c r="G54" i="173"/>
  <c r="F54" i="173"/>
  <c r="E54" i="173"/>
  <c r="D54" i="173"/>
  <c r="L48" i="173"/>
  <c r="K48" i="173"/>
  <c r="J48" i="173"/>
  <c r="I48" i="173"/>
  <c r="H48" i="173"/>
  <c r="G48" i="173"/>
  <c r="F48" i="173"/>
  <c r="E48" i="173"/>
  <c r="D48" i="173"/>
  <c r="L44" i="173"/>
  <c r="K44" i="173"/>
  <c r="J44" i="173"/>
  <c r="I44" i="173"/>
  <c r="H44" i="173"/>
  <c r="G44" i="173"/>
  <c r="F44" i="173"/>
  <c r="E44" i="173"/>
  <c r="D44" i="173"/>
  <c r="L39" i="173"/>
  <c r="K39" i="173"/>
  <c r="J39" i="173"/>
  <c r="I39" i="173"/>
  <c r="H39" i="173"/>
  <c r="G39" i="173"/>
  <c r="F39" i="173"/>
  <c r="E39" i="173"/>
  <c r="D39" i="173"/>
  <c r="L35" i="173"/>
  <c r="K35" i="173"/>
  <c r="J35" i="173"/>
  <c r="I35" i="173"/>
  <c r="H35" i="173"/>
  <c r="G35" i="173"/>
  <c r="F35" i="173"/>
  <c r="E35" i="173"/>
  <c r="D35" i="173"/>
  <c r="L29" i="173"/>
  <c r="K29" i="173"/>
  <c r="J29" i="173"/>
  <c r="I29" i="173"/>
  <c r="H29" i="173"/>
  <c r="G29" i="173"/>
  <c r="F29" i="173"/>
  <c r="E29" i="173"/>
  <c r="D29" i="173"/>
  <c r="L24" i="173"/>
  <c r="K24" i="173"/>
  <c r="J24" i="173"/>
  <c r="I24" i="173"/>
  <c r="H24" i="173"/>
  <c r="G24" i="173"/>
  <c r="F24" i="173"/>
  <c r="E24" i="173"/>
  <c r="D24" i="173"/>
  <c r="L19" i="173"/>
  <c r="K19" i="173"/>
  <c r="J19" i="173"/>
  <c r="I19" i="173"/>
  <c r="H19" i="173"/>
  <c r="G19" i="173"/>
  <c r="F19" i="173"/>
  <c r="E19" i="173"/>
  <c r="D19" i="173"/>
  <c r="M39" i="172"/>
  <c r="L39" i="172"/>
  <c r="K39" i="172"/>
  <c r="J39" i="172"/>
  <c r="I39" i="172"/>
  <c r="G39" i="172"/>
  <c r="M80" i="171"/>
  <c r="L80" i="171"/>
  <c r="K80" i="171"/>
  <c r="J80" i="171"/>
  <c r="I80" i="171"/>
  <c r="H80" i="171"/>
  <c r="G80" i="171"/>
  <c r="F80" i="171"/>
  <c r="E80" i="171"/>
  <c r="M64" i="171"/>
  <c r="L64" i="171"/>
  <c r="K64" i="171"/>
  <c r="J64" i="171"/>
  <c r="I64" i="171"/>
  <c r="H64" i="171"/>
  <c r="G64" i="171"/>
  <c r="F64" i="171"/>
  <c r="E64" i="171"/>
  <c r="M60" i="171"/>
  <c r="L60" i="171"/>
  <c r="K60" i="171"/>
  <c r="J60" i="171"/>
  <c r="I60" i="171"/>
  <c r="H60" i="171"/>
  <c r="G60" i="171"/>
  <c r="F60" i="171"/>
  <c r="E60" i="171"/>
  <c r="M50" i="171"/>
  <c r="L50" i="171"/>
  <c r="K50" i="171"/>
  <c r="J50" i="171"/>
  <c r="I50" i="171"/>
  <c r="H50" i="171"/>
  <c r="G50" i="171"/>
  <c r="F50" i="171"/>
  <c r="E50" i="171"/>
  <c r="M46" i="171"/>
  <c r="L46" i="171"/>
  <c r="K46" i="171"/>
  <c r="J46" i="171"/>
  <c r="I46" i="171"/>
  <c r="H46" i="171"/>
  <c r="G46" i="171"/>
  <c r="F46" i="171"/>
  <c r="E46" i="171"/>
  <c r="M42" i="171"/>
  <c r="L42" i="171"/>
  <c r="K42" i="171"/>
  <c r="J42" i="171"/>
  <c r="I42" i="171"/>
  <c r="H42" i="171"/>
  <c r="G42" i="171"/>
  <c r="F42" i="171"/>
  <c r="E42" i="171"/>
  <c r="M29" i="171"/>
  <c r="L29" i="171"/>
  <c r="K29" i="171"/>
  <c r="J29" i="171"/>
  <c r="I29" i="171"/>
  <c r="H29" i="171"/>
  <c r="G29" i="171"/>
  <c r="F29" i="171"/>
  <c r="E29" i="171"/>
  <c r="E25" i="171"/>
  <c r="M21" i="171"/>
  <c r="L21" i="171"/>
  <c r="K21" i="171"/>
  <c r="J21" i="171"/>
  <c r="I21" i="171"/>
  <c r="H21" i="171"/>
  <c r="G21" i="171"/>
  <c r="F21" i="171"/>
  <c r="E21" i="171"/>
  <c r="M16" i="171"/>
  <c r="L16" i="171"/>
  <c r="K16" i="171"/>
  <c r="J16" i="171"/>
  <c r="I16" i="171"/>
  <c r="H16" i="171"/>
  <c r="G16" i="171"/>
  <c r="F16" i="171"/>
  <c r="E16" i="171"/>
  <c r="N32" i="170"/>
  <c r="M32" i="170"/>
  <c r="L32" i="170"/>
  <c r="K32" i="170"/>
  <c r="J32" i="170"/>
  <c r="I32" i="170"/>
  <c r="H32" i="170"/>
  <c r="G32" i="170"/>
  <c r="F32" i="170"/>
  <c r="M80" i="169"/>
  <c r="L80" i="169"/>
  <c r="K80" i="169"/>
  <c r="J80" i="169"/>
  <c r="I80" i="169"/>
  <c r="H80" i="169"/>
  <c r="G80" i="169"/>
  <c r="F80" i="169"/>
  <c r="E80" i="169"/>
  <c r="M67" i="169"/>
  <c r="L67" i="169"/>
  <c r="K67" i="169"/>
  <c r="J67" i="169"/>
  <c r="I67" i="169"/>
  <c r="H67" i="169"/>
  <c r="G67" i="169"/>
  <c r="F67" i="169"/>
  <c r="E67" i="169"/>
  <c r="M63" i="169"/>
  <c r="L63" i="169"/>
  <c r="K63" i="169"/>
  <c r="J63" i="169"/>
  <c r="I63" i="169"/>
  <c r="H63" i="169"/>
  <c r="G63" i="169"/>
  <c r="F63" i="169"/>
  <c r="E63" i="169"/>
  <c r="M57" i="169"/>
  <c r="L57" i="169"/>
  <c r="K57" i="169"/>
  <c r="J57" i="169"/>
  <c r="I57" i="169"/>
  <c r="H57" i="169"/>
  <c r="G57" i="169"/>
  <c r="F57" i="169"/>
  <c r="E57" i="169"/>
  <c r="M50" i="169"/>
  <c r="L50" i="169"/>
  <c r="K50" i="169"/>
  <c r="J50" i="169"/>
  <c r="I50" i="169"/>
  <c r="H50" i="169"/>
  <c r="G50" i="169"/>
  <c r="F50" i="169"/>
  <c r="E50" i="169"/>
  <c r="M46" i="169"/>
  <c r="L46" i="169"/>
  <c r="K46" i="169"/>
  <c r="J46" i="169"/>
  <c r="I46" i="169"/>
  <c r="H46" i="169"/>
  <c r="G46" i="169"/>
  <c r="F46" i="169"/>
  <c r="E46" i="169"/>
  <c r="M42" i="169"/>
  <c r="L42" i="169"/>
  <c r="K42" i="169"/>
  <c r="J42" i="169"/>
  <c r="I42" i="169"/>
  <c r="H42" i="169"/>
  <c r="G42" i="169"/>
  <c r="F42" i="169"/>
  <c r="E42" i="169"/>
  <c r="M29" i="169"/>
  <c r="L29" i="169"/>
  <c r="K29" i="169"/>
  <c r="J29" i="169"/>
  <c r="I29" i="169"/>
  <c r="H29" i="169"/>
  <c r="G29" i="169"/>
  <c r="F29" i="169"/>
  <c r="E29" i="169"/>
  <c r="E25" i="169"/>
  <c r="M21" i="169"/>
  <c r="L21" i="169"/>
  <c r="K21" i="169"/>
  <c r="J21" i="169"/>
  <c r="I21" i="169"/>
  <c r="H21" i="169"/>
  <c r="G21" i="169"/>
  <c r="F21" i="169"/>
  <c r="E21" i="169"/>
  <c r="M16" i="169"/>
  <c r="L16" i="169"/>
  <c r="K16" i="169"/>
  <c r="J16" i="169"/>
  <c r="I16" i="169"/>
  <c r="H16" i="169"/>
  <c r="G16" i="169"/>
  <c r="F16" i="169"/>
  <c r="E16" i="169"/>
  <c r="L189" i="168"/>
  <c r="K189" i="168"/>
  <c r="J189" i="168"/>
  <c r="I189" i="168"/>
  <c r="H189" i="168"/>
  <c r="G189" i="168"/>
  <c r="F189" i="168"/>
  <c r="E189" i="168"/>
  <c r="D189" i="168"/>
  <c r="L170" i="168"/>
  <c r="K170" i="168"/>
  <c r="J170" i="168"/>
  <c r="I170" i="168"/>
  <c r="H170" i="168"/>
  <c r="G170" i="168"/>
  <c r="F170" i="168"/>
  <c r="E170" i="168"/>
  <c r="D170" i="168"/>
  <c r="L161" i="168"/>
  <c r="K161" i="168"/>
  <c r="J161" i="168"/>
  <c r="I161" i="168"/>
  <c r="H161" i="168"/>
  <c r="G161" i="168"/>
  <c r="F161" i="168"/>
  <c r="E161" i="168"/>
  <c r="D161" i="168"/>
  <c r="L154" i="168"/>
  <c r="K154" i="168"/>
  <c r="J154" i="168"/>
  <c r="I154" i="168"/>
  <c r="H154" i="168"/>
  <c r="G154" i="168"/>
  <c r="F154" i="168"/>
  <c r="E154" i="168"/>
  <c r="D154" i="168"/>
  <c r="L149" i="168"/>
  <c r="K149" i="168"/>
  <c r="J149" i="168"/>
  <c r="I149" i="168"/>
  <c r="H149" i="168"/>
  <c r="G149" i="168"/>
  <c r="F149" i="168"/>
  <c r="E149" i="168"/>
  <c r="D149" i="168"/>
  <c r="L145" i="168"/>
  <c r="K145" i="168"/>
  <c r="J145" i="168"/>
  <c r="I145" i="168"/>
  <c r="H145" i="168"/>
  <c r="G145" i="168"/>
  <c r="F145" i="168"/>
  <c r="E145" i="168"/>
  <c r="D145" i="168"/>
  <c r="L139" i="168"/>
  <c r="K139" i="168"/>
  <c r="J139" i="168"/>
  <c r="I139" i="168"/>
  <c r="G139" i="168"/>
  <c r="F139" i="168"/>
  <c r="E139" i="168"/>
  <c r="D139" i="168"/>
  <c r="L135" i="168"/>
  <c r="K135" i="168"/>
  <c r="J135" i="168"/>
  <c r="I135" i="168"/>
  <c r="H135" i="168"/>
  <c r="G135" i="168"/>
  <c r="F135" i="168"/>
  <c r="E135" i="168"/>
  <c r="D135" i="168"/>
  <c r="L131" i="168"/>
  <c r="K131" i="168"/>
  <c r="J131" i="168"/>
  <c r="I131" i="168"/>
  <c r="H131" i="168"/>
  <c r="G131" i="168"/>
  <c r="F131" i="168"/>
  <c r="E131" i="168"/>
  <c r="D131" i="168"/>
  <c r="L124" i="168"/>
  <c r="K124" i="168"/>
  <c r="J124" i="168"/>
  <c r="I124" i="168"/>
  <c r="H124" i="168"/>
  <c r="G124" i="168"/>
  <c r="F124" i="168"/>
  <c r="E124" i="168"/>
  <c r="D124" i="168"/>
  <c r="L116" i="168"/>
  <c r="K116" i="168"/>
  <c r="J116" i="168"/>
  <c r="I116" i="168"/>
  <c r="H116" i="168"/>
  <c r="G116" i="168"/>
  <c r="F116" i="168"/>
  <c r="E116" i="168"/>
  <c r="D116" i="168"/>
  <c r="L111" i="168"/>
  <c r="K111" i="168"/>
  <c r="J111" i="168"/>
  <c r="I111" i="168"/>
  <c r="H111" i="168"/>
  <c r="G111" i="168"/>
  <c r="F111" i="168"/>
  <c r="E111" i="168"/>
  <c r="D111" i="168"/>
  <c r="L107" i="168"/>
  <c r="K107" i="168"/>
  <c r="J107" i="168"/>
  <c r="I107" i="168"/>
  <c r="H107" i="168"/>
  <c r="G107" i="168"/>
  <c r="F107" i="168"/>
  <c r="E107" i="168"/>
  <c r="D107" i="168"/>
  <c r="L100" i="168"/>
  <c r="K100" i="168"/>
  <c r="J100" i="168"/>
  <c r="I100" i="168"/>
  <c r="H100" i="168"/>
  <c r="G100" i="168"/>
  <c r="F100" i="168"/>
  <c r="D100" i="168"/>
  <c r="L96" i="168"/>
  <c r="K96" i="168"/>
  <c r="J96" i="168"/>
  <c r="I96" i="168"/>
  <c r="H96" i="168"/>
  <c r="G96" i="168"/>
  <c r="F96" i="168"/>
  <c r="D96" i="168"/>
  <c r="L87" i="168"/>
  <c r="K87" i="168"/>
  <c r="J87" i="168"/>
  <c r="I87" i="168"/>
  <c r="H87" i="168"/>
  <c r="G87" i="168"/>
  <c r="F87" i="168"/>
  <c r="E87" i="168"/>
  <c r="D87" i="168"/>
  <c r="L82" i="168"/>
  <c r="K82" i="168"/>
  <c r="J82" i="168"/>
  <c r="I82" i="168"/>
  <c r="H82" i="168"/>
  <c r="G82" i="168"/>
  <c r="F82" i="168"/>
  <c r="E82" i="168"/>
  <c r="D82" i="168"/>
  <c r="L76" i="168"/>
  <c r="K76" i="168"/>
  <c r="J76" i="168"/>
  <c r="I76" i="168"/>
  <c r="H76" i="168"/>
  <c r="G76" i="168"/>
  <c r="F76" i="168"/>
  <c r="E76" i="168"/>
  <c r="D76" i="168"/>
  <c r="L64" i="168"/>
  <c r="K64" i="168"/>
  <c r="J64" i="168"/>
  <c r="I64" i="168"/>
  <c r="H64" i="168"/>
  <c r="G64" i="168"/>
  <c r="F64" i="168"/>
  <c r="E64" i="168"/>
  <c r="D64" i="168"/>
  <c r="L55" i="168"/>
  <c r="K55" i="168"/>
  <c r="J55" i="168"/>
  <c r="I55" i="168"/>
  <c r="G55" i="168"/>
  <c r="F55" i="168"/>
  <c r="E55" i="168"/>
  <c r="D55" i="168"/>
  <c r="L49" i="168"/>
  <c r="K49" i="168"/>
  <c r="J49" i="168"/>
  <c r="I49" i="168"/>
  <c r="H49" i="168"/>
  <c r="G49" i="168"/>
  <c r="F49" i="168"/>
  <c r="E49" i="168"/>
  <c r="D49" i="168"/>
  <c r="L45" i="168"/>
  <c r="K45" i="168"/>
  <c r="J45" i="168"/>
  <c r="I45" i="168"/>
  <c r="H45" i="168"/>
  <c r="G45" i="168"/>
  <c r="F45" i="168"/>
  <c r="E45" i="168"/>
  <c r="D45" i="168"/>
  <c r="L41" i="168"/>
  <c r="K41" i="168"/>
  <c r="J41" i="168"/>
  <c r="I41" i="168"/>
  <c r="H41" i="168"/>
  <c r="G41" i="168"/>
  <c r="F41" i="168"/>
  <c r="E41" i="168"/>
  <c r="D41" i="168"/>
  <c r="L37" i="168"/>
  <c r="K37" i="168"/>
  <c r="J37" i="168"/>
  <c r="I37" i="168"/>
  <c r="H37" i="168"/>
  <c r="G37" i="168"/>
  <c r="F37" i="168"/>
  <c r="E37" i="168"/>
  <c r="D37" i="168"/>
  <c r="L31" i="168"/>
  <c r="K31" i="168"/>
  <c r="J31" i="168"/>
  <c r="I31" i="168"/>
  <c r="H31" i="168"/>
  <c r="G31" i="168"/>
  <c r="F31" i="168"/>
  <c r="E31" i="168"/>
  <c r="D31" i="168"/>
  <c r="L26" i="168"/>
  <c r="K26" i="168"/>
  <c r="J26" i="168"/>
  <c r="I26" i="168"/>
  <c r="H26" i="168"/>
  <c r="G26" i="168"/>
  <c r="F26" i="168"/>
  <c r="E26" i="168"/>
  <c r="D26" i="168"/>
  <c r="L21" i="168"/>
  <c r="K21" i="168"/>
  <c r="J21" i="168"/>
  <c r="I21" i="168"/>
  <c r="H21" i="168"/>
  <c r="G21" i="168"/>
  <c r="F21" i="168"/>
  <c r="E21" i="168"/>
  <c r="D21" i="168"/>
  <c r="N32" i="167"/>
  <c r="M32" i="167"/>
  <c r="L32" i="167"/>
  <c r="K32" i="167"/>
  <c r="J32" i="167"/>
  <c r="I32" i="167"/>
  <c r="H32" i="167"/>
  <c r="G32" i="167"/>
  <c r="F32" i="167"/>
  <c r="M79" i="166"/>
  <c r="L79" i="166"/>
  <c r="K79" i="166"/>
  <c r="J79" i="166"/>
  <c r="I79" i="166"/>
  <c r="H79" i="166"/>
  <c r="G79" i="166"/>
  <c r="F79" i="166"/>
  <c r="E79" i="166"/>
  <c r="M67" i="166"/>
  <c r="L67" i="166"/>
  <c r="K67" i="166"/>
  <c r="J67" i="166"/>
  <c r="I67" i="166"/>
  <c r="H67" i="166"/>
  <c r="G67" i="166"/>
  <c r="F67" i="166"/>
  <c r="E67" i="166"/>
  <c r="M63" i="166"/>
  <c r="L63" i="166"/>
  <c r="K63" i="166"/>
  <c r="J63" i="166"/>
  <c r="I63" i="166"/>
  <c r="H63" i="166"/>
  <c r="G63" i="166"/>
  <c r="F63" i="166"/>
  <c r="E63" i="166"/>
  <c r="M57" i="166"/>
  <c r="L57" i="166"/>
  <c r="K57" i="166"/>
  <c r="J57" i="166"/>
  <c r="I57" i="166"/>
  <c r="H57" i="166"/>
  <c r="G57" i="166"/>
  <c r="F57" i="166"/>
  <c r="E57" i="166"/>
  <c r="M50" i="166"/>
  <c r="L50" i="166"/>
  <c r="K50" i="166"/>
  <c r="J50" i="166"/>
  <c r="I50" i="166"/>
  <c r="H50" i="166"/>
  <c r="G50" i="166"/>
  <c r="F50" i="166"/>
  <c r="E50" i="166"/>
  <c r="M46" i="166"/>
  <c r="L46" i="166"/>
  <c r="K46" i="166"/>
  <c r="J46" i="166"/>
  <c r="I46" i="166"/>
  <c r="H46" i="166"/>
  <c r="G46" i="166"/>
  <c r="F46" i="166"/>
  <c r="E46" i="166"/>
  <c r="M42" i="166"/>
  <c r="L42" i="166"/>
  <c r="K42" i="166"/>
  <c r="J42" i="166"/>
  <c r="I42" i="166"/>
  <c r="H42" i="166"/>
  <c r="G42" i="166"/>
  <c r="F42" i="166"/>
  <c r="E42" i="166"/>
  <c r="M32" i="166"/>
  <c r="L32" i="166"/>
  <c r="K32" i="166"/>
  <c r="J32" i="166"/>
  <c r="I32" i="166"/>
  <c r="H32" i="166"/>
  <c r="G32" i="166"/>
  <c r="F32" i="166"/>
  <c r="E32" i="166"/>
  <c r="E28" i="166"/>
  <c r="M24" i="166"/>
  <c r="L24" i="166"/>
  <c r="K24" i="166"/>
  <c r="J24" i="166"/>
  <c r="I24" i="166"/>
  <c r="H24" i="166"/>
  <c r="G24" i="166"/>
  <c r="F24" i="166"/>
  <c r="E24" i="166"/>
  <c r="M19" i="166"/>
  <c r="L19" i="166"/>
  <c r="K19" i="166"/>
  <c r="J19" i="166"/>
  <c r="I19" i="166"/>
  <c r="H19" i="166"/>
  <c r="G19" i="166"/>
  <c r="F19" i="166"/>
  <c r="E19" i="166"/>
  <c r="L188" i="165"/>
  <c r="K188" i="165"/>
  <c r="J188" i="165"/>
  <c r="I188" i="165"/>
  <c r="H188" i="165"/>
  <c r="G188" i="165"/>
  <c r="F188" i="165"/>
  <c r="E188" i="165"/>
  <c r="D188" i="165"/>
  <c r="L169" i="165"/>
  <c r="K169" i="165"/>
  <c r="J169" i="165"/>
  <c r="I169" i="165"/>
  <c r="H169" i="165"/>
  <c r="G169" i="165"/>
  <c r="F169" i="165"/>
  <c r="E169" i="165"/>
  <c r="D169" i="165"/>
  <c r="L160" i="165"/>
  <c r="K160" i="165"/>
  <c r="J160" i="165"/>
  <c r="I160" i="165"/>
  <c r="H160" i="165"/>
  <c r="G160" i="165"/>
  <c r="F160" i="165"/>
  <c r="E160" i="165"/>
  <c r="D160" i="165"/>
  <c r="L153" i="165"/>
  <c r="K153" i="165"/>
  <c r="J153" i="165"/>
  <c r="I153" i="165"/>
  <c r="H153" i="165"/>
  <c r="G153" i="165"/>
  <c r="F153" i="165"/>
  <c r="E153" i="165"/>
  <c r="D153" i="165"/>
  <c r="L148" i="165"/>
  <c r="K148" i="165"/>
  <c r="J148" i="165"/>
  <c r="I148" i="165"/>
  <c r="H148" i="165"/>
  <c r="G148" i="165"/>
  <c r="F148" i="165"/>
  <c r="E148" i="165"/>
  <c r="D148" i="165"/>
  <c r="L144" i="165"/>
  <c r="K144" i="165"/>
  <c r="J144" i="165"/>
  <c r="I144" i="165"/>
  <c r="H144" i="165"/>
  <c r="G144" i="165"/>
  <c r="F144" i="165"/>
  <c r="E144" i="165"/>
  <c r="D144" i="165"/>
  <c r="L138" i="165"/>
  <c r="K138" i="165"/>
  <c r="J138" i="165"/>
  <c r="I138" i="165"/>
  <c r="G138" i="165"/>
  <c r="F138" i="165"/>
  <c r="E138" i="165"/>
  <c r="D138" i="165"/>
  <c r="L134" i="165"/>
  <c r="K134" i="165"/>
  <c r="J134" i="165"/>
  <c r="I134" i="165"/>
  <c r="H134" i="165"/>
  <c r="G134" i="165"/>
  <c r="F134" i="165"/>
  <c r="E134" i="165"/>
  <c r="D134" i="165"/>
  <c r="L130" i="165"/>
  <c r="K130" i="165"/>
  <c r="J130" i="165"/>
  <c r="I130" i="165"/>
  <c r="H130" i="165"/>
  <c r="G130" i="165"/>
  <c r="F130" i="165"/>
  <c r="E130" i="165"/>
  <c r="D130" i="165"/>
  <c r="L123" i="165"/>
  <c r="K123" i="165"/>
  <c r="J123" i="165"/>
  <c r="I123" i="165"/>
  <c r="H123" i="165"/>
  <c r="G123" i="165"/>
  <c r="F123" i="165"/>
  <c r="E123" i="165"/>
  <c r="D123" i="165"/>
  <c r="L115" i="165"/>
  <c r="K115" i="165"/>
  <c r="J115" i="165"/>
  <c r="I115" i="165"/>
  <c r="H115" i="165"/>
  <c r="G115" i="165"/>
  <c r="F115" i="165"/>
  <c r="E115" i="165"/>
  <c r="D115" i="165"/>
  <c r="L110" i="165"/>
  <c r="K110" i="165"/>
  <c r="J110" i="165"/>
  <c r="I110" i="165"/>
  <c r="H110" i="165"/>
  <c r="G110" i="165"/>
  <c r="F110" i="165"/>
  <c r="E110" i="165"/>
  <c r="D110" i="165"/>
  <c r="L106" i="165"/>
  <c r="K106" i="165"/>
  <c r="J106" i="165"/>
  <c r="I106" i="165"/>
  <c r="H106" i="165"/>
  <c r="G106" i="165"/>
  <c r="F106" i="165"/>
  <c r="E106" i="165"/>
  <c r="D106" i="165"/>
  <c r="L99" i="165"/>
  <c r="K99" i="165"/>
  <c r="J99" i="165"/>
  <c r="I99" i="165"/>
  <c r="H99" i="165"/>
  <c r="G99" i="165"/>
  <c r="F99" i="165"/>
  <c r="D99" i="165"/>
  <c r="L95" i="165"/>
  <c r="K95" i="165"/>
  <c r="J95" i="165"/>
  <c r="I95" i="165"/>
  <c r="H95" i="165"/>
  <c r="G95" i="165"/>
  <c r="F95" i="165"/>
  <c r="D95" i="165"/>
  <c r="L86" i="165"/>
  <c r="K86" i="165"/>
  <c r="J86" i="165"/>
  <c r="I86" i="165"/>
  <c r="H86" i="165"/>
  <c r="G86" i="165"/>
  <c r="F86" i="165"/>
  <c r="E86" i="165"/>
  <c r="D86" i="165"/>
  <c r="L81" i="165"/>
  <c r="K81" i="165"/>
  <c r="J81" i="165"/>
  <c r="I81" i="165"/>
  <c r="H81" i="165"/>
  <c r="G81" i="165"/>
  <c r="F81" i="165"/>
  <c r="E81" i="165"/>
  <c r="D81" i="165"/>
  <c r="L75" i="165"/>
  <c r="K75" i="165"/>
  <c r="J75" i="165"/>
  <c r="I75" i="165"/>
  <c r="H75" i="165"/>
  <c r="G75" i="165"/>
  <c r="F75" i="165"/>
  <c r="E75" i="165"/>
  <c r="D75" i="165"/>
  <c r="L63" i="165"/>
  <c r="K63" i="165"/>
  <c r="J63" i="165"/>
  <c r="I63" i="165"/>
  <c r="H63" i="165"/>
  <c r="G63" i="165"/>
  <c r="F63" i="165"/>
  <c r="E63" i="165"/>
  <c r="D63" i="165"/>
  <c r="L54" i="165"/>
  <c r="K54" i="165"/>
  <c r="J54" i="165"/>
  <c r="I54" i="165"/>
  <c r="G54" i="165"/>
  <c r="F54" i="165"/>
  <c r="E54" i="165"/>
  <c r="D54" i="165"/>
  <c r="L48" i="165"/>
  <c r="K48" i="165"/>
  <c r="J48" i="165"/>
  <c r="I48" i="165"/>
  <c r="H48" i="165"/>
  <c r="G48" i="165"/>
  <c r="F48" i="165"/>
  <c r="E48" i="165"/>
  <c r="D48" i="165"/>
  <c r="L44" i="165"/>
  <c r="K44" i="165"/>
  <c r="J44" i="165"/>
  <c r="I44" i="165"/>
  <c r="H44" i="165"/>
  <c r="G44" i="165"/>
  <c r="F44" i="165"/>
  <c r="E44" i="165"/>
  <c r="D44" i="165"/>
  <c r="L40" i="165"/>
  <c r="K40" i="165"/>
  <c r="J40" i="165"/>
  <c r="I40" i="165"/>
  <c r="H40" i="165"/>
  <c r="G40" i="165"/>
  <c r="F40" i="165"/>
  <c r="E40" i="165"/>
  <c r="D40" i="165"/>
  <c r="L36" i="165"/>
  <c r="K36" i="165"/>
  <c r="J36" i="165"/>
  <c r="I36" i="165"/>
  <c r="H36" i="165"/>
  <c r="G36" i="165"/>
  <c r="F36" i="165"/>
  <c r="E36" i="165"/>
  <c r="D36" i="165"/>
  <c r="L31" i="165"/>
  <c r="K31" i="165"/>
  <c r="J31" i="165"/>
  <c r="I31" i="165"/>
  <c r="H31" i="165"/>
  <c r="G31" i="165"/>
  <c r="F31" i="165"/>
  <c r="E31" i="165"/>
  <c r="D31" i="165"/>
  <c r="L26" i="165"/>
  <c r="K26" i="165"/>
  <c r="J26" i="165"/>
  <c r="I26" i="165"/>
  <c r="H26" i="165"/>
  <c r="G26" i="165"/>
  <c r="F26" i="165"/>
  <c r="E26" i="165"/>
  <c r="D26" i="165"/>
  <c r="L21" i="165"/>
  <c r="K21" i="165"/>
  <c r="J21" i="165"/>
  <c r="I21" i="165"/>
  <c r="H21" i="165"/>
  <c r="G21" i="165"/>
  <c r="F21" i="165"/>
  <c r="E21" i="165"/>
  <c r="D21" i="165"/>
  <c r="N32" i="164"/>
  <c r="M32" i="164"/>
  <c r="L32" i="164"/>
  <c r="K32" i="164"/>
  <c r="J32" i="164"/>
  <c r="I32" i="164"/>
  <c r="H32" i="164"/>
  <c r="G32" i="164"/>
  <c r="F32" i="164"/>
  <c r="M79" i="163"/>
  <c r="L79" i="163"/>
  <c r="K79" i="163"/>
  <c r="J79" i="163"/>
  <c r="I79" i="163"/>
  <c r="H79" i="163"/>
  <c r="G79" i="163"/>
  <c r="F79" i="163"/>
  <c r="E79" i="163"/>
  <c r="M68" i="163"/>
  <c r="L68" i="163"/>
  <c r="K68" i="163"/>
  <c r="J68" i="163"/>
  <c r="I68" i="163"/>
  <c r="H68" i="163"/>
  <c r="G68" i="163"/>
  <c r="F68" i="163"/>
  <c r="E68" i="163"/>
  <c r="M64" i="163"/>
  <c r="L64" i="163"/>
  <c r="K64" i="163"/>
  <c r="J64" i="163"/>
  <c r="I64" i="163"/>
  <c r="H64" i="163"/>
  <c r="G64" i="163"/>
  <c r="F64" i="163"/>
  <c r="E64" i="163"/>
  <c r="M57" i="163"/>
  <c r="L57" i="163"/>
  <c r="K57" i="163"/>
  <c r="J57" i="163"/>
  <c r="I57" i="163"/>
  <c r="H57" i="163"/>
  <c r="G57" i="163"/>
  <c r="F57" i="163"/>
  <c r="E57" i="163"/>
  <c r="M50" i="163"/>
  <c r="L50" i="163"/>
  <c r="K50" i="163"/>
  <c r="J50" i="163"/>
  <c r="I50" i="163"/>
  <c r="H50" i="163"/>
  <c r="G50" i="163"/>
  <c r="F50" i="163"/>
  <c r="E50" i="163"/>
  <c r="M46" i="163"/>
  <c r="L46" i="163"/>
  <c r="K46" i="163"/>
  <c r="J46" i="163"/>
  <c r="I46" i="163"/>
  <c r="H46" i="163"/>
  <c r="G46" i="163"/>
  <c r="F46" i="163"/>
  <c r="E46" i="163"/>
  <c r="M42" i="163"/>
  <c r="L42" i="163"/>
  <c r="K42" i="163"/>
  <c r="J42" i="163"/>
  <c r="I42" i="163"/>
  <c r="H42" i="163"/>
  <c r="G42" i="163"/>
  <c r="F42" i="163"/>
  <c r="E42" i="163"/>
  <c r="M32" i="163"/>
  <c r="L32" i="163"/>
  <c r="K32" i="163"/>
  <c r="J32" i="163"/>
  <c r="I32" i="163"/>
  <c r="H32" i="163"/>
  <c r="G32" i="163"/>
  <c r="F32" i="163"/>
  <c r="E32" i="163"/>
  <c r="E28" i="163"/>
  <c r="M24" i="163"/>
  <c r="L24" i="163"/>
  <c r="K24" i="163"/>
  <c r="J24" i="163"/>
  <c r="I24" i="163"/>
  <c r="H24" i="163"/>
  <c r="G24" i="163"/>
  <c r="F24" i="163"/>
  <c r="E24" i="163"/>
  <c r="M19" i="163"/>
  <c r="L19" i="163"/>
  <c r="K19" i="163"/>
  <c r="J19" i="163"/>
  <c r="I19" i="163"/>
  <c r="H19" i="163"/>
  <c r="G19" i="163"/>
  <c r="F19" i="163"/>
  <c r="E19" i="163"/>
  <c r="L190" i="162"/>
  <c r="K190" i="162"/>
  <c r="J190" i="162"/>
  <c r="I190" i="162"/>
  <c r="H190" i="162"/>
  <c r="G190" i="162"/>
  <c r="F190" i="162"/>
  <c r="E190" i="162"/>
  <c r="D190" i="162"/>
  <c r="L171" i="162"/>
  <c r="K171" i="162"/>
  <c r="J171" i="162"/>
  <c r="I171" i="162"/>
  <c r="H171" i="162"/>
  <c r="G171" i="162"/>
  <c r="F171" i="162"/>
  <c r="E171" i="162"/>
  <c r="D171" i="162"/>
  <c r="L161" i="162"/>
  <c r="K161" i="162"/>
  <c r="J161" i="162"/>
  <c r="I161" i="162"/>
  <c r="H161" i="162"/>
  <c r="G161" i="162"/>
  <c r="F161" i="162"/>
  <c r="E161" i="162"/>
  <c r="D161" i="162"/>
  <c r="L154" i="162"/>
  <c r="K154" i="162"/>
  <c r="J154" i="162"/>
  <c r="I154" i="162"/>
  <c r="H154" i="162"/>
  <c r="G154" i="162"/>
  <c r="F154" i="162"/>
  <c r="E154" i="162"/>
  <c r="D154" i="162"/>
  <c r="L149" i="162"/>
  <c r="K149" i="162"/>
  <c r="J149" i="162"/>
  <c r="I149" i="162"/>
  <c r="H149" i="162"/>
  <c r="G149" i="162"/>
  <c r="F149" i="162"/>
  <c r="E149" i="162"/>
  <c r="D149" i="162"/>
  <c r="L145" i="162"/>
  <c r="K145" i="162"/>
  <c r="J145" i="162"/>
  <c r="I145" i="162"/>
  <c r="H145" i="162"/>
  <c r="G145" i="162"/>
  <c r="F145" i="162"/>
  <c r="E145" i="162"/>
  <c r="D145" i="162"/>
  <c r="L139" i="162"/>
  <c r="K139" i="162"/>
  <c r="J139" i="162"/>
  <c r="I139" i="162"/>
  <c r="H139" i="162"/>
  <c r="G139" i="162"/>
  <c r="F139" i="162"/>
  <c r="E139" i="162"/>
  <c r="D139" i="162"/>
  <c r="L134" i="162"/>
  <c r="K134" i="162"/>
  <c r="J134" i="162"/>
  <c r="I134" i="162"/>
  <c r="H134" i="162"/>
  <c r="G134" i="162"/>
  <c r="F134" i="162"/>
  <c r="E134" i="162"/>
  <c r="D134" i="162"/>
  <c r="L130" i="162"/>
  <c r="K130" i="162"/>
  <c r="J130" i="162"/>
  <c r="I130" i="162"/>
  <c r="H130" i="162"/>
  <c r="G130" i="162"/>
  <c r="F130" i="162"/>
  <c r="E130" i="162"/>
  <c r="D130" i="162"/>
  <c r="L123" i="162"/>
  <c r="K123" i="162"/>
  <c r="J123" i="162"/>
  <c r="I123" i="162"/>
  <c r="H123" i="162"/>
  <c r="G123" i="162"/>
  <c r="F123" i="162"/>
  <c r="E123" i="162"/>
  <c r="D123" i="162"/>
  <c r="L115" i="162"/>
  <c r="K115" i="162"/>
  <c r="J115" i="162"/>
  <c r="I115" i="162"/>
  <c r="H115" i="162"/>
  <c r="G115" i="162"/>
  <c r="F115" i="162"/>
  <c r="E115" i="162"/>
  <c r="D115" i="162"/>
  <c r="L110" i="162"/>
  <c r="K110" i="162"/>
  <c r="J110" i="162"/>
  <c r="I110" i="162"/>
  <c r="H110" i="162"/>
  <c r="G110" i="162"/>
  <c r="F110" i="162"/>
  <c r="E110" i="162"/>
  <c r="D110" i="162"/>
  <c r="L106" i="162"/>
  <c r="K106" i="162"/>
  <c r="J106" i="162"/>
  <c r="I106" i="162"/>
  <c r="H106" i="162"/>
  <c r="G106" i="162"/>
  <c r="F106" i="162"/>
  <c r="E106" i="162"/>
  <c r="D106" i="162"/>
  <c r="L99" i="162"/>
  <c r="K99" i="162"/>
  <c r="J99" i="162"/>
  <c r="I99" i="162"/>
  <c r="H99" i="162"/>
  <c r="G99" i="162"/>
  <c r="F99" i="162"/>
  <c r="D99" i="162"/>
  <c r="L95" i="162"/>
  <c r="K95" i="162"/>
  <c r="J95" i="162"/>
  <c r="I95" i="162"/>
  <c r="H95" i="162"/>
  <c r="G95" i="162"/>
  <c r="F95" i="162"/>
  <c r="E95" i="162"/>
  <c r="D95" i="162"/>
  <c r="L87" i="162"/>
  <c r="K87" i="162"/>
  <c r="J87" i="162"/>
  <c r="I87" i="162"/>
  <c r="H87" i="162"/>
  <c r="G87" i="162"/>
  <c r="F87" i="162"/>
  <c r="E87" i="162"/>
  <c r="D87" i="162"/>
  <c r="L82" i="162"/>
  <c r="K82" i="162"/>
  <c r="J82" i="162"/>
  <c r="I82" i="162"/>
  <c r="H82" i="162"/>
  <c r="G82" i="162"/>
  <c r="F82" i="162"/>
  <c r="E82" i="162"/>
  <c r="D82" i="162"/>
  <c r="L76" i="162"/>
  <c r="K76" i="162"/>
  <c r="J76" i="162"/>
  <c r="I76" i="162"/>
  <c r="H76" i="162"/>
  <c r="G76" i="162"/>
  <c r="F76" i="162"/>
  <c r="E76" i="162"/>
  <c r="D76" i="162"/>
  <c r="L64" i="162"/>
  <c r="K64" i="162"/>
  <c r="J64" i="162"/>
  <c r="I64" i="162"/>
  <c r="H64" i="162"/>
  <c r="G64" i="162"/>
  <c r="F64" i="162"/>
  <c r="E64" i="162"/>
  <c r="D64" i="162"/>
  <c r="L55" i="162"/>
  <c r="K55" i="162"/>
  <c r="J55" i="162"/>
  <c r="I55" i="162"/>
  <c r="G55" i="162"/>
  <c r="F55" i="162"/>
  <c r="E55" i="162"/>
  <c r="D55" i="162"/>
  <c r="L49" i="162"/>
  <c r="K49" i="162"/>
  <c r="J49" i="162"/>
  <c r="I49" i="162"/>
  <c r="H49" i="162"/>
  <c r="G49" i="162"/>
  <c r="F49" i="162"/>
  <c r="E49" i="162"/>
  <c r="D49" i="162"/>
  <c r="L45" i="162"/>
  <c r="K45" i="162"/>
  <c r="J45" i="162"/>
  <c r="I45" i="162"/>
  <c r="H45" i="162"/>
  <c r="G45" i="162"/>
  <c r="F45" i="162"/>
  <c r="E45" i="162"/>
  <c r="D45" i="162"/>
  <c r="L41" i="162"/>
  <c r="K41" i="162"/>
  <c r="J41" i="162"/>
  <c r="I41" i="162"/>
  <c r="H41" i="162"/>
  <c r="G41" i="162"/>
  <c r="F41" i="162"/>
  <c r="E41" i="162"/>
  <c r="D41" i="162"/>
  <c r="L37" i="162"/>
  <c r="K37" i="162"/>
  <c r="J37" i="162"/>
  <c r="I37" i="162"/>
  <c r="H37" i="162"/>
  <c r="G37" i="162"/>
  <c r="F37" i="162"/>
  <c r="E37" i="162"/>
  <c r="D37" i="162"/>
  <c r="L32" i="162"/>
  <c r="K32" i="162"/>
  <c r="J32" i="162"/>
  <c r="I32" i="162"/>
  <c r="H32" i="162"/>
  <c r="G32" i="162"/>
  <c r="F32" i="162"/>
  <c r="E32" i="162"/>
  <c r="D32" i="162"/>
  <c r="L27" i="162"/>
  <c r="K27" i="162"/>
  <c r="J27" i="162"/>
  <c r="I27" i="162"/>
  <c r="H27" i="162"/>
  <c r="G27" i="162"/>
  <c r="F27" i="162"/>
  <c r="E27" i="162"/>
  <c r="D27" i="162"/>
  <c r="L22" i="162"/>
  <c r="K22" i="162"/>
  <c r="J22" i="162"/>
  <c r="I22" i="162"/>
  <c r="H22" i="162"/>
  <c r="G22" i="162"/>
  <c r="F22" i="162"/>
  <c r="E22" i="162"/>
  <c r="D22" i="162"/>
  <c r="N32" i="161"/>
  <c r="M32" i="161"/>
  <c r="L32" i="161"/>
  <c r="K32" i="161"/>
  <c r="J32" i="161"/>
  <c r="I32" i="161"/>
  <c r="H32" i="161"/>
  <c r="G32" i="161"/>
  <c r="F32" i="161"/>
  <c r="M77" i="160"/>
  <c r="L77" i="160"/>
  <c r="K77" i="160"/>
  <c r="J77" i="160"/>
  <c r="I77" i="160"/>
  <c r="H77" i="160"/>
  <c r="G77" i="160"/>
  <c r="F77" i="160"/>
  <c r="E77" i="160"/>
  <c r="M65" i="160"/>
  <c r="L65" i="160"/>
  <c r="K65" i="160"/>
  <c r="J65" i="160"/>
  <c r="I65" i="160"/>
  <c r="H65" i="160"/>
  <c r="G65" i="160"/>
  <c r="F65" i="160"/>
  <c r="E65" i="160"/>
  <c r="M61" i="160"/>
  <c r="L61" i="160"/>
  <c r="K61" i="160"/>
  <c r="J61" i="160"/>
  <c r="I61" i="160"/>
  <c r="H61" i="160"/>
  <c r="G61" i="160"/>
  <c r="F61" i="160"/>
  <c r="E61" i="160"/>
  <c r="M54" i="160"/>
  <c r="L54" i="160"/>
  <c r="K54" i="160"/>
  <c r="J54" i="160"/>
  <c r="I54" i="160"/>
  <c r="H54" i="160"/>
  <c r="G54" i="160"/>
  <c r="F54" i="160"/>
  <c r="E54" i="160"/>
  <c r="M46" i="160"/>
  <c r="L46" i="160"/>
  <c r="K46" i="160"/>
  <c r="J46" i="160"/>
  <c r="I46" i="160"/>
  <c r="H46" i="160"/>
  <c r="G46" i="160"/>
  <c r="F46" i="160"/>
  <c r="E46" i="160"/>
  <c r="M42" i="160"/>
  <c r="L42" i="160"/>
  <c r="K42" i="160"/>
  <c r="J42" i="160"/>
  <c r="I42" i="160"/>
  <c r="H42" i="160"/>
  <c r="G42" i="160"/>
  <c r="F42" i="160"/>
  <c r="E42" i="160"/>
  <c r="M32" i="160"/>
  <c r="L32" i="160"/>
  <c r="K32" i="160"/>
  <c r="J32" i="160"/>
  <c r="I32" i="160"/>
  <c r="H32" i="160"/>
  <c r="G32" i="160"/>
  <c r="F32" i="160"/>
  <c r="E32" i="160"/>
  <c r="E28" i="160"/>
  <c r="M24" i="160"/>
  <c r="L24" i="160"/>
  <c r="K24" i="160"/>
  <c r="J24" i="160"/>
  <c r="I24" i="160"/>
  <c r="H24" i="160"/>
  <c r="G24" i="160"/>
  <c r="F24" i="160"/>
  <c r="E24" i="160"/>
  <c r="M19" i="160"/>
  <c r="L19" i="160"/>
  <c r="K19" i="160"/>
  <c r="J19" i="160"/>
  <c r="I19" i="160"/>
  <c r="H19" i="160"/>
  <c r="G19" i="160"/>
  <c r="F19" i="160"/>
  <c r="E19" i="160"/>
  <c r="L191" i="159"/>
  <c r="K191" i="159"/>
  <c r="J191" i="159"/>
  <c r="I191" i="159"/>
  <c r="H191" i="159"/>
  <c r="G191" i="159"/>
  <c r="F191" i="159"/>
  <c r="E191" i="159"/>
  <c r="D191" i="159"/>
  <c r="L172" i="159"/>
  <c r="K172" i="159"/>
  <c r="J172" i="159"/>
  <c r="I172" i="159"/>
  <c r="H172" i="159"/>
  <c r="G172" i="159"/>
  <c r="F172" i="159"/>
  <c r="E172" i="159"/>
  <c r="D172" i="159"/>
  <c r="L163" i="159"/>
  <c r="K163" i="159"/>
  <c r="J163" i="159"/>
  <c r="I163" i="159"/>
  <c r="H163" i="159"/>
  <c r="G163" i="159"/>
  <c r="F163" i="159"/>
  <c r="E163" i="159"/>
  <c r="D163" i="159"/>
  <c r="L156" i="159"/>
  <c r="K156" i="159"/>
  <c r="J156" i="159"/>
  <c r="I156" i="159"/>
  <c r="H156" i="159"/>
  <c r="G156" i="159"/>
  <c r="F156" i="159"/>
  <c r="E156" i="159"/>
  <c r="D156" i="159"/>
  <c r="L151" i="159"/>
  <c r="K151" i="159"/>
  <c r="J151" i="159"/>
  <c r="I151" i="159"/>
  <c r="H151" i="159"/>
  <c r="G151" i="159"/>
  <c r="F151" i="159"/>
  <c r="E151" i="159"/>
  <c r="D151" i="159"/>
  <c r="L147" i="159"/>
  <c r="K147" i="159"/>
  <c r="J147" i="159"/>
  <c r="I147" i="159"/>
  <c r="H147" i="159"/>
  <c r="G147" i="159"/>
  <c r="F147" i="159"/>
  <c r="E147" i="159"/>
  <c r="D147" i="159"/>
  <c r="L141" i="159"/>
  <c r="K141" i="159"/>
  <c r="J141" i="159"/>
  <c r="I141" i="159"/>
  <c r="H141" i="159"/>
  <c r="G141" i="159"/>
  <c r="F141" i="159"/>
  <c r="E141" i="159"/>
  <c r="D141" i="159"/>
  <c r="L136" i="159"/>
  <c r="K136" i="159"/>
  <c r="J136" i="159"/>
  <c r="I136" i="159"/>
  <c r="H136" i="159"/>
  <c r="G136" i="159"/>
  <c r="F136" i="159"/>
  <c r="E136" i="159"/>
  <c r="D136" i="159"/>
  <c r="L132" i="159"/>
  <c r="K132" i="159"/>
  <c r="J132" i="159"/>
  <c r="I132" i="159"/>
  <c r="H132" i="159"/>
  <c r="G132" i="159"/>
  <c r="F132" i="159"/>
  <c r="E132" i="159"/>
  <c r="D132" i="159"/>
  <c r="L125" i="159"/>
  <c r="K125" i="159"/>
  <c r="J125" i="159"/>
  <c r="I125" i="159"/>
  <c r="H125" i="159"/>
  <c r="G125" i="159"/>
  <c r="F125" i="159"/>
  <c r="E125" i="159"/>
  <c r="D125" i="159"/>
  <c r="L117" i="159"/>
  <c r="K117" i="159"/>
  <c r="J117" i="159"/>
  <c r="I117" i="159"/>
  <c r="H117" i="159"/>
  <c r="G117" i="159"/>
  <c r="F117" i="159"/>
  <c r="E117" i="159"/>
  <c r="D117" i="159"/>
  <c r="L112" i="159"/>
  <c r="K112" i="159"/>
  <c r="J112" i="159"/>
  <c r="I112" i="159"/>
  <c r="H112" i="159"/>
  <c r="G112" i="159"/>
  <c r="F112" i="159"/>
  <c r="E112" i="159"/>
  <c r="D112" i="159"/>
  <c r="L108" i="159"/>
  <c r="K108" i="159"/>
  <c r="J108" i="159"/>
  <c r="I108" i="159"/>
  <c r="H108" i="159"/>
  <c r="G108" i="159"/>
  <c r="F108" i="159"/>
  <c r="E108" i="159"/>
  <c r="D108" i="159"/>
  <c r="L101" i="159"/>
  <c r="K101" i="159"/>
  <c r="J101" i="159"/>
  <c r="I101" i="159"/>
  <c r="H101" i="159"/>
  <c r="G101" i="159"/>
  <c r="F101" i="159"/>
  <c r="D101" i="159"/>
  <c r="L97" i="159"/>
  <c r="K97" i="159"/>
  <c r="J97" i="159"/>
  <c r="I97" i="159"/>
  <c r="H97" i="159"/>
  <c r="G97" i="159"/>
  <c r="F97" i="159"/>
  <c r="E97" i="159"/>
  <c r="D97" i="159"/>
  <c r="L89" i="159"/>
  <c r="K89" i="159"/>
  <c r="J89" i="159"/>
  <c r="I89" i="159"/>
  <c r="H89" i="159"/>
  <c r="G89" i="159"/>
  <c r="F89" i="159"/>
  <c r="E89" i="159"/>
  <c r="D89" i="159"/>
  <c r="L84" i="159"/>
  <c r="K84" i="159"/>
  <c r="J84" i="159"/>
  <c r="I84" i="159"/>
  <c r="H84" i="159"/>
  <c r="G84" i="159"/>
  <c r="F84" i="159"/>
  <c r="E84" i="159"/>
  <c r="D84" i="159"/>
  <c r="L78" i="159"/>
  <c r="K78" i="159"/>
  <c r="J78" i="159"/>
  <c r="I78" i="159"/>
  <c r="H78" i="159"/>
  <c r="G78" i="159"/>
  <c r="F78" i="159"/>
  <c r="E78" i="159"/>
  <c r="D78" i="159"/>
  <c r="L66" i="159"/>
  <c r="K66" i="159"/>
  <c r="J66" i="159"/>
  <c r="I66" i="159"/>
  <c r="H66" i="159"/>
  <c r="G66" i="159"/>
  <c r="F66" i="159"/>
  <c r="E66" i="159"/>
  <c r="D66" i="159"/>
  <c r="L57" i="159"/>
  <c r="K57" i="159"/>
  <c r="J57" i="159"/>
  <c r="I57" i="159"/>
  <c r="G57" i="159"/>
  <c r="F57" i="159"/>
  <c r="E57" i="159"/>
  <c r="D57" i="159"/>
  <c r="L51" i="159"/>
  <c r="K51" i="159"/>
  <c r="J51" i="159"/>
  <c r="I51" i="159"/>
  <c r="H51" i="159"/>
  <c r="G51" i="159"/>
  <c r="F51" i="159"/>
  <c r="E51" i="159"/>
  <c r="D51" i="159"/>
  <c r="L47" i="159"/>
  <c r="K47" i="159"/>
  <c r="J47" i="159"/>
  <c r="I47" i="159"/>
  <c r="H47" i="159"/>
  <c r="G47" i="159"/>
  <c r="F47" i="159"/>
  <c r="E47" i="159"/>
  <c r="D47" i="159"/>
  <c r="L43" i="159"/>
  <c r="K43" i="159"/>
  <c r="J43" i="159"/>
  <c r="I43" i="159"/>
  <c r="H43" i="159"/>
  <c r="G43" i="159"/>
  <c r="F43" i="159"/>
  <c r="E43" i="159"/>
  <c r="D43" i="159"/>
  <c r="L39" i="159"/>
  <c r="K39" i="159"/>
  <c r="J39" i="159"/>
  <c r="I39" i="159"/>
  <c r="H39" i="159"/>
  <c r="G39" i="159"/>
  <c r="F39" i="159"/>
  <c r="E39" i="159"/>
  <c r="D39" i="159"/>
  <c r="L33" i="159"/>
  <c r="K33" i="159"/>
  <c r="J33" i="159"/>
  <c r="I33" i="159"/>
  <c r="H33" i="159"/>
  <c r="G33" i="159"/>
  <c r="F33" i="159"/>
  <c r="E33" i="159"/>
  <c r="D33" i="159"/>
  <c r="L28" i="159"/>
  <c r="K28" i="159"/>
  <c r="J28" i="159"/>
  <c r="I28" i="159"/>
  <c r="H28" i="159"/>
  <c r="G28" i="159"/>
  <c r="F28" i="159"/>
  <c r="E28" i="159"/>
  <c r="D28" i="159"/>
  <c r="L23" i="159"/>
  <c r="K23" i="159"/>
  <c r="J23" i="159"/>
  <c r="I23" i="159"/>
  <c r="H23" i="159"/>
  <c r="G23" i="159"/>
  <c r="F23" i="159"/>
  <c r="E23" i="159"/>
  <c r="D23" i="159"/>
  <c r="N32" i="158"/>
  <c r="M32" i="158"/>
  <c r="L32" i="158"/>
  <c r="K32" i="158"/>
  <c r="J32" i="158"/>
  <c r="I32" i="158"/>
  <c r="H32" i="158"/>
  <c r="G32" i="158"/>
  <c r="F32" i="158"/>
  <c r="M78" i="157"/>
  <c r="L78" i="157"/>
  <c r="K78" i="157"/>
  <c r="J78" i="157"/>
  <c r="I78" i="157"/>
  <c r="H78" i="157"/>
  <c r="G78" i="157"/>
  <c r="F78" i="157"/>
  <c r="E78" i="157"/>
  <c r="M66" i="157"/>
  <c r="L66" i="157"/>
  <c r="K66" i="157"/>
  <c r="J66" i="157"/>
  <c r="I66" i="157"/>
  <c r="H66" i="157"/>
  <c r="G66" i="157"/>
  <c r="F66" i="157"/>
  <c r="E66" i="157"/>
  <c r="M62" i="157"/>
  <c r="L62" i="157"/>
  <c r="K62" i="157"/>
  <c r="J62" i="157"/>
  <c r="I62" i="157"/>
  <c r="H62" i="157"/>
  <c r="G62" i="157"/>
  <c r="F62" i="157"/>
  <c r="E62" i="157"/>
  <c r="M55" i="157"/>
  <c r="L55" i="157"/>
  <c r="K55" i="157"/>
  <c r="J55" i="157"/>
  <c r="I55" i="157"/>
  <c r="H55" i="157"/>
  <c r="G55" i="157"/>
  <c r="F55" i="157"/>
  <c r="E55" i="157"/>
  <c r="M47" i="157"/>
  <c r="L47" i="157"/>
  <c r="K47" i="157"/>
  <c r="J47" i="157"/>
  <c r="I47" i="157"/>
  <c r="H47" i="157"/>
  <c r="G47" i="157"/>
  <c r="F47" i="157"/>
  <c r="E47" i="157"/>
  <c r="M43" i="157"/>
  <c r="L43" i="157"/>
  <c r="K43" i="157"/>
  <c r="J43" i="157"/>
  <c r="I43" i="157"/>
  <c r="H43" i="157"/>
  <c r="G43" i="157"/>
  <c r="F43" i="157"/>
  <c r="E43" i="157"/>
  <c r="M33" i="157"/>
  <c r="L33" i="157"/>
  <c r="K33" i="157"/>
  <c r="J33" i="157"/>
  <c r="I33" i="157"/>
  <c r="H33" i="157"/>
  <c r="G33" i="157"/>
  <c r="F33" i="157"/>
  <c r="E33" i="157"/>
  <c r="E28" i="157"/>
  <c r="M24" i="157"/>
  <c r="L24" i="157"/>
  <c r="K24" i="157"/>
  <c r="J24" i="157"/>
  <c r="I24" i="157"/>
  <c r="H24" i="157"/>
  <c r="G24" i="157"/>
  <c r="F24" i="157"/>
  <c r="E24" i="157"/>
  <c r="M19" i="157"/>
  <c r="L19" i="157"/>
  <c r="K19" i="157"/>
  <c r="J19" i="157"/>
  <c r="I19" i="157"/>
  <c r="H19" i="157"/>
  <c r="G19" i="157"/>
  <c r="F19" i="157"/>
  <c r="E19" i="157"/>
  <c r="L189" i="156"/>
  <c r="K189" i="156"/>
  <c r="J189" i="156"/>
  <c r="I189" i="156"/>
  <c r="H189" i="156"/>
  <c r="G189" i="156"/>
  <c r="F189" i="156"/>
  <c r="E189" i="156"/>
  <c r="D189" i="156"/>
  <c r="L170" i="156"/>
  <c r="K170" i="156"/>
  <c r="J170" i="156"/>
  <c r="I170" i="156"/>
  <c r="H170" i="156"/>
  <c r="G170" i="156"/>
  <c r="F170" i="156"/>
  <c r="E170" i="156"/>
  <c r="D170" i="156"/>
  <c r="L161" i="156"/>
  <c r="K161" i="156"/>
  <c r="J161" i="156"/>
  <c r="I161" i="156"/>
  <c r="H161" i="156"/>
  <c r="G161" i="156"/>
  <c r="F161" i="156"/>
  <c r="E161" i="156"/>
  <c r="D161" i="156"/>
  <c r="L153" i="156"/>
  <c r="K153" i="156"/>
  <c r="J153" i="156"/>
  <c r="I153" i="156"/>
  <c r="H153" i="156"/>
  <c r="G153" i="156"/>
  <c r="F153" i="156"/>
  <c r="E153" i="156"/>
  <c r="D153" i="156"/>
  <c r="L148" i="156"/>
  <c r="K148" i="156"/>
  <c r="J148" i="156"/>
  <c r="I148" i="156"/>
  <c r="H148" i="156"/>
  <c r="G148" i="156"/>
  <c r="F148" i="156"/>
  <c r="E148" i="156"/>
  <c r="D148" i="156"/>
  <c r="L144" i="156"/>
  <c r="K144" i="156"/>
  <c r="J144" i="156"/>
  <c r="I144" i="156"/>
  <c r="H144" i="156"/>
  <c r="G144" i="156"/>
  <c r="F144" i="156"/>
  <c r="E144" i="156"/>
  <c r="D144" i="156"/>
  <c r="L138" i="156"/>
  <c r="K138" i="156"/>
  <c r="J138" i="156"/>
  <c r="I138" i="156"/>
  <c r="H138" i="156"/>
  <c r="G138" i="156"/>
  <c r="F138" i="156"/>
  <c r="E138" i="156"/>
  <c r="D138" i="156"/>
  <c r="L133" i="156"/>
  <c r="K133" i="156"/>
  <c r="J133" i="156"/>
  <c r="I133" i="156"/>
  <c r="H133" i="156"/>
  <c r="G133" i="156"/>
  <c r="F133" i="156"/>
  <c r="E133" i="156"/>
  <c r="D133" i="156"/>
  <c r="L129" i="156"/>
  <c r="K129" i="156"/>
  <c r="J129" i="156"/>
  <c r="I129" i="156"/>
  <c r="H129" i="156"/>
  <c r="G129" i="156"/>
  <c r="F129" i="156"/>
  <c r="E129" i="156"/>
  <c r="D129" i="156"/>
  <c r="L122" i="156"/>
  <c r="K122" i="156"/>
  <c r="J122" i="156"/>
  <c r="I122" i="156"/>
  <c r="H122" i="156"/>
  <c r="G122" i="156"/>
  <c r="F122" i="156"/>
  <c r="E122" i="156"/>
  <c r="D122" i="156"/>
  <c r="L114" i="156"/>
  <c r="K114" i="156"/>
  <c r="J114" i="156"/>
  <c r="I114" i="156"/>
  <c r="H114" i="156"/>
  <c r="G114" i="156"/>
  <c r="F114" i="156"/>
  <c r="E114" i="156"/>
  <c r="D114" i="156"/>
  <c r="L109" i="156"/>
  <c r="K109" i="156"/>
  <c r="J109" i="156"/>
  <c r="I109" i="156"/>
  <c r="H109" i="156"/>
  <c r="G109" i="156"/>
  <c r="F109" i="156"/>
  <c r="E109" i="156"/>
  <c r="D109" i="156"/>
  <c r="L105" i="156"/>
  <c r="K105" i="156"/>
  <c r="J105" i="156"/>
  <c r="I105" i="156"/>
  <c r="H105" i="156"/>
  <c r="G105" i="156"/>
  <c r="F105" i="156"/>
  <c r="E105" i="156"/>
  <c r="D105" i="156"/>
  <c r="L97" i="156"/>
  <c r="K97" i="156"/>
  <c r="J97" i="156"/>
  <c r="I97" i="156"/>
  <c r="H97" i="156"/>
  <c r="G97" i="156"/>
  <c r="F97" i="156"/>
  <c r="D97" i="156"/>
  <c r="L93" i="156"/>
  <c r="K93" i="156"/>
  <c r="J93" i="156"/>
  <c r="I93" i="156"/>
  <c r="H93" i="156"/>
  <c r="G93" i="156"/>
  <c r="F93" i="156"/>
  <c r="E93" i="156"/>
  <c r="D93" i="156"/>
  <c r="L85" i="156"/>
  <c r="K85" i="156"/>
  <c r="J85" i="156"/>
  <c r="I85" i="156"/>
  <c r="H85" i="156"/>
  <c r="G85" i="156"/>
  <c r="F85" i="156"/>
  <c r="E85" i="156"/>
  <c r="D85" i="156"/>
  <c r="L80" i="156"/>
  <c r="K80" i="156"/>
  <c r="J80" i="156"/>
  <c r="I80" i="156"/>
  <c r="H80" i="156"/>
  <c r="G80" i="156"/>
  <c r="F80" i="156"/>
  <c r="E80" i="156"/>
  <c r="D80" i="156"/>
  <c r="L74" i="156"/>
  <c r="K74" i="156"/>
  <c r="J74" i="156"/>
  <c r="I74" i="156"/>
  <c r="H74" i="156"/>
  <c r="G74" i="156"/>
  <c r="F74" i="156"/>
  <c r="E74" i="156"/>
  <c r="D74" i="156"/>
  <c r="L62" i="156"/>
  <c r="K62" i="156"/>
  <c r="J62" i="156"/>
  <c r="I62" i="156"/>
  <c r="H62" i="156"/>
  <c r="G62" i="156"/>
  <c r="F62" i="156"/>
  <c r="E62" i="156"/>
  <c r="D62" i="156"/>
  <c r="L53" i="156"/>
  <c r="K53" i="156"/>
  <c r="J53" i="156"/>
  <c r="I53" i="156"/>
  <c r="G53" i="156"/>
  <c r="F53" i="156"/>
  <c r="E53" i="156"/>
  <c r="D53" i="156"/>
  <c r="L47" i="156"/>
  <c r="K47" i="156"/>
  <c r="J47" i="156"/>
  <c r="I47" i="156"/>
  <c r="H47" i="156"/>
  <c r="G47" i="156"/>
  <c r="F47" i="156"/>
  <c r="E47" i="156"/>
  <c r="D47" i="156"/>
  <c r="L43" i="156"/>
  <c r="K43" i="156"/>
  <c r="J43" i="156"/>
  <c r="I43" i="156"/>
  <c r="H43" i="156"/>
  <c r="G43" i="156"/>
  <c r="F43" i="156"/>
  <c r="E43" i="156"/>
  <c r="D43" i="156"/>
  <c r="L39" i="156"/>
  <c r="K39" i="156"/>
  <c r="J39" i="156"/>
  <c r="I39" i="156"/>
  <c r="H39" i="156"/>
  <c r="G39" i="156"/>
  <c r="F39" i="156"/>
  <c r="E39" i="156"/>
  <c r="D39" i="156"/>
  <c r="L33" i="156"/>
  <c r="K33" i="156"/>
  <c r="J33" i="156"/>
  <c r="I33" i="156"/>
  <c r="H33" i="156"/>
  <c r="G33" i="156"/>
  <c r="F33" i="156"/>
  <c r="E33" i="156"/>
  <c r="D33" i="156"/>
  <c r="L28" i="156"/>
  <c r="K28" i="156"/>
  <c r="J28" i="156"/>
  <c r="I28" i="156"/>
  <c r="H28" i="156"/>
  <c r="G28" i="156"/>
  <c r="F28" i="156"/>
  <c r="E28" i="156"/>
  <c r="D28" i="156"/>
  <c r="L23" i="156"/>
  <c r="K23" i="156"/>
  <c r="J23" i="156"/>
  <c r="I23" i="156"/>
  <c r="H23" i="156"/>
  <c r="G23" i="156"/>
  <c r="F23" i="156"/>
  <c r="E23" i="156"/>
  <c r="D23" i="156"/>
  <c r="L21" i="155"/>
  <c r="K21" i="155"/>
  <c r="J21" i="155"/>
  <c r="I21" i="155"/>
  <c r="H21" i="155"/>
  <c r="G21" i="155"/>
  <c r="F21" i="155"/>
  <c r="E21" i="155"/>
  <c r="D21" i="155"/>
  <c r="L17" i="155"/>
  <c r="K17" i="155"/>
  <c r="J17" i="155"/>
  <c r="I17" i="155"/>
  <c r="H17" i="155"/>
  <c r="G17" i="155"/>
  <c r="F17" i="155"/>
  <c r="E17" i="155"/>
  <c r="D17" i="155"/>
  <c r="N32" i="154"/>
  <c r="M32" i="154"/>
  <c r="L32" i="154"/>
  <c r="K32" i="154"/>
  <c r="J32" i="154"/>
  <c r="I32" i="154"/>
  <c r="H32" i="154"/>
  <c r="G32" i="154"/>
  <c r="F32" i="154"/>
  <c r="M78" i="153"/>
  <c r="L78" i="153"/>
  <c r="K78" i="153"/>
  <c r="J78" i="153"/>
  <c r="I78" i="153"/>
  <c r="H78" i="153"/>
  <c r="G78" i="153"/>
  <c r="F78" i="153"/>
  <c r="E78" i="153"/>
  <c r="M66" i="153"/>
  <c r="L66" i="153"/>
  <c r="K66" i="153"/>
  <c r="J66" i="153"/>
  <c r="I66" i="153"/>
  <c r="H66" i="153"/>
  <c r="G66" i="153"/>
  <c r="F66" i="153"/>
  <c r="E66" i="153"/>
  <c r="M62" i="153"/>
  <c r="L62" i="153"/>
  <c r="K62" i="153"/>
  <c r="J62" i="153"/>
  <c r="I62" i="153"/>
  <c r="H62" i="153"/>
  <c r="G62" i="153"/>
  <c r="F62" i="153"/>
  <c r="E62" i="153"/>
  <c r="M55" i="153"/>
  <c r="L55" i="153"/>
  <c r="K55" i="153"/>
  <c r="J55" i="153"/>
  <c r="I55" i="153"/>
  <c r="H55" i="153"/>
  <c r="G55" i="153"/>
  <c r="F55" i="153"/>
  <c r="E55" i="153"/>
  <c r="M47" i="153"/>
  <c r="L47" i="153"/>
  <c r="K47" i="153"/>
  <c r="J47" i="153"/>
  <c r="I47" i="153"/>
  <c r="H47" i="153"/>
  <c r="G47" i="153"/>
  <c r="F47" i="153"/>
  <c r="E47" i="153"/>
  <c r="M43" i="153"/>
  <c r="L43" i="153"/>
  <c r="K43" i="153"/>
  <c r="J43" i="153"/>
  <c r="I43" i="153"/>
  <c r="H43" i="153"/>
  <c r="G43" i="153"/>
  <c r="F43" i="153"/>
  <c r="E43" i="153"/>
  <c r="M33" i="153"/>
  <c r="L33" i="153"/>
  <c r="K33" i="153"/>
  <c r="J33" i="153"/>
  <c r="I33" i="153"/>
  <c r="H33" i="153"/>
  <c r="G33" i="153"/>
  <c r="F33" i="153"/>
  <c r="E33" i="153"/>
  <c r="E28" i="153"/>
  <c r="M24" i="153"/>
  <c r="L24" i="153"/>
  <c r="K24" i="153"/>
  <c r="J24" i="153"/>
  <c r="I24" i="153"/>
  <c r="H24" i="153"/>
  <c r="G24" i="153"/>
  <c r="F24" i="153"/>
  <c r="E24" i="153"/>
  <c r="M19" i="153"/>
  <c r="L19" i="153"/>
  <c r="K19" i="153"/>
  <c r="J19" i="153"/>
  <c r="I19" i="153"/>
  <c r="H19" i="153"/>
  <c r="G19" i="153"/>
  <c r="F19" i="153"/>
  <c r="E19" i="153"/>
  <c r="L185" i="152"/>
  <c r="K185" i="152"/>
  <c r="J185" i="152"/>
  <c r="I185" i="152"/>
  <c r="H185" i="152"/>
  <c r="G185" i="152"/>
  <c r="F185" i="152"/>
  <c r="E185" i="152"/>
  <c r="D185" i="152"/>
  <c r="L166" i="152"/>
  <c r="K166" i="152"/>
  <c r="J166" i="152"/>
  <c r="I166" i="152"/>
  <c r="H166" i="152"/>
  <c r="G166" i="152"/>
  <c r="F166" i="152"/>
  <c r="E166" i="152"/>
  <c r="D166" i="152"/>
  <c r="L157" i="152"/>
  <c r="K157" i="152"/>
  <c r="J157" i="152"/>
  <c r="I157" i="152"/>
  <c r="H157" i="152"/>
  <c r="G157" i="152"/>
  <c r="F157" i="152"/>
  <c r="E157" i="152"/>
  <c r="D157" i="152"/>
  <c r="L149" i="152"/>
  <c r="K149" i="152"/>
  <c r="J149" i="152"/>
  <c r="I149" i="152"/>
  <c r="H149" i="152"/>
  <c r="G149" i="152"/>
  <c r="F149" i="152"/>
  <c r="E149" i="152"/>
  <c r="D149" i="152"/>
  <c r="L144" i="152"/>
  <c r="K144" i="152"/>
  <c r="J144" i="152"/>
  <c r="I144" i="152"/>
  <c r="H144" i="152"/>
  <c r="G144" i="152"/>
  <c r="F144" i="152"/>
  <c r="E144" i="152"/>
  <c r="D144" i="152"/>
  <c r="L140" i="152"/>
  <c r="K140" i="152"/>
  <c r="J140" i="152"/>
  <c r="I140" i="152"/>
  <c r="H140" i="152"/>
  <c r="G140" i="152"/>
  <c r="F140" i="152"/>
  <c r="E140" i="152"/>
  <c r="D140" i="152"/>
  <c r="L134" i="152"/>
  <c r="K134" i="152"/>
  <c r="J134" i="152"/>
  <c r="I134" i="152"/>
  <c r="H134" i="152"/>
  <c r="G134" i="152"/>
  <c r="F134" i="152"/>
  <c r="E134" i="152"/>
  <c r="D134" i="152"/>
  <c r="L129" i="152"/>
  <c r="K129" i="152"/>
  <c r="J129" i="152"/>
  <c r="I129" i="152"/>
  <c r="H129" i="152"/>
  <c r="G129" i="152"/>
  <c r="F129" i="152"/>
  <c r="E129" i="152"/>
  <c r="D129" i="152"/>
  <c r="L123" i="152"/>
  <c r="K123" i="152"/>
  <c r="J123" i="152"/>
  <c r="I123" i="152"/>
  <c r="H123" i="152"/>
  <c r="G123" i="152"/>
  <c r="F123" i="152"/>
  <c r="E123" i="152"/>
  <c r="D123" i="152"/>
  <c r="L115" i="152"/>
  <c r="K115" i="152"/>
  <c r="J115" i="152"/>
  <c r="I115" i="152"/>
  <c r="H115" i="152"/>
  <c r="G115" i="152"/>
  <c r="F115" i="152"/>
  <c r="E115" i="152"/>
  <c r="D115" i="152"/>
  <c r="L110" i="152"/>
  <c r="K110" i="152"/>
  <c r="J110" i="152"/>
  <c r="I110" i="152"/>
  <c r="H110" i="152"/>
  <c r="G110" i="152"/>
  <c r="F110" i="152"/>
  <c r="E110" i="152"/>
  <c r="D110" i="152"/>
  <c r="L106" i="152"/>
  <c r="K106" i="152"/>
  <c r="J106" i="152"/>
  <c r="I106" i="152"/>
  <c r="H106" i="152"/>
  <c r="G106" i="152"/>
  <c r="F106" i="152"/>
  <c r="E106" i="152"/>
  <c r="D106" i="152"/>
  <c r="L98" i="152"/>
  <c r="K98" i="152"/>
  <c r="J98" i="152"/>
  <c r="I98" i="152"/>
  <c r="H98" i="152"/>
  <c r="G98" i="152"/>
  <c r="F98" i="152"/>
  <c r="D98" i="152"/>
  <c r="L94" i="152"/>
  <c r="K94" i="152"/>
  <c r="J94" i="152"/>
  <c r="I94" i="152"/>
  <c r="H94" i="152"/>
  <c r="G94" i="152"/>
  <c r="F94" i="152"/>
  <c r="E94" i="152"/>
  <c r="D94" i="152"/>
  <c r="L87" i="152"/>
  <c r="K87" i="152"/>
  <c r="J87" i="152"/>
  <c r="I87" i="152"/>
  <c r="H87" i="152"/>
  <c r="G87" i="152"/>
  <c r="F87" i="152"/>
  <c r="E87" i="152"/>
  <c r="D87" i="152"/>
  <c r="L82" i="152"/>
  <c r="K82" i="152"/>
  <c r="J82" i="152"/>
  <c r="I82" i="152"/>
  <c r="H82" i="152"/>
  <c r="G82" i="152"/>
  <c r="F82" i="152"/>
  <c r="E82" i="152"/>
  <c r="D82" i="152"/>
  <c r="L76" i="152"/>
  <c r="K76" i="152"/>
  <c r="J76" i="152"/>
  <c r="I76" i="152"/>
  <c r="H76" i="152"/>
  <c r="G76" i="152"/>
  <c r="F76" i="152"/>
  <c r="E76" i="152"/>
  <c r="D76" i="152"/>
  <c r="L64" i="152"/>
  <c r="K64" i="152"/>
  <c r="J64" i="152"/>
  <c r="I64" i="152"/>
  <c r="H64" i="152"/>
  <c r="E64" i="152"/>
  <c r="L54" i="152"/>
  <c r="K54" i="152"/>
  <c r="J54" i="152"/>
  <c r="I54" i="152"/>
  <c r="G54" i="152"/>
  <c r="F54" i="152"/>
  <c r="E54" i="152"/>
  <c r="D54" i="152"/>
  <c r="L48" i="152"/>
  <c r="K48" i="152"/>
  <c r="J48" i="152"/>
  <c r="I48" i="152"/>
  <c r="H48" i="152"/>
  <c r="G48" i="152"/>
  <c r="F48" i="152"/>
  <c r="E48" i="152"/>
  <c r="D48" i="152"/>
  <c r="L43" i="152"/>
  <c r="K43" i="152"/>
  <c r="J43" i="152"/>
  <c r="I43" i="152"/>
  <c r="H43" i="152"/>
  <c r="G43" i="152"/>
  <c r="F43" i="152"/>
  <c r="E43" i="152"/>
  <c r="D43" i="152"/>
  <c r="L39" i="152"/>
  <c r="K39" i="152"/>
  <c r="J39" i="152"/>
  <c r="I39" i="152"/>
  <c r="H39" i="152"/>
  <c r="G39" i="152"/>
  <c r="F39" i="152"/>
  <c r="E39" i="152"/>
  <c r="D39" i="152"/>
  <c r="L34" i="152"/>
  <c r="K34" i="152"/>
  <c r="J34" i="152"/>
  <c r="I34" i="152"/>
  <c r="H34" i="152"/>
  <c r="G34" i="152"/>
  <c r="F34" i="152"/>
  <c r="E34" i="152"/>
  <c r="D34" i="152"/>
  <c r="L29" i="152"/>
  <c r="K29" i="152"/>
  <c r="J29" i="152"/>
  <c r="I29" i="152"/>
  <c r="H29" i="152"/>
  <c r="G29" i="152"/>
  <c r="F29" i="152"/>
  <c r="E29" i="152"/>
  <c r="D29" i="152"/>
  <c r="L24" i="152"/>
  <c r="K24" i="152"/>
  <c r="J24" i="152"/>
  <c r="I24" i="152"/>
  <c r="H24" i="152"/>
  <c r="G24" i="152"/>
  <c r="F24" i="152"/>
  <c r="E24" i="152"/>
  <c r="D24" i="152"/>
  <c r="M21" i="151"/>
  <c r="L21" i="151"/>
  <c r="K21" i="151"/>
  <c r="J21" i="151"/>
  <c r="I21" i="151"/>
  <c r="H21" i="151"/>
  <c r="G21" i="151"/>
  <c r="F21" i="151"/>
  <c r="E21" i="151"/>
  <c r="M17" i="151"/>
  <c r="L17" i="151"/>
  <c r="K17" i="151"/>
  <c r="J17" i="151"/>
  <c r="I17" i="151"/>
  <c r="H17" i="151"/>
  <c r="G17" i="151"/>
  <c r="F17" i="151"/>
  <c r="E17" i="151"/>
  <c r="J18" i="150"/>
  <c r="F16" i="150"/>
  <c r="E16" i="150"/>
  <c r="D16" i="150"/>
  <c r="N32" i="149"/>
  <c r="M32" i="149"/>
  <c r="L32" i="149"/>
  <c r="K32" i="149"/>
  <c r="J32" i="149"/>
  <c r="I32" i="149"/>
  <c r="H32" i="149"/>
  <c r="G32" i="149"/>
  <c r="F32" i="149"/>
  <c r="M74" i="148"/>
  <c r="L74" i="148"/>
  <c r="K74" i="148"/>
  <c r="J74" i="148"/>
  <c r="I74" i="148"/>
  <c r="H74" i="148"/>
  <c r="G74" i="148"/>
  <c r="F74" i="148"/>
  <c r="E74" i="148"/>
  <c r="M62" i="148"/>
  <c r="L62" i="148"/>
  <c r="K62" i="148"/>
  <c r="J62" i="148"/>
  <c r="I62" i="148"/>
  <c r="H62" i="148"/>
  <c r="G62" i="148"/>
  <c r="F62" i="148"/>
  <c r="E62" i="148"/>
  <c r="M58" i="148"/>
  <c r="L58" i="148"/>
  <c r="K58" i="148"/>
  <c r="J58" i="148"/>
  <c r="I58" i="148"/>
  <c r="H58" i="148"/>
  <c r="G58" i="148"/>
  <c r="F58" i="148"/>
  <c r="E58" i="148"/>
  <c r="M51" i="148"/>
  <c r="L51" i="148"/>
  <c r="K51" i="148"/>
  <c r="J51" i="148"/>
  <c r="I51" i="148"/>
  <c r="H51" i="148"/>
  <c r="G51" i="148"/>
  <c r="F51" i="148"/>
  <c r="E51" i="148"/>
  <c r="M43" i="148"/>
  <c r="L43" i="148"/>
  <c r="K43" i="148"/>
  <c r="J43" i="148"/>
  <c r="I43" i="148"/>
  <c r="H43" i="148"/>
  <c r="G43" i="148"/>
  <c r="F43" i="148"/>
  <c r="E43" i="148"/>
  <c r="M39" i="148"/>
  <c r="L39" i="148"/>
  <c r="K39" i="148"/>
  <c r="J39" i="148"/>
  <c r="I39" i="148"/>
  <c r="H39" i="148"/>
  <c r="G39" i="148"/>
  <c r="F39" i="148"/>
  <c r="E39" i="148"/>
  <c r="M29" i="148"/>
  <c r="L29" i="148"/>
  <c r="K29" i="148"/>
  <c r="J29" i="148"/>
  <c r="I29" i="148"/>
  <c r="H29" i="148"/>
  <c r="G29" i="148"/>
  <c r="F29" i="148"/>
  <c r="E29" i="148"/>
  <c r="M24" i="148"/>
  <c r="L24" i="148"/>
  <c r="K24" i="148"/>
  <c r="J24" i="148"/>
  <c r="I24" i="148"/>
  <c r="H24" i="148"/>
  <c r="G24" i="148"/>
  <c r="F24" i="148"/>
  <c r="E24" i="148"/>
  <c r="M19" i="148"/>
  <c r="L19" i="148"/>
  <c r="K19" i="148"/>
  <c r="J19" i="148"/>
  <c r="I19" i="148"/>
  <c r="H19" i="148"/>
  <c r="G19" i="148"/>
  <c r="F19" i="148"/>
  <c r="E19" i="148"/>
  <c r="L185" i="147"/>
  <c r="K185" i="147"/>
  <c r="J185" i="147"/>
  <c r="I185" i="147"/>
  <c r="H185" i="147"/>
  <c r="G185" i="147"/>
  <c r="F185" i="147"/>
  <c r="E185" i="147"/>
  <c r="D185" i="147"/>
  <c r="L166" i="147"/>
  <c r="K166" i="147"/>
  <c r="J166" i="147"/>
  <c r="I166" i="147"/>
  <c r="H166" i="147"/>
  <c r="G166" i="147"/>
  <c r="F166" i="147"/>
  <c r="E166" i="147"/>
  <c r="D166" i="147"/>
  <c r="L157" i="147"/>
  <c r="K157" i="147"/>
  <c r="J157" i="147"/>
  <c r="I157" i="147"/>
  <c r="H157" i="147"/>
  <c r="G157" i="147"/>
  <c r="F157" i="147"/>
  <c r="E157" i="147"/>
  <c r="D157" i="147"/>
  <c r="L149" i="147"/>
  <c r="K149" i="147"/>
  <c r="J149" i="147"/>
  <c r="I149" i="147"/>
  <c r="H149" i="147"/>
  <c r="G149" i="147"/>
  <c r="F149" i="147"/>
  <c r="E149" i="147"/>
  <c r="D149" i="147"/>
  <c r="L144" i="147"/>
  <c r="K144" i="147"/>
  <c r="J144" i="147"/>
  <c r="I144" i="147"/>
  <c r="H144" i="147"/>
  <c r="G144" i="147"/>
  <c r="F144" i="147"/>
  <c r="E144" i="147"/>
  <c r="D144" i="147"/>
  <c r="L140" i="147"/>
  <c r="K140" i="147"/>
  <c r="J140" i="147"/>
  <c r="I140" i="147"/>
  <c r="H140" i="147"/>
  <c r="G140" i="147"/>
  <c r="F140" i="147"/>
  <c r="E140" i="147"/>
  <c r="D140" i="147"/>
  <c r="L134" i="147"/>
  <c r="K134" i="147"/>
  <c r="J134" i="147"/>
  <c r="I134" i="147"/>
  <c r="H134" i="147"/>
  <c r="G134" i="147"/>
  <c r="F134" i="147"/>
  <c r="E134" i="147"/>
  <c r="D134" i="147"/>
  <c r="L129" i="147"/>
  <c r="K129" i="147"/>
  <c r="J129" i="147"/>
  <c r="I129" i="147"/>
  <c r="H129" i="147"/>
  <c r="G129" i="147"/>
  <c r="F129" i="147"/>
  <c r="E129" i="147"/>
  <c r="D129" i="147"/>
  <c r="L123" i="147"/>
  <c r="K123" i="147"/>
  <c r="J123" i="147"/>
  <c r="I123" i="147"/>
  <c r="H123" i="147"/>
  <c r="G123" i="147"/>
  <c r="F123" i="147"/>
  <c r="E123" i="147"/>
  <c r="D123" i="147"/>
  <c r="L115" i="147"/>
  <c r="K115" i="147"/>
  <c r="J115" i="147"/>
  <c r="I115" i="147"/>
  <c r="H115" i="147"/>
  <c r="G115" i="147"/>
  <c r="F115" i="147"/>
  <c r="E115" i="147"/>
  <c r="D115" i="147"/>
  <c r="L110" i="147"/>
  <c r="K110" i="147"/>
  <c r="J110" i="147"/>
  <c r="I110" i="147"/>
  <c r="H110" i="147"/>
  <c r="G110" i="147"/>
  <c r="F110" i="147"/>
  <c r="E110" i="147"/>
  <c r="D110" i="147"/>
  <c r="L106" i="147"/>
  <c r="K106" i="147"/>
  <c r="J106" i="147"/>
  <c r="I106" i="147"/>
  <c r="H106" i="147"/>
  <c r="G106" i="147"/>
  <c r="F106" i="147"/>
  <c r="E106" i="147"/>
  <c r="D106" i="147"/>
  <c r="L98" i="147"/>
  <c r="K98" i="147"/>
  <c r="J98" i="147"/>
  <c r="I98" i="147"/>
  <c r="H98" i="147"/>
  <c r="G98" i="147"/>
  <c r="F98" i="147"/>
  <c r="D98" i="147"/>
  <c r="L94" i="147"/>
  <c r="K94" i="147"/>
  <c r="J94" i="147"/>
  <c r="I94" i="147"/>
  <c r="H94" i="147"/>
  <c r="G94" i="147"/>
  <c r="F94" i="147"/>
  <c r="E94" i="147"/>
  <c r="D94" i="147"/>
  <c r="L87" i="147"/>
  <c r="K87" i="147"/>
  <c r="J87" i="147"/>
  <c r="I87" i="147"/>
  <c r="H87" i="147"/>
  <c r="G87" i="147"/>
  <c r="F87" i="147"/>
  <c r="E87" i="147"/>
  <c r="D87" i="147"/>
  <c r="L82" i="147"/>
  <c r="K82" i="147"/>
  <c r="J82" i="147"/>
  <c r="I82" i="147"/>
  <c r="H82" i="147"/>
  <c r="G82" i="147"/>
  <c r="F82" i="147"/>
  <c r="E82" i="147"/>
  <c r="D82" i="147"/>
  <c r="L76" i="147"/>
  <c r="K76" i="147"/>
  <c r="J76" i="147"/>
  <c r="I76" i="147"/>
  <c r="H76" i="147"/>
  <c r="G76" i="147"/>
  <c r="F76" i="147"/>
  <c r="E76" i="147"/>
  <c r="D76" i="147"/>
  <c r="L64" i="147"/>
  <c r="K64" i="147"/>
  <c r="J64" i="147"/>
  <c r="I64" i="147"/>
  <c r="H64" i="147"/>
  <c r="E64" i="147"/>
  <c r="L54" i="147"/>
  <c r="K54" i="147"/>
  <c r="J54" i="147"/>
  <c r="I54" i="147"/>
  <c r="G54" i="147"/>
  <c r="F54" i="147"/>
  <c r="E54" i="147"/>
  <c r="D54" i="147"/>
  <c r="L48" i="147"/>
  <c r="K48" i="147"/>
  <c r="J48" i="147"/>
  <c r="I48" i="147"/>
  <c r="H48" i="147"/>
  <c r="G48" i="147"/>
  <c r="F48" i="147"/>
  <c r="E48" i="147"/>
  <c r="D48" i="147"/>
  <c r="L43" i="147"/>
  <c r="K43" i="147"/>
  <c r="J43" i="147"/>
  <c r="I43" i="147"/>
  <c r="H43" i="147"/>
  <c r="G43" i="147"/>
  <c r="F43" i="147"/>
  <c r="E43" i="147"/>
  <c r="D43" i="147"/>
  <c r="L39" i="147"/>
  <c r="K39" i="147"/>
  <c r="J39" i="147"/>
  <c r="I39" i="147"/>
  <c r="H39" i="147"/>
  <c r="G39" i="147"/>
  <c r="F39" i="147"/>
  <c r="E39" i="147"/>
  <c r="D39" i="147"/>
  <c r="L34" i="147"/>
  <c r="K34" i="147"/>
  <c r="J34" i="147"/>
  <c r="I34" i="147"/>
  <c r="H34" i="147"/>
  <c r="G34" i="147"/>
  <c r="F34" i="147"/>
  <c r="E34" i="147"/>
  <c r="D34" i="147"/>
  <c r="L29" i="147"/>
  <c r="K29" i="147"/>
  <c r="J29" i="147"/>
  <c r="I29" i="147"/>
  <c r="H29" i="147"/>
  <c r="G29" i="147"/>
  <c r="F29" i="147"/>
  <c r="E29" i="147"/>
  <c r="D29" i="147"/>
  <c r="L24" i="147"/>
  <c r="K24" i="147"/>
  <c r="J24" i="147"/>
  <c r="I24" i="147"/>
  <c r="H24" i="147"/>
  <c r="G24" i="147"/>
  <c r="F24" i="147"/>
  <c r="E24" i="147"/>
  <c r="D24" i="147"/>
  <c r="F26" i="146"/>
  <c r="K24" i="146"/>
  <c r="M21" i="146"/>
  <c r="L21" i="146"/>
  <c r="K21" i="146"/>
  <c r="J21" i="146"/>
  <c r="I21" i="146"/>
  <c r="H21" i="146"/>
  <c r="G21" i="146"/>
  <c r="F21" i="146"/>
  <c r="E21" i="146"/>
  <c r="M17" i="146"/>
  <c r="L17" i="146"/>
  <c r="K17" i="146"/>
  <c r="J17" i="146"/>
  <c r="I17" i="146"/>
  <c r="H17" i="146"/>
  <c r="G17" i="146"/>
  <c r="F17" i="146"/>
  <c r="E17" i="146"/>
  <c r="J18" i="145"/>
  <c r="F16" i="145"/>
  <c r="E16" i="145"/>
  <c r="D16" i="145"/>
  <c r="N32" i="144"/>
  <c r="M32" i="144"/>
  <c r="L32" i="144"/>
  <c r="K32" i="144"/>
  <c r="J32" i="144"/>
  <c r="I32" i="144"/>
  <c r="H32" i="144"/>
  <c r="G32" i="144"/>
  <c r="F32" i="144"/>
  <c r="M74" i="143"/>
  <c r="L74" i="143"/>
  <c r="K74" i="143"/>
  <c r="J74" i="143"/>
  <c r="I74" i="143"/>
  <c r="H74" i="143"/>
  <c r="G74" i="143"/>
  <c r="F74" i="143"/>
  <c r="E74" i="143"/>
  <c r="M62" i="143"/>
  <c r="L62" i="143"/>
  <c r="K62" i="143"/>
  <c r="J62" i="143"/>
  <c r="I62" i="143"/>
  <c r="H62" i="143"/>
  <c r="G62" i="143"/>
  <c r="F62" i="143"/>
  <c r="E62" i="143"/>
  <c r="M58" i="143"/>
  <c r="L58" i="143"/>
  <c r="K58" i="143"/>
  <c r="J58" i="143"/>
  <c r="I58" i="143"/>
  <c r="H58" i="143"/>
  <c r="G58" i="143"/>
  <c r="F58" i="143"/>
  <c r="E58" i="143"/>
  <c r="M51" i="143"/>
  <c r="L51" i="143"/>
  <c r="K51" i="143"/>
  <c r="J51" i="143"/>
  <c r="I51" i="143"/>
  <c r="H51" i="143"/>
  <c r="G51" i="143"/>
  <c r="F51" i="143"/>
  <c r="E51" i="143"/>
  <c r="M43" i="143"/>
  <c r="L43" i="143"/>
  <c r="K43" i="143"/>
  <c r="J43" i="143"/>
  <c r="I43" i="143"/>
  <c r="H43" i="143"/>
  <c r="G43" i="143"/>
  <c r="F43" i="143"/>
  <c r="E43" i="143"/>
  <c r="M39" i="143"/>
  <c r="L39" i="143"/>
  <c r="K39" i="143"/>
  <c r="J39" i="143"/>
  <c r="I39" i="143"/>
  <c r="H39" i="143"/>
  <c r="G39" i="143"/>
  <c r="F39" i="143"/>
  <c r="E39" i="143"/>
  <c r="M29" i="143"/>
  <c r="L29" i="143"/>
  <c r="K29" i="143"/>
  <c r="J29" i="143"/>
  <c r="I29" i="143"/>
  <c r="H29" i="143"/>
  <c r="G29" i="143"/>
  <c r="F29" i="143"/>
  <c r="E29" i="143"/>
  <c r="M24" i="143"/>
  <c r="L24" i="143"/>
  <c r="K24" i="143"/>
  <c r="J24" i="143"/>
  <c r="I24" i="143"/>
  <c r="H24" i="143"/>
  <c r="G24" i="143"/>
  <c r="F24" i="143"/>
  <c r="E24" i="143"/>
  <c r="M19" i="143"/>
  <c r="L19" i="143"/>
  <c r="K19" i="143"/>
  <c r="J19" i="143"/>
  <c r="I19" i="143"/>
  <c r="H19" i="143"/>
  <c r="G19" i="143"/>
  <c r="F19" i="143"/>
  <c r="E19" i="143"/>
  <c r="L181" i="142"/>
  <c r="K181" i="142"/>
  <c r="J181" i="142"/>
  <c r="I181" i="142"/>
  <c r="H181" i="142"/>
  <c r="G181" i="142"/>
  <c r="F181" i="142"/>
  <c r="E181" i="142"/>
  <c r="D181" i="142"/>
  <c r="L162" i="142"/>
  <c r="K162" i="142"/>
  <c r="J162" i="142"/>
  <c r="I162" i="142"/>
  <c r="H162" i="142"/>
  <c r="G162" i="142"/>
  <c r="F162" i="142"/>
  <c r="E162" i="142"/>
  <c r="D162" i="142"/>
  <c r="L153" i="142"/>
  <c r="K153" i="142"/>
  <c r="J153" i="142"/>
  <c r="I153" i="142"/>
  <c r="H153" i="142"/>
  <c r="G153" i="142"/>
  <c r="F153" i="142"/>
  <c r="E153" i="142"/>
  <c r="D153" i="142"/>
  <c r="L145" i="142"/>
  <c r="K145" i="142"/>
  <c r="J145" i="142"/>
  <c r="I145" i="142"/>
  <c r="H145" i="142"/>
  <c r="G145" i="142"/>
  <c r="F145" i="142"/>
  <c r="E145" i="142"/>
  <c r="D145" i="142"/>
  <c r="L140" i="142"/>
  <c r="K140" i="142"/>
  <c r="J140" i="142"/>
  <c r="I140" i="142"/>
  <c r="H140" i="142"/>
  <c r="G140" i="142"/>
  <c r="F140" i="142"/>
  <c r="E140" i="142"/>
  <c r="D140" i="142"/>
  <c r="L136" i="142"/>
  <c r="K136" i="142"/>
  <c r="J136" i="142"/>
  <c r="I136" i="142"/>
  <c r="H136" i="142"/>
  <c r="G136" i="142"/>
  <c r="F136" i="142"/>
  <c r="E136" i="142"/>
  <c r="D136" i="142"/>
  <c r="L130" i="142"/>
  <c r="K130" i="142"/>
  <c r="J130" i="142"/>
  <c r="I130" i="142"/>
  <c r="H130" i="142"/>
  <c r="G130" i="142"/>
  <c r="F130" i="142"/>
  <c r="E130" i="142"/>
  <c r="D130" i="142"/>
  <c r="L125" i="142"/>
  <c r="K125" i="142"/>
  <c r="J125" i="142"/>
  <c r="I125" i="142"/>
  <c r="H125" i="142"/>
  <c r="G125" i="142"/>
  <c r="F125" i="142"/>
  <c r="E125" i="142"/>
  <c r="D125" i="142"/>
  <c r="L121" i="142"/>
  <c r="K121" i="142"/>
  <c r="J121" i="142"/>
  <c r="I121" i="142"/>
  <c r="H121" i="142"/>
  <c r="G121" i="142"/>
  <c r="F121" i="142"/>
  <c r="E121" i="142"/>
  <c r="D121" i="142"/>
  <c r="L113" i="142"/>
  <c r="K113" i="142"/>
  <c r="J113" i="142"/>
  <c r="I113" i="142"/>
  <c r="H113" i="142"/>
  <c r="G113" i="142"/>
  <c r="F113" i="142"/>
  <c r="E113" i="142"/>
  <c r="D113" i="142"/>
  <c r="L108" i="142"/>
  <c r="K108" i="142"/>
  <c r="J108" i="142"/>
  <c r="I108" i="142"/>
  <c r="H108" i="142"/>
  <c r="G108" i="142"/>
  <c r="F108" i="142"/>
  <c r="E108" i="142"/>
  <c r="D108" i="142"/>
  <c r="L104" i="142"/>
  <c r="K104" i="142"/>
  <c r="J104" i="142"/>
  <c r="I104" i="142"/>
  <c r="H104" i="142"/>
  <c r="G104" i="142"/>
  <c r="F104" i="142"/>
  <c r="E104" i="142"/>
  <c r="D104" i="142"/>
  <c r="L96" i="142"/>
  <c r="K96" i="142"/>
  <c r="J96" i="142"/>
  <c r="I96" i="142"/>
  <c r="H96" i="142"/>
  <c r="G96" i="142"/>
  <c r="F96" i="142"/>
  <c r="E96" i="142"/>
  <c r="D96" i="142"/>
  <c r="L91" i="142"/>
  <c r="K91" i="142"/>
  <c r="J91" i="142"/>
  <c r="I91" i="142"/>
  <c r="H91" i="142"/>
  <c r="G91" i="142"/>
  <c r="F91" i="142"/>
  <c r="E91" i="142"/>
  <c r="D91" i="142"/>
  <c r="L84" i="142"/>
  <c r="K84" i="142"/>
  <c r="J84" i="142"/>
  <c r="I84" i="142"/>
  <c r="H84" i="142"/>
  <c r="G84" i="142"/>
  <c r="F84" i="142"/>
  <c r="E84" i="142"/>
  <c r="D84" i="142"/>
  <c r="L79" i="142"/>
  <c r="K79" i="142"/>
  <c r="J79" i="142"/>
  <c r="I79" i="142"/>
  <c r="H79" i="142"/>
  <c r="G79" i="142"/>
  <c r="F79" i="142"/>
  <c r="E79" i="142"/>
  <c r="D79" i="142"/>
  <c r="L73" i="142"/>
  <c r="K73" i="142"/>
  <c r="J73" i="142"/>
  <c r="I73" i="142"/>
  <c r="H73" i="142"/>
  <c r="G73" i="142"/>
  <c r="F73" i="142"/>
  <c r="E73" i="142"/>
  <c r="D73" i="142"/>
  <c r="L60" i="142"/>
  <c r="K60" i="142"/>
  <c r="J60" i="142"/>
  <c r="I60" i="142"/>
  <c r="H60" i="142"/>
  <c r="E60" i="142"/>
  <c r="L50" i="142"/>
  <c r="K50" i="142"/>
  <c r="J50" i="142"/>
  <c r="I50" i="142"/>
  <c r="G50" i="142"/>
  <c r="F50" i="142"/>
  <c r="E50" i="142"/>
  <c r="D50" i="142"/>
  <c r="L44" i="142"/>
  <c r="K44" i="142"/>
  <c r="J44" i="142"/>
  <c r="I44" i="142"/>
  <c r="H44" i="142"/>
  <c r="G44" i="142"/>
  <c r="F44" i="142"/>
  <c r="E44" i="142"/>
  <c r="D44" i="142"/>
  <c r="L39" i="142"/>
  <c r="K39" i="142"/>
  <c r="J39" i="142"/>
  <c r="I39" i="142"/>
  <c r="H39" i="142"/>
  <c r="G39" i="142"/>
  <c r="F39" i="142"/>
  <c r="E39" i="142"/>
  <c r="D39" i="142"/>
  <c r="L34" i="142"/>
  <c r="K34" i="142"/>
  <c r="J34" i="142"/>
  <c r="I34" i="142"/>
  <c r="H34" i="142"/>
  <c r="G34" i="142"/>
  <c r="F34" i="142"/>
  <c r="E34" i="142"/>
  <c r="D34" i="142"/>
  <c r="L29" i="142"/>
  <c r="K29" i="142"/>
  <c r="J29" i="142"/>
  <c r="I29" i="142"/>
  <c r="H29" i="142"/>
  <c r="G29" i="142"/>
  <c r="F29" i="142"/>
  <c r="E29" i="142"/>
  <c r="D29" i="142"/>
  <c r="L24" i="142"/>
  <c r="K24" i="142"/>
  <c r="J24" i="142"/>
  <c r="I24" i="142"/>
  <c r="H24" i="142"/>
  <c r="G24" i="142"/>
  <c r="F24" i="142"/>
  <c r="E24" i="142"/>
  <c r="D24" i="142"/>
  <c r="F26" i="141"/>
  <c r="K24" i="141"/>
  <c r="M21" i="141"/>
  <c r="L21" i="141"/>
  <c r="K21" i="141"/>
  <c r="J21" i="141"/>
  <c r="I21" i="141"/>
  <c r="H21" i="141"/>
  <c r="G21" i="141"/>
  <c r="F21" i="141"/>
  <c r="E21" i="141"/>
  <c r="M17" i="141"/>
  <c r="L17" i="141"/>
  <c r="K17" i="141"/>
  <c r="J17" i="141"/>
  <c r="I17" i="141"/>
  <c r="H17" i="141"/>
  <c r="G17" i="141"/>
  <c r="F17" i="141"/>
  <c r="E17" i="141"/>
  <c r="J18" i="140"/>
  <c r="F16" i="140"/>
  <c r="E16" i="140"/>
  <c r="D16" i="140"/>
  <c r="N32" i="139"/>
  <c r="M32" i="139"/>
  <c r="L32" i="139"/>
  <c r="K32" i="139"/>
  <c r="J32" i="139"/>
  <c r="I32" i="139"/>
  <c r="H32" i="139"/>
  <c r="G32" i="139"/>
  <c r="F32" i="139"/>
  <c r="M78" i="138"/>
  <c r="L78" i="138"/>
  <c r="K78" i="138"/>
  <c r="J78" i="138"/>
  <c r="I78" i="138"/>
  <c r="H78" i="138"/>
  <c r="G78" i="138"/>
  <c r="F78" i="138"/>
  <c r="E78" i="138"/>
  <c r="M66" i="138"/>
  <c r="L66" i="138"/>
  <c r="K66" i="138"/>
  <c r="J66" i="138"/>
  <c r="I66" i="138"/>
  <c r="H66" i="138"/>
  <c r="G66" i="138"/>
  <c r="F66" i="138"/>
  <c r="E66" i="138"/>
  <c r="M62" i="138"/>
  <c r="L62" i="138"/>
  <c r="K62" i="138"/>
  <c r="J62" i="138"/>
  <c r="I62" i="138"/>
  <c r="H62" i="138"/>
  <c r="G62" i="138"/>
  <c r="F62" i="138"/>
  <c r="E62" i="138"/>
  <c r="M55" i="138"/>
  <c r="L55" i="138"/>
  <c r="K55" i="138"/>
  <c r="J55" i="138"/>
  <c r="I55" i="138"/>
  <c r="H55" i="138"/>
  <c r="G55" i="138"/>
  <c r="F55" i="138"/>
  <c r="E55" i="138"/>
  <c r="M47" i="138"/>
  <c r="L47" i="138"/>
  <c r="K47" i="138"/>
  <c r="J47" i="138"/>
  <c r="I47" i="138"/>
  <c r="H47" i="138"/>
  <c r="G47" i="138"/>
  <c r="F47" i="138"/>
  <c r="E47" i="138"/>
  <c r="M43" i="138"/>
  <c r="L43" i="138"/>
  <c r="K43" i="138"/>
  <c r="J43" i="138"/>
  <c r="I43" i="138"/>
  <c r="H43" i="138"/>
  <c r="G43" i="138"/>
  <c r="F43" i="138"/>
  <c r="E43" i="138"/>
  <c r="M37" i="138"/>
  <c r="L37" i="138"/>
  <c r="K37" i="138"/>
  <c r="J37" i="138"/>
  <c r="I37" i="138"/>
  <c r="H37" i="138"/>
  <c r="G37" i="138"/>
  <c r="F37" i="138"/>
  <c r="E37" i="138"/>
  <c r="M32" i="138"/>
  <c r="L32" i="138"/>
  <c r="K32" i="138"/>
  <c r="J32" i="138"/>
  <c r="I32" i="138"/>
  <c r="H32" i="138"/>
  <c r="G32" i="138"/>
  <c r="F32" i="138"/>
  <c r="E32" i="138"/>
  <c r="M24" i="138"/>
  <c r="L24" i="138"/>
  <c r="K24" i="138"/>
  <c r="J24" i="138"/>
  <c r="I24" i="138"/>
  <c r="H24" i="138"/>
  <c r="G24" i="138"/>
  <c r="F24" i="138"/>
  <c r="E24" i="138"/>
  <c r="M19" i="138"/>
  <c r="L19" i="138"/>
  <c r="K19" i="138"/>
  <c r="J19" i="138"/>
  <c r="I19" i="138"/>
  <c r="H19" i="138"/>
  <c r="G19" i="138"/>
  <c r="F19" i="138"/>
  <c r="E19" i="138"/>
  <c r="L182" i="137"/>
  <c r="K182" i="137"/>
  <c r="J182" i="137"/>
  <c r="I182" i="137"/>
  <c r="H182" i="137"/>
  <c r="G182" i="137"/>
  <c r="F182" i="137"/>
  <c r="E182" i="137"/>
  <c r="D182" i="137"/>
  <c r="L163" i="137"/>
  <c r="K163" i="137"/>
  <c r="J163" i="137"/>
  <c r="I163" i="137"/>
  <c r="H163" i="137"/>
  <c r="G163" i="137"/>
  <c r="F163" i="137"/>
  <c r="E163" i="137"/>
  <c r="D163" i="137"/>
  <c r="L154" i="137"/>
  <c r="K154" i="137"/>
  <c r="J154" i="137"/>
  <c r="I154" i="137"/>
  <c r="H154" i="137"/>
  <c r="G154" i="137"/>
  <c r="F154" i="137"/>
  <c r="E154" i="137"/>
  <c r="D154" i="137"/>
  <c r="L146" i="137"/>
  <c r="K146" i="137"/>
  <c r="J146" i="137"/>
  <c r="I146" i="137"/>
  <c r="H146" i="137"/>
  <c r="G146" i="137"/>
  <c r="F146" i="137"/>
  <c r="E146" i="137"/>
  <c r="D146" i="137"/>
  <c r="L140" i="137"/>
  <c r="K140" i="137"/>
  <c r="J140" i="137"/>
  <c r="I140" i="137"/>
  <c r="H140" i="137"/>
  <c r="G140" i="137"/>
  <c r="F140" i="137"/>
  <c r="E140" i="137"/>
  <c r="D140" i="137"/>
  <c r="L136" i="137"/>
  <c r="K136" i="137"/>
  <c r="J136" i="137"/>
  <c r="I136" i="137"/>
  <c r="H136" i="137"/>
  <c r="G136" i="137"/>
  <c r="F136" i="137"/>
  <c r="E136" i="137"/>
  <c r="D136" i="137"/>
  <c r="L130" i="137"/>
  <c r="K130" i="137"/>
  <c r="J130" i="137"/>
  <c r="I130" i="137"/>
  <c r="H130" i="137"/>
  <c r="G130" i="137"/>
  <c r="F130" i="137"/>
  <c r="E130" i="137"/>
  <c r="D130" i="137"/>
  <c r="L125" i="137"/>
  <c r="K125" i="137"/>
  <c r="J125" i="137"/>
  <c r="I125" i="137"/>
  <c r="H125" i="137"/>
  <c r="G125" i="137"/>
  <c r="F125" i="137"/>
  <c r="E125" i="137"/>
  <c r="D125" i="137"/>
  <c r="L121" i="137"/>
  <c r="K121" i="137"/>
  <c r="J121" i="137"/>
  <c r="I121" i="137"/>
  <c r="H121" i="137"/>
  <c r="G121" i="137"/>
  <c r="F121" i="137"/>
  <c r="E121" i="137"/>
  <c r="D121" i="137"/>
  <c r="L113" i="137"/>
  <c r="K113" i="137"/>
  <c r="J113" i="137"/>
  <c r="I113" i="137"/>
  <c r="H113" i="137"/>
  <c r="G113" i="137"/>
  <c r="F113" i="137"/>
  <c r="E113" i="137"/>
  <c r="D113" i="137"/>
  <c r="L108" i="137"/>
  <c r="K108" i="137"/>
  <c r="J108" i="137"/>
  <c r="I108" i="137"/>
  <c r="H108" i="137"/>
  <c r="G108" i="137"/>
  <c r="F108" i="137"/>
  <c r="E108" i="137"/>
  <c r="D108" i="137"/>
  <c r="L104" i="137"/>
  <c r="K104" i="137"/>
  <c r="J104" i="137"/>
  <c r="I104" i="137"/>
  <c r="H104" i="137"/>
  <c r="G104" i="137"/>
  <c r="F104" i="137"/>
  <c r="E104" i="137"/>
  <c r="D104" i="137"/>
  <c r="L96" i="137"/>
  <c r="K96" i="137"/>
  <c r="J96" i="137"/>
  <c r="I96" i="137"/>
  <c r="H96" i="137"/>
  <c r="G96" i="137"/>
  <c r="F96" i="137"/>
  <c r="E96" i="137"/>
  <c r="D96" i="137"/>
  <c r="L91" i="137"/>
  <c r="K91" i="137"/>
  <c r="J91" i="137"/>
  <c r="I91" i="137"/>
  <c r="H91" i="137"/>
  <c r="G91" i="137"/>
  <c r="F91" i="137"/>
  <c r="E91" i="137"/>
  <c r="D91" i="137"/>
  <c r="L84" i="137"/>
  <c r="K84" i="137"/>
  <c r="J84" i="137"/>
  <c r="I84" i="137"/>
  <c r="H84" i="137"/>
  <c r="G84" i="137"/>
  <c r="F84" i="137"/>
  <c r="E84" i="137"/>
  <c r="D84" i="137"/>
  <c r="L79" i="137"/>
  <c r="K79" i="137"/>
  <c r="J79" i="137"/>
  <c r="I79" i="137"/>
  <c r="H79" i="137"/>
  <c r="G79" i="137"/>
  <c r="F79" i="137"/>
  <c r="E79" i="137"/>
  <c r="D79" i="137"/>
  <c r="L73" i="137"/>
  <c r="K73" i="137"/>
  <c r="J73" i="137"/>
  <c r="I73" i="137"/>
  <c r="H73" i="137"/>
  <c r="G73" i="137"/>
  <c r="F73" i="137"/>
  <c r="E73" i="137"/>
  <c r="D73" i="137"/>
  <c r="L60" i="137"/>
  <c r="K60" i="137"/>
  <c r="J60" i="137"/>
  <c r="I60" i="137"/>
  <c r="H60" i="137"/>
  <c r="G60" i="137"/>
  <c r="F60" i="137"/>
  <c r="E60" i="137"/>
  <c r="D60" i="137"/>
  <c r="L50" i="137"/>
  <c r="K50" i="137"/>
  <c r="J50" i="137"/>
  <c r="I50" i="137"/>
  <c r="G50" i="137"/>
  <c r="F50" i="137"/>
  <c r="E50" i="137"/>
  <c r="D50" i="137"/>
  <c r="L44" i="137"/>
  <c r="K44" i="137"/>
  <c r="J44" i="137"/>
  <c r="I44" i="137"/>
  <c r="G44" i="137"/>
  <c r="F44" i="137"/>
  <c r="E44" i="137"/>
  <c r="D44" i="137"/>
  <c r="L39" i="137"/>
  <c r="K39" i="137"/>
  <c r="J39" i="137"/>
  <c r="I39" i="137"/>
  <c r="H39" i="137"/>
  <c r="G39" i="137"/>
  <c r="F39" i="137"/>
  <c r="E39" i="137"/>
  <c r="D39" i="137"/>
  <c r="L34" i="137"/>
  <c r="K34" i="137"/>
  <c r="J34" i="137"/>
  <c r="I34" i="137"/>
  <c r="H34" i="137"/>
  <c r="G34" i="137"/>
  <c r="F34" i="137"/>
  <c r="E34" i="137"/>
  <c r="D34" i="137"/>
  <c r="L29" i="137"/>
  <c r="K29" i="137"/>
  <c r="J29" i="137"/>
  <c r="I29" i="137"/>
  <c r="H29" i="137"/>
  <c r="G29" i="137"/>
  <c r="F29" i="137"/>
  <c r="E29" i="137"/>
  <c r="D29" i="137"/>
  <c r="L24" i="137"/>
  <c r="K24" i="137"/>
  <c r="J24" i="137"/>
  <c r="I24" i="137"/>
  <c r="H24" i="137"/>
  <c r="G24" i="137"/>
  <c r="F24" i="137"/>
  <c r="E24" i="137"/>
  <c r="D24" i="137"/>
  <c r="N32" i="136"/>
  <c r="M32" i="136"/>
  <c r="L32" i="136"/>
  <c r="K32" i="136"/>
  <c r="J32" i="136"/>
  <c r="I32" i="136"/>
  <c r="H32" i="136"/>
  <c r="G32" i="136"/>
  <c r="F32" i="136"/>
  <c r="J18" i="135"/>
  <c r="F16" i="135"/>
  <c r="E16" i="135"/>
  <c r="D16" i="135"/>
  <c r="L16" i="134"/>
  <c r="K16" i="134"/>
  <c r="J16" i="134"/>
  <c r="I16" i="134"/>
  <c r="H16" i="134"/>
  <c r="G16" i="134"/>
  <c r="F16" i="134"/>
  <c r="E16" i="134"/>
  <c r="D16" i="134"/>
  <c r="F26" i="133"/>
  <c r="K24" i="133"/>
  <c r="M21" i="133"/>
  <c r="L21" i="133"/>
  <c r="K21" i="133"/>
  <c r="J21" i="133"/>
  <c r="I21" i="133"/>
  <c r="H21" i="133"/>
  <c r="G21" i="133"/>
  <c r="F21" i="133"/>
  <c r="E21" i="133"/>
  <c r="M17" i="133"/>
  <c r="L17" i="133"/>
  <c r="K17" i="133"/>
  <c r="J17" i="133"/>
  <c r="I17" i="133"/>
  <c r="H17" i="133"/>
  <c r="G17" i="133"/>
  <c r="F17" i="133"/>
  <c r="E17" i="133"/>
  <c r="M78" i="132"/>
  <c r="L78" i="132"/>
  <c r="K78" i="132"/>
  <c r="J78" i="132"/>
  <c r="I78" i="132"/>
  <c r="H78" i="132"/>
  <c r="G78" i="132"/>
  <c r="F78" i="132"/>
  <c r="E78" i="132"/>
  <c r="M66" i="132"/>
  <c r="L66" i="132"/>
  <c r="K66" i="132"/>
  <c r="J66" i="132"/>
  <c r="I66" i="132"/>
  <c r="H66" i="132"/>
  <c r="G66" i="132"/>
  <c r="F66" i="132"/>
  <c r="E66" i="132"/>
  <c r="M62" i="132"/>
  <c r="L62" i="132"/>
  <c r="K62" i="132"/>
  <c r="J62" i="132"/>
  <c r="I62" i="132"/>
  <c r="H62" i="132"/>
  <c r="G62" i="132"/>
  <c r="F62" i="132"/>
  <c r="E62" i="132"/>
  <c r="M55" i="132"/>
  <c r="L55" i="132"/>
  <c r="K55" i="132"/>
  <c r="J55" i="132"/>
  <c r="I55" i="132"/>
  <c r="H55" i="132"/>
  <c r="G55" i="132"/>
  <c r="F55" i="132"/>
  <c r="E55" i="132"/>
  <c r="M47" i="132"/>
  <c r="L47" i="132"/>
  <c r="K47" i="132"/>
  <c r="J47" i="132"/>
  <c r="I47" i="132"/>
  <c r="H47" i="132"/>
  <c r="G47" i="132"/>
  <c r="F47" i="132"/>
  <c r="E47" i="132"/>
  <c r="M43" i="132"/>
  <c r="L43" i="132"/>
  <c r="K43" i="132"/>
  <c r="J43" i="132"/>
  <c r="I43" i="132"/>
  <c r="H43" i="132"/>
  <c r="G43" i="132"/>
  <c r="F43" i="132"/>
  <c r="E43" i="132"/>
  <c r="M37" i="132"/>
  <c r="L37" i="132"/>
  <c r="K37" i="132"/>
  <c r="J37" i="132"/>
  <c r="I37" i="132"/>
  <c r="H37" i="132"/>
  <c r="G37" i="132"/>
  <c r="F37" i="132"/>
  <c r="E37" i="132"/>
  <c r="M32" i="132"/>
  <c r="L32" i="132"/>
  <c r="K32" i="132"/>
  <c r="J32" i="132"/>
  <c r="I32" i="132"/>
  <c r="H32" i="132"/>
  <c r="G32" i="132"/>
  <c r="F32" i="132"/>
  <c r="E32" i="132"/>
  <c r="M24" i="132"/>
  <c r="L24" i="132"/>
  <c r="K24" i="132"/>
  <c r="J24" i="132"/>
  <c r="I24" i="132"/>
  <c r="H24" i="132"/>
  <c r="G24" i="132"/>
  <c r="F24" i="132"/>
  <c r="E24" i="132"/>
  <c r="M19" i="132"/>
  <c r="L19" i="132"/>
  <c r="K19" i="132"/>
  <c r="J19" i="132"/>
  <c r="I19" i="132"/>
  <c r="H19" i="132"/>
  <c r="G19" i="132"/>
  <c r="F19" i="132"/>
  <c r="E19" i="132"/>
  <c r="L181" i="131"/>
  <c r="J181" i="131"/>
  <c r="I181" i="131"/>
  <c r="H181" i="131"/>
  <c r="G181" i="131"/>
  <c r="F181" i="131"/>
  <c r="E181" i="131"/>
  <c r="D181" i="131"/>
  <c r="L162" i="131"/>
  <c r="K162" i="131"/>
  <c r="J162" i="131"/>
  <c r="I162" i="131"/>
  <c r="H162" i="131"/>
  <c r="G162" i="131"/>
  <c r="F162" i="131"/>
  <c r="E162" i="131"/>
  <c r="D162" i="131"/>
  <c r="L153" i="131"/>
  <c r="K153" i="131"/>
  <c r="J153" i="131"/>
  <c r="I153" i="131"/>
  <c r="H153" i="131"/>
  <c r="G153" i="131"/>
  <c r="F153" i="131"/>
  <c r="E153" i="131"/>
  <c r="D153" i="131"/>
  <c r="L145" i="131"/>
  <c r="K145" i="131"/>
  <c r="J145" i="131"/>
  <c r="I145" i="131"/>
  <c r="H145" i="131"/>
  <c r="G145" i="131"/>
  <c r="F145" i="131"/>
  <c r="E145" i="131"/>
  <c r="D145" i="131"/>
  <c r="L139" i="131"/>
  <c r="K139" i="131"/>
  <c r="J139" i="131"/>
  <c r="I139" i="131"/>
  <c r="H139" i="131"/>
  <c r="G139" i="131"/>
  <c r="F139" i="131"/>
  <c r="E139" i="131"/>
  <c r="D139" i="131"/>
  <c r="L135" i="131"/>
  <c r="K135" i="131"/>
  <c r="J135" i="131"/>
  <c r="I135" i="131"/>
  <c r="H135" i="131"/>
  <c r="G135" i="131"/>
  <c r="F135" i="131"/>
  <c r="E135" i="131"/>
  <c r="D135" i="131"/>
  <c r="L129" i="131"/>
  <c r="K129" i="131"/>
  <c r="J129" i="131"/>
  <c r="I129" i="131"/>
  <c r="H129" i="131"/>
  <c r="G129" i="131"/>
  <c r="F129" i="131"/>
  <c r="E129" i="131"/>
  <c r="D129" i="131"/>
  <c r="L124" i="131"/>
  <c r="K124" i="131"/>
  <c r="J124" i="131"/>
  <c r="I124" i="131"/>
  <c r="H124" i="131"/>
  <c r="G124" i="131"/>
  <c r="F124" i="131"/>
  <c r="E124" i="131"/>
  <c r="D124" i="131"/>
  <c r="L120" i="131"/>
  <c r="K120" i="131"/>
  <c r="J120" i="131"/>
  <c r="I120" i="131"/>
  <c r="H120" i="131"/>
  <c r="G120" i="131"/>
  <c r="F120" i="131"/>
  <c r="E120" i="131"/>
  <c r="D120" i="131"/>
  <c r="L112" i="131"/>
  <c r="K112" i="131"/>
  <c r="J112" i="131"/>
  <c r="I112" i="131"/>
  <c r="H112" i="131"/>
  <c r="G112" i="131"/>
  <c r="F112" i="131"/>
  <c r="E112" i="131"/>
  <c r="D112" i="131"/>
  <c r="L107" i="131"/>
  <c r="K107" i="131"/>
  <c r="J107" i="131"/>
  <c r="I107" i="131"/>
  <c r="H107" i="131"/>
  <c r="G107" i="131"/>
  <c r="F107" i="131"/>
  <c r="E107" i="131"/>
  <c r="D107" i="131"/>
  <c r="L103" i="131"/>
  <c r="K103" i="131"/>
  <c r="J103" i="131"/>
  <c r="I103" i="131"/>
  <c r="H103" i="131"/>
  <c r="G103" i="131"/>
  <c r="F103" i="131"/>
  <c r="E103" i="131"/>
  <c r="D103" i="131"/>
  <c r="L95" i="131"/>
  <c r="K95" i="131"/>
  <c r="J95" i="131"/>
  <c r="I95" i="131"/>
  <c r="H95" i="131"/>
  <c r="G95" i="131"/>
  <c r="F95" i="131"/>
  <c r="E95" i="131"/>
  <c r="D95" i="131"/>
  <c r="L90" i="131"/>
  <c r="K90" i="131"/>
  <c r="J90" i="131"/>
  <c r="I90" i="131"/>
  <c r="H90" i="131"/>
  <c r="G90" i="131"/>
  <c r="F90" i="131"/>
  <c r="E90" i="131"/>
  <c r="D90" i="131"/>
  <c r="L84" i="131"/>
  <c r="K84" i="131"/>
  <c r="J84" i="131"/>
  <c r="I84" i="131"/>
  <c r="H84" i="131"/>
  <c r="G84" i="131"/>
  <c r="F84" i="131"/>
  <c r="E84" i="131"/>
  <c r="D84" i="131"/>
  <c r="L79" i="131"/>
  <c r="K79" i="131"/>
  <c r="J79" i="131"/>
  <c r="I79" i="131"/>
  <c r="H79" i="131"/>
  <c r="G79" i="131"/>
  <c r="F79" i="131"/>
  <c r="E79" i="131"/>
  <c r="D79" i="131"/>
  <c r="L73" i="131"/>
  <c r="K73" i="131"/>
  <c r="J73" i="131"/>
  <c r="I73" i="131"/>
  <c r="H73" i="131"/>
  <c r="G73" i="131"/>
  <c r="F73" i="131"/>
  <c r="E73" i="131"/>
  <c r="D73" i="131"/>
  <c r="L60" i="131"/>
  <c r="K60" i="131"/>
  <c r="J60" i="131"/>
  <c r="I60" i="131"/>
  <c r="H60" i="131"/>
  <c r="G60" i="131"/>
  <c r="F60" i="131"/>
  <c r="E60" i="131"/>
  <c r="D60" i="131"/>
  <c r="L50" i="131"/>
  <c r="K50" i="131"/>
  <c r="J50" i="131"/>
  <c r="I50" i="131"/>
  <c r="G50" i="131"/>
  <c r="F50" i="131"/>
  <c r="E50" i="131"/>
  <c r="D50" i="131"/>
  <c r="L44" i="131"/>
  <c r="K44" i="131"/>
  <c r="J44" i="131"/>
  <c r="I44" i="131"/>
  <c r="G44" i="131"/>
  <c r="F44" i="131"/>
  <c r="E44" i="131"/>
  <c r="D44" i="131"/>
  <c r="L39" i="131"/>
  <c r="K39" i="131"/>
  <c r="J39" i="131"/>
  <c r="I39" i="131"/>
  <c r="H39" i="131"/>
  <c r="G39" i="131"/>
  <c r="F39" i="131"/>
  <c r="E39" i="131"/>
  <c r="D39" i="131"/>
  <c r="L34" i="131"/>
  <c r="K34" i="131"/>
  <c r="J34" i="131"/>
  <c r="I34" i="131"/>
  <c r="H34" i="131"/>
  <c r="G34" i="131"/>
  <c r="F34" i="131"/>
  <c r="E34" i="131"/>
  <c r="D34" i="131"/>
  <c r="L29" i="131"/>
  <c r="K29" i="131"/>
  <c r="J29" i="131"/>
  <c r="I29" i="131"/>
  <c r="H29" i="131"/>
  <c r="G29" i="131"/>
  <c r="F29" i="131"/>
  <c r="E29" i="131"/>
  <c r="D29" i="131"/>
  <c r="L24" i="131"/>
  <c r="K24" i="131"/>
  <c r="J24" i="131"/>
  <c r="I24" i="131"/>
  <c r="H24" i="131"/>
  <c r="G24" i="131"/>
  <c r="F24" i="131"/>
  <c r="E24" i="131"/>
  <c r="D24" i="131"/>
  <c r="N37" i="130"/>
  <c r="M37" i="130"/>
  <c r="L37" i="130"/>
  <c r="K37" i="130"/>
  <c r="J37" i="130"/>
  <c r="I37" i="130"/>
  <c r="H37" i="130"/>
  <c r="G37" i="130"/>
  <c r="F37" i="130"/>
  <c r="J18" i="129"/>
  <c r="I18" i="129"/>
  <c r="H18" i="129"/>
  <c r="G18" i="129"/>
  <c r="F16" i="129"/>
  <c r="E16" i="129"/>
  <c r="D16" i="129"/>
  <c r="L16" i="128"/>
  <c r="K16" i="128"/>
  <c r="J16" i="128"/>
  <c r="I16" i="128"/>
  <c r="H16" i="128"/>
  <c r="G16" i="128"/>
  <c r="F16" i="128"/>
  <c r="E16" i="128"/>
  <c r="D16" i="128"/>
  <c r="F26" i="127"/>
  <c r="K24" i="127"/>
  <c r="M21" i="127"/>
  <c r="L21" i="127"/>
  <c r="K21" i="127"/>
  <c r="J21" i="127"/>
  <c r="I21" i="127"/>
  <c r="H21" i="127"/>
  <c r="G21" i="127"/>
  <c r="F21" i="127"/>
  <c r="E21" i="127"/>
  <c r="M17" i="127"/>
  <c r="L17" i="127"/>
  <c r="K17" i="127"/>
  <c r="J17" i="127"/>
  <c r="I17" i="127"/>
  <c r="H17" i="127"/>
  <c r="G17" i="127"/>
  <c r="F17" i="127"/>
  <c r="E17" i="127"/>
  <c r="M77" i="126"/>
  <c r="L77" i="126"/>
  <c r="K77" i="126"/>
  <c r="J77" i="126"/>
  <c r="I77" i="126"/>
  <c r="H77" i="126"/>
  <c r="G77" i="126"/>
  <c r="F77" i="126"/>
  <c r="E77" i="126"/>
  <c r="M65" i="126"/>
  <c r="L65" i="126"/>
  <c r="K65" i="126"/>
  <c r="J65" i="126"/>
  <c r="I65" i="126"/>
  <c r="H65" i="126"/>
  <c r="G65" i="126"/>
  <c r="F65" i="126"/>
  <c r="E65" i="126"/>
  <c r="M61" i="126"/>
  <c r="L61" i="126"/>
  <c r="K61" i="126"/>
  <c r="J61" i="126"/>
  <c r="I61" i="126"/>
  <c r="H61" i="126"/>
  <c r="G61" i="126"/>
  <c r="F61" i="126"/>
  <c r="E61" i="126"/>
  <c r="M54" i="126"/>
  <c r="L54" i="126"/>
  <c r="K54" i="126"/>
  <c r="J54" i="126"/>
  <c r="I54" i="126"/>
  <c r="H54" i="126"/>
  <c r="G54" i="126"/>
  <c r="F54" i="126"/>
  <c r="E54" i="126"/>
  <c r="M46" i="126"/>
  <c r="L46" i="126"/>
  <c r="K46" i="126"/>
  <c r="J46" i="126"/>
  <c r="I46" i="126"/>
  <c r="H46" i="126"/>
  <c r="G46" i="126"/>
  <c r="F46" i="126"/>
  <c r="E46" i="126"/>
  <c r="M42" i="126"/>
  <c r="L42" i="126"/>
  <c r="K42" i="126"/>
  <c r="J42" i="126"/>
  <c r="I42" i="126"/>
  <c r="H42" i="126"/>
  <c r="G42" i="126"/>
  <c r="E42" i="126"/>
  <c r="M37" i="126"/>
  <c r="L37" i="126"/>
  <c r="K37" i="126"/>
  <c r="J37" i="126"/>
  <c r="I37" i="126"/>
  <c r="H37" i="126"/>
  <c r="G37" i="126"/>
  <c r="F37" i="126"/>
  <c r="E37" i="126"/>
  <c r="M32" i="126"/>
  <c r="L32" i="126"/>
  <c r="K32" i="126"/>
  <c r="J32" i="126"/>
  <c r="I32" i="126"/>
  <c r="H32" i="126"/>
  <c r="G32" i="126"/>
  <c r="F32" i="126"/>
  <c r="E32" i="126"/>
  <c r="M24" i="126"/>
  <c r="L24" i="126"/>
  <c r="K24" i="126"/>
  <c r="J24" i="126"/>
  <c r="I24" i="126"/>
  <c r="H24" i="126"/>
  <c r="G24" i="126"/>
  <c r="F24" i="126"/>
  <c r="E24" i="126"/>
  <c r="M19" i="126"/>
  <c r="L19" i="126"/>
  <c r="K19" i="126"/>
  <c r="J19" i="126"/>
  <c r="I19" i="126"/>
  <c r="H19" i="126"/>
  <c r="G19" i="126"/>
  <c r="F19" i="126"/>
  <c r="E19" i="126"/>
  <c r="L181" i="125"/>
  <c r="J181" i="125"/>
  <c r="I181" i="125"/>
  <c r="H181" i="125"/>
  <c r="G181" i="125"/>
  <c r="F181" i="125"/>
  <c r="E181" i="125"/>
  <c r="D181" i="125"/>
  <c r="L162" i="125"/>
  <c r="K162" i="125"/>
  <c r="J162" i="125"/>
  <c r="I162" i="125"/>
  <c r="H162" i="125"/>
  <c r="G162" i="125"/>
  <c r="F162" i="125"/>
  <c r="E162" i="125"/>
  <c r="D162" i="125"/>
  <c r="L153" i="125"/>
  <c r="K153" i="125"/>
  <c r="J153" i="125"/>
  <c r="I153" i="125"/>
  <c r="H153" i="125"/>
  <c r="G153" i="125"/>
  <c r="F153" i="125"/>
  <c r="E153" i="125"/>
  <c r="D153" i="125"/>
  <c r="L145" i="125"/>
  <c r="K145" i="125"/>
  <c r="J145" i="125"/>
  <c r="I145" i="125"/>
  <c r="H145" i="125"/>
  <c r="G145" i="125"/>
  <c r="F145" i="125"/>
  <c r="E145" i="125"/>
  <c r="D145" i="125"/>
  <c r="L139" i="125"/>
  <c r="K139" i="125"/>
  <c r="J139" i="125"/>
  <c r="I139" i="125"/>
  <c r="H139" i="125"/>
  <c r="G139" i="125"/>
  <c r="F139" i="125"/>
  <c r="E139" i="125"/>
  <c r="D139" i="125"/>
  <c r="L135" i="125"/>
  <c r="K135" i="125"/>
  <c r="J135" i="125"/>
  <c r="I135" i="125"/>
  <c r="H135" i="125"/>
  <c r="G135" i="125"/>
  <c r="F135" i="125"/>
  <c r="E135" i="125"/>
  <c r="D135" i="125"/>
  <c r="L129" i="125"/>
  <c r="K129" i="125"/>
  <c r="J129" i="125"/>
  <c r="I129" i="125"/>
  <c r="H129" i="125"/>
  <c r="G129" i="125"/>
  <c r="F129" i="125"/>
  <c r="E129" i="125"/>
  <c r="D129" i="125"/>
  <c r="L124" i="125"/>
  <c r="K124" i="125"/>
  <c r="J124" i="125"/>
  <c r="I124" i="125"/>
  <c r="H124" i="125"/>
  <c r="G124" i="125"/>
  <c r="F124" i="125"/>
  <c r="E124" i="125"/>
  <c r="D124" i="125"/>
  <c r="L120" i="125"/>
  <c r="K120" i="125"/>
  <c r="J120" i="125"/>
  <c r="I120" i="125"/>
  <c r="H120" i="125"/>
  <c r="G120" i="125"/>
  <c r="F120" i="125"/>
  <c r="E120" i="125"/>
  <c r="D120" i="125"/>
  <c r="L112" i="125"/>
  <c r="K112" i="125"/>
  <c r="J112" i="125"/>
  <c r="I112" i="125"/>
  <c r="H112" i="125"/>
  <c r="G112" i="125"/>
  <c r="F112" i="125"/>
  <c r="E112" i="125"/>
  <c r="D112" i="125"/>
  <c r="L107" i="125"/>
  <c r="K107" i="125"/>
  <c r="J107" i="125"/>
  <c r="I107" i="125"/>
  <c r="H107" i="125"/>
  <c r="G107" i="125"/>
  <c r="F107" i="125"/>
  <c r="E107" i="125"/>
  <c r="D107" i="125"/>
  <c r="L103" i="125"/>
  <c r="K103" i="125"/>
  <c r="J103" i="125"/>
  <c r="I103" i="125"/>
  <c r="H103" i="125"/>
  <c r="G103" i="125"/>
  <c r="F103" i="125"/>
  <c r="E103" i="125"/>
  <c r="D103" i="125"/>
  <c r="L95" i="125"/>
  <c r="K95" i="125"/>
  <c r="J95" i="125"/>
  <c r="I95" i="125"/>
  <c r="H95" i="125"/>
  <c r="G95" i="125"/>
  <c r="F95" i="125"/>
  <c r="E95" i="125"/>
  <c r="D95" i="125"/>
  <c r="L90" i="125"/>
  <c r="K90" i="125"/>
  <c r="J90" i="125"/>
  <c r="I90" i="125"/>
  <c r="H90" i="125"/>
  <c r="G90" i="125"/>
  <c r="F90" i="125"/>
  <c r="E90" i="125"/>
  <c r="D90" i="125"/>
  <c r="L84" i="125"/>
  <c r="K84" i="125"/>
  <c r="J84" i="125"/>
  <c r="I84" i="125"/>
  <c r="H84" i="125"/>
  <c r="G84" i="125"/>
  <c r="F84" i="125"/>
  <c r="E84" i="125"/>
  <c r="D84" i="125"/>
  <c r="L79" i="125"/>
  <c r="K79" i="125"/>
  <c r="J79" i="125"/>
  <c r="I79" i="125"/>
  <c r="H79" i="125"/>
  <c r="G79" i="125"/>
  <c r="F79" i="125"/>
  <c r="E79" i="125"/>
  <c r="D79" i="125"/>
  <c r="L73" i="125"/>
  <c r="K73" i="125"/>
  <c r="J73" i="125"/>
  <c r="I73" i="125"/>
  <c r="H73" i="125"/>
  <c r="G73" i="125"/>
  <c r="F73" i="125"/>
  <c r="E73" i="125"/>
  <c r="D73" i="125"/>
  <c r="L60" i="125"/>
  <c r="K60" i="125"/>
  <c r="J60" i="125"/>
  <c r="I60" i="125"/>
  <c r="H60" i="125"/>
  <c r="G60" i="125"/>
  <c r="F60" i="125"/>
  <c r="E60" i="125"/>
  <c r="D60" i="125"/>
  <c r="L50" i="125"/>
  <c r="K50" i="125"/>
  <c r="J50" i="125"/>
  <c r="I50" i="125"/>
  <c r="G50" i="125"/>
  <c r="F50" i="125"/>
  <c r="E50" i="125"/>
  <c r="D50" i="125"/>
  <c r="L44" i="125"/>
  <c r="K44" i="125"/>
  <c r="J44" i="125"/>
  <c r="I44" i="125"/>
  <c r="G44" i="125"/>
  <c r="F44" i="125"/>
  <c r="E44" i="125"/>
  <c r="D44" i="125"/>
  <c r="L39" i="125"/>
  <c r="K39" i="125"/>
  <c r="J39" i="125"/>
  <c r="I39" i="125"/>
  <c r="H39" i="125"/>
  <c r="G39" i="125"/>
  <c r="F39" i="125"/>
  <c r="E39" i="125"/>
  <c r="D39" i="125"/>
  <c r="L34" i="125"/>
  <c r="K34" i="125"/>
  <c r="J34" i="125"/>
  <c r="I34" i="125"/>
  <c r="H34" i="125"/>
  <c r="G34" i="125"/>
  <c r="F34" i="125"/>
  <c r="E34" i="125"/>
  <c r="D34" i="125"/>
  <c r="L29" i="125"/>
  <c r="K29" i="125"/>
  <c r="J29" i="125"/>
  <c r="I29" i="125"/>
  <c r="H29" i="125"/>
  <c r="G29" i="125"/>
  <c r="F29" i="125"/>
  <c r="E29" i="125"/>
  <c r="D29" i="125"/>
  <c r="L24" i="125"/>
  <c r="K24" i="125"/>
  <c r="J24" i="125"/>
  <c r="I24" i="125"/>
  <c r="H24" i="125"/>
  <c r="G24" i="125"/>
  <c r="F24" i="125"/>
  <c r="E24" i="125"/>
  <c r="D24" i="125"/>
  <c r="K18" i="124"/>
  <c r="J18" i="124"/>
  <c r="I18" i="124"/>
  <c r="H18" i="124"/>
  <c r="K16" i="124"/>
  <c r="J16" i="124"/>
  <c r="I16" i="124"/>
  <c r="H16" i="124"/>
  <c r="G16" i="124"/>
  <c r="F16" i="124"/>
  <c r="E16" i="124"/>
  <c r="M16" i="123"/>
  <c r="L16" i="123"/>
  <c r="K16" i="123"/>
  <c r="J16" i="123"/>
  <c r="I16" i="123"/>
  <c r="H16" i="123"/>
  <c r="G16" i="123"/>
  <c r="F16" i="123"/>
  <c r="E16" i="123"/>
  <c r="N37" i="122"/>
  <c r="M37" i="122"/>
  <c r="L37" i="122"/>
  <c r="K37" i="122"/>
  <c r="J37" i="122"/>
  <c r="I37" i="122"/>
  <c r="H37" i="122"/>
  <c r="G37" i="122"/>
  <c r="F37" i="122"/>
  <c r="F25" i="121"/>
  <c r="K23" i="121"/>
  <c r="F21" i="121"/>
  <c r="M17" i="121"/>
  <c r="L17" i="121"/>
  <c r="K17" i="121"/>
  <c r="J17" i="121"/>
  <c r="I17" i="121"/>
  <c r="H17" i="121"/>
  <c r="G17" i="121"/>
  <c r="F17" i="121"/>
  <c r="E17" i="121"/>
  <c r="M80" i="120"/>
  <c r="L80" i="120"/>
  <c r="K80" i="120"/>
  <c r="J80" i="120"/>
  <c r="I80" i="120"/>
  <c r="H80" i="120"/>
  <c r="G80" i="120"/>
  <c r="F80" i="120"/>
  <c r="E80" i="120"/>
  <c r="M68" i="120"/>
  <c r="L68" i="120"/>
  <c r="K68" i="120"/>
  <c r="J68" i="120"/>
  <c r="I68" i="120"/>
  <c r="H68" i="120"/>
  <c r="G68" i="120"/>
  <c r="F68" i="120"/>
  <c r="E68" i="120"/>
  <c r="M64" i="120"/>
  <c r="L64" i="120"/>
  <c r="K64" i="120"/>
  <c r="J64" i="120"/>
  <c r="I64" i="120"/>
  <c r="H64" i="120"/>
  <c r="G64" i="120"/>
  <c r="F64" i="120"/>
  <c r="E64" i="120"/>
  <c r="M57" i="120"/>
  <c r="L57" i="120"/>
  <c r="K57" i="120"/>
  <c r="J57" i="120"/>
  <c r="I57" i="120"/>
  <c r="H57" i="120"/>
  <c r="G57" i="120"/>
  <c r="F57" i="120"/>
  <c r="E57" i="120"/>
  <c r="M49" i="120"/>
  <c r="L49" i="120"/>
  <c r="K49" i="120"/>
  <c r="J49" i="120"/>
  <c r="I49" i="120"/>
  <c r="H49" i="120"/>
  <c r="G49" i="120"/>
  <c r="F49" i="120"/>
  <c r="E49" i="120"/>
  <c r="M45" i="120"/>
  <c r="L45" i="120"/>
  <c r="K45" i="120"/>
  <c r="J45" i="120"/>
  <c r="I45" i="120"/>
  <c r="H45" i="120"/>
  <c r="G45" i="120"/>
  <c r="E45" i="120"/>
  <c r="M40" i="120"/>
  <c r="L40" i="120"/>
  <c r="K40" i="120"/>
  <c r="J40" i="120"/>
  <c r="I40" i="120"/>
  <c r="H40" i="120"/>
  <c r="G40" i="120"/>
  <c r="F40" i="120"/>
  <c r="E40" i="120"/>
  <c r="M35" i="120"/>
  <c r="L35" i="120"/>
  <c r="K35" i="120"/>
  <c r="J35" i="120"/>
  <c r="I35" i="120"/>
  <c r="H35" i="120"/>
  <c r="G35" i="120"/>
  <c r="F35" i="120"/>
  <c r="E35" i="120"/>
  <c r="M27" i="120"/>
  <c r="L27" i="120"/>
  <c r="K27" i="120"/>
  <c r="J27" i="120"/>
  <c r="I27" i="120"/>
  <c r="H27" i="120"/>
  <c r="G27" i="120"/>
  <c r="F27" i="120"/>
  <c r="E27" i="120"/>
  <c r="M22" i="120"/>
  <c r="L22" i="120"/>
  <c r="K22" i="120"/>
  <c r="J22" i="120"/>
  <c r="I22" i="120"/>
  <c r="H22" i="120"/>
  <c r="G22" i="120"/>
  <c r="F22" i="120"/>
  <c r="E22" i="120"/>
  <c r="M17" i="120"/>
  <c r="L17" i="120"/>
  <c r="K17" i="120"/>
  <c r="J17" i="120"/>
  <c r="I17" i="120"/>
  <c r="H17" i="120"/>
  <c r="G17" i="120"/>
  <c r="F17" i="120"/>
  <c r="E17" i="120"/>
  <c r="L183" i="118"/>
  <c r="J183" i="118"/>
  <c r="I183" i="118"/>
  <c r="H183" i="118"/>
  <c r="G183" i="118"/>
  <c r="F183" i="118"/>
  <c r="E183" i="118"/>
  <c r="D183" i="118"/>
  <c r="L164" i="118"/>
  <c r="K164" i="118"/>
  <c r="J164" i="118"/>
  <c r="I164" i="118"/>
  <c r="H164" i="118"/>
  <c r="G164" i="118"/>
  <c r="F164" i="118"/>
  <c r="E164" i="118"/>
  <c r="D164" i="118"/>
  <c r="L155" i="118"/>
  <c r="K155" i="118"/>
  <c r="J155" i="118"/>
  <c r="I155" i="118"/>
  <c r="H155" i="118"/>
  <c r="G155" i="118"/>
  <c r="F155" i="118"/>
  <c r="E155" i="118"/>
  <c r="D155" i="118"/>
  <c r="L147" i="118"/>
  <c r="K147" i="118"/>
  <c r="J147" i="118"/>
  <c r="I147" i="118"/>
  <c r="H147" i="118"/>
  <c r="G147" i="118"/>
  <c r="F147" i="118"/>
  <c r="E147" i="118"/>
  <c r="D147" i="118"/>
  <c r="L141" i="118"/>
  <c r="K141" i="118"/>
  <c r="J141" i="118"/>
  <c r="I141" i="118"/>
  <c r="H141" i="118"/>
  <c r="G141" i="118"/>
  <c r="F141" i="118"/>
  <c r="E141" i="118"/>
  <c r="D141" i="118"/>
  <c r="L137" i="118"/>
  <c r="K137" i="118"/>
  <c r="J137" i="118"/>
  <c r="I137" i="118"/>
  <c r="H137" i="118"/>
  <c r="G137" i="118"/>
  <c r="F137" i="118"/>
  <c r="E137" i="118"/>
  <c r="D137" i="118"/>
  <c r="L133" i="118"/>
  <c r="K133" i="118"/>
  <c r="J133" i="118"/>
  <c r="I133" i="118"/>
  <c r="H133" i="118"/>
  <c r="G133" i="118"/>
  <c r="F133" i="118"/>
  <c r="E133" i="118"/>
  <c r="D133" i="118"/>
  <c r="L127" i="118"/>
  <c r="K127" i="118"/>
  <c r="J127" i="118"/>
  <c r="I127" i="118"/>
  <c r="H127" i="118"/>
  <c r="G127" i="118"/>
  <c r="F127" i="118"/>
  <c r="E127" i="118"/>
  <c r="D127" i="118"/>
  <c r="L122" i="118"/>
  <c r="K122" i="118"/>
  <c r="J122" i="118"/>
  <c r="I122" i="118"/>
  <c r="H122" i="118"/>
  <c r="G122" i="118"/>
  <c r="F122" i="118"/>
  <c r="E122" i="118"/>
  <c r="D122" i="118"/>
  <c r="L118" i="118"/>
  <c r="K118" i="118"/>
  <c r="J118" i="118"/>
  <c r="I118" i="118"/>
  <c r="H118" i="118"/>
  <c r="G118" i="118"/>
  <c r="F118" i="118"/>
  <c r="E118" i="118"/>
  <c r="D118" i="118"/>
  <c r="L110" i="118"/>
  <c r="K110" i="118"/>
  <c r="J110" i="118"/>
  <c r="I110" i="118"/>
  <c r="H110" i="118"/>
  <c r="G110" i="118"/>
  <c r="F110" i="118"/>
  <c r="E110" i="118"/>
  <c r="D110" i="118"/>
  <c r="L105" i="118"/>
  <c r="K105" i="118"/>
  <c r="J105" i="118"/>
  <c r="I105" i="118"/>
  <c r="H105" i="118"/>
  <c r="G105" i="118"/>
  <c r="F105" i="118"/>
  <c r="E105" i="118"/>
  <c r="D105" i="118"/>
  <c r="L101" i="118"/>
  <c r="K101" i="118"/>
  <c r="J101" i="118"/>
  <c r="I101" i="118"/>
  <c r="H101" i="118"/>
  <c r="G101" i="118"/>
  <c r="F101" i="118"/>
  <c r="E101" i="118"/>
  <c r="D101" i="118"/>
  <c r="L93" i="118"/>
  <c r="K93" i="118"/>
  <c r="J93" i="118"/>
  <c r="I93" i="118"/>
  <c r="H93" i="118"/>
  <c r="G93" i="118"/>
  <c r="F93" i="118"/>
  <c r="E93" i="118"/>
  <c r="D93" i="118"/>
  <c r="L88" i="118"/>
  <c r="K88" i="118"/>
  <c r="J88" i="118"/>
  <c r="I88" i="118"/>
  <c r="H88" i="118"/>
  <c r="G88" i="118"/>
  <c r="F88" i="118"/>
  <c r="E88" i="118"/>
  <c r="D88" i="118"/>
  <c r="L82" i="118"/>
  <c r="K82" i="118"/>
  <c r="J82" i="118"/>
  <c r="I82" i="118"/>
  <c r="H82" i="118"/>
  <c r="G82" i="118"/>
  <c r="F82" i="118"/>
  <c r="E82" i="118"/>
  <c r="D82" i="118"/>
  <c r="L78" i="118"/>
  <c r="K78" i="118"/>
  <c r="J78" i="118"/>
  <c r="I78" i="118"/>
  <c r="H78" i="118"/>
  <c r="G78" i="118"/>
  <c r="F78" i="118"/>
  <c r="E78" i="118"/>
  <c r="D78" i="118"/>
  <c r="L73" i="118"/>
  <c r="K73" i="118"/>
  <c r="J73" i="118"/>
  <c r="I73" i="118"/>
  <c r="H73" i="118"/>
  <c r="G73" i="118"/>
  <c r="F73" i="118"/>
  <c r="E73" i="118"/>
  <c r="D73" i="118"/>
  <c r="L60" i="118"/>
  <c r="K60" i="118"/>
  <c r="J60" i="118"/>
  <c r="I60" i="118"/>
  <c r="H60" i="118"/>
  <c r="G60" i="118"/>
  <c r="F60" i="118"/>
  <c r="E60" i="118"/>
  <c r="D60" i="118"/>
  <c r="L50" i="118"/>
  <c r="K50" i="118"/>
  <c r="J50" i="118"/>
  <c r="I50" i="118"/>
  <c r="G50" i="118"/>
  <c r="F50" i="118"/>
  <c r="E50" i="118"/>
  <c r="D50" i="118"/>
  <c r="L44" i="118"/>
  <c r="K44" i="118"/>
  <c r="J44" i="118"/>
  <c r="I44" i="118"/>
  <c r="G44" i="118"/>
  <c r="F44" i="118"/>
  <c r="E44" i="118"/>
  <c r="D44" i="118"/>
  <c r="L39" i="118"/>
  <c r="K39" i="118"/>
  <c r="J39" i="118"/>
  <c r="I39" i="118"/>
  <c r="H39" i="118"/>
  <c r="G39" i="118"/>
  <c r="F39" i="118"/>
  <c r="E39" i="118"/>
  <c r="D39" i="118"/>
  <c r="L34" i="118"/>
  <c r="K34" i="118"/>
  <c r="J34" i="118"/>
  <c r="I34" i="118"/>
  <c r="H34" i="118"/>
  <c r="G34" i="118"/>
  <c r="F34" i="118"/>
  <c r="E34" i="118"/>
  <c r="D34" i="118"/>
  <c r="L29" i="118"/>
  <c r="K29" i="118"/>
  <c r="J29" i="118"/>
  <c r="I29" i="118"/>
  <c r="H29" i="118"/>
  <c r="G29" i="118"/>
  <c r="F29" i="118"/>
  <c r="E29" i="118"/>
  <c r="D29" i="118"/>
  <c r="L24" i="118"/>
  <c r="K24" i="118"/>
  <c r="J24" i="118"/>
  <c r="I24" i="118"/>
  <c r="H24" i="118"/>
  <c r="G24" i="118"/>
  <c r="F24" i="118"/>
  <c r="E24" i="118"/>
  <c r="D24" i="118"/>
  <c r="G16" i="117"/>
  <c r="F16" i="117"/>
  <c r="E16" i="117"/>
  <c r="M16" i="116"/>
  <c r="L16" i="116"/>
  <c r="K16" i="116"/>
  <c r="J16" i="116"/>
  <c r="I16" i="116"/>
  <c r="H16" i="116"/>
  <c r="G16" i="116"/>
  <c r="F16" i="116"/>
  <c r="E16" i="116"/>
  <c r="H32" i="115"/>
  <c r="F32" i="115"/>
  <c r="F25" i="114"/>
  <c r="K23" i="114"/>
  <c r="F21" i="114"/>
  <c r="M17" i="114"/>
  <c r="L17" i="114"/>
  <c r="K17" i="114"/>
  <c r="J17" i="114"/>
  <c r="I17" i="114"/>
  <c r="H17" i="114"/>
  <c r="G17" i="114"/>
  <c r="F17" i="114"/>
  <c r="E17" i="114"/>
  <c r="M56" i="113"/>
  <c r="L56" i="113"/>
  <c r="K56" i="113"/>
  <c r="J56" i="113"/>
  <c r="I56" i="113"/>
  <c r="H56" i="113"/>
  <c r="G56" i="113"/>
  <c r="E56" i="113"/>
  <c r="M49" i="113"/>
  <c r="L49" i="113"/>
  <c r="K49" i="113"/>
  <c r="J49" i="113"/>
  <c r="I49" i="113"/>
  <c r="H49" i="113"/>
  <c r="G49" i="113"/>
  <c r="F49" i="113"/>
  <c r="E49" i="113"/>
  <c r="M45" i="113"/>
  <c r="L45" i="113"/>
  <c r="K45" i="113"/>
  <c r="J45" i="113"/>
  <c r="I45" i="113"/>
  <c r="H45" i="113"/>
  <c r="G45" i="113"/>
  <c r="F45" i="113"/>
  <c r="E45" i="113"/>
  <c r="M38" i="113"/>
  <c r="L38" i="113"/>
  <c r="K38" i="113"/>
  <c r="J38" i="113"/>
  <c r="I38" i="113"/>
  <c r="H38" i="113"/>
  <c r="G38" i="113"/>
  <c r="E38" i="113"/>
  <c r="M33" i="113"/>
  <c r="L33" i="113"/>
  <c r="K33" i="113"/>
  <c r="J33" i="113"/>
  <c r="I33" i="113"/>
  <c r="H33" i="113"/>
  <c r="G33" i="113"/>
  <c r="F33" i="113"/>
  <c r="E33" i="113"/>
  <c r="M25" i="113"/>
  <c r="L25" i="113"/>
  <c r="K25" i="113"/>
  <c r="J25" i="113"/>
  <c r="I25" i="113"/>
  <c r="H25" i="113"/>
  <c r="G25" i="113"/>
  <c r="F25" i="113"/>
  <c r="E25" i="113"/>
  <c r="M21" i="113"/>
  <c r="L21" i="113"/>
  <c r="K21" i="113"/>
  <c r="J21" i="113"/>
  <c r="I21" i="113"/>
  <c r="H21" i="113"/>
  <c r="G21" i="113"/>
  <c r="F21" i="113"/>
  <c r="E21" i="113"/>
  <c r="M17" i="113"/>
  <c r="L17" i="113"/>
  <c r="K17" i="113"/>
  <c r="J17" i="113"/>
  <c r="I17" i="113"/>
  <c r="H17" i="113"/>
  <c r="G17" i="113"/>
  <c r="F17" i="113"/>
  <c r="E17" i="113"/>
  <c r="O40" i="112"/>
  <c r="N40" i="112"/>
  <c r="M40" i="112"/>
  <c r="L40" i="112"/>
  <c r="K40" i="112"/>
  <c r="J40" i="112"/>
  <c r="I40" i="112"/>
  <c r="G40" i="112"/>
  <c r="O34" i="112"/>
  <c r="N34" i="112"/>
  <c r="M34" i="112"/>
  <c r="L34" i="112"/>
  <c r="K34" i="112"/>
  <c r="J34" i="112"/>
  <c r="I34" i="112"/>
  <c r="H34" i="112"/>
  <c r="G34" i="112"/>
  <c r="O30" i="112"/>
  <c r="N30" i="112"/>
  <c r="M30" i="112"/>
  <c r="L30" i="112"/>
  <c r="K30" i="112"/>
  <c r="J30" i="112"/>
  <c r="I30" i="112"/>
  <c r="H30" i="112"/>
  <c r="G30" i="112"/>
  <c r="O26" i="112"/>
  <c r="N26" i="112"/>
  <c r="M26" i="112"/>
  <c r="L26" i="112"/>
  <c r="K26" i="112"/>
  <c r="J26" i="112"/>
  <c r="I26" i="112"/>
  <c r="H26" i="112"/>
  <c r="G26" i="112"/>
  <c r="O21" i="112"/>
  <c r="N21" i="112"/>
  <c r="M21" i="112"/>
  <c r="L21" i="112"/>
  <c r="K21" i="112"/>
  <c r="J21" i="112"/>
  <c r="I21" i="112"/>
  <c r="H21" i="112"/>
  <c r="G21" i="112"/>
  <c r="O17" i="112"/>
  <c r="N17" i="112"/>
  <c r="M17" i="112"/>
  <c r="L17" i="112"/>
  <c r="K17" i="112"/>
  <c r="J17" i="112"/>
  <c r="I17" i="112"/>
  <c r="H17" i="112"/>
  <c r="G17" i="112"/>
  <c r="L180" i="111"/>
  <c r="K180" i="111"/>
  <c r="J180" i="111"/>
  <c r="I180" i="111"/>
  <c r="H180" i="111"/>
  <c r="G180" i="111"/>
  <c r="F180" i="111"/>
  <c r="E180" i="111"/>
  <c r="D180" i="111"/>
  <c r="L162" i="111"/>
  <c r="K162" i="111"/>
  <c r="J162" i="111"/>
  <c r="I162" i="111"/>
  <c r="H162" i="111"/>
  <c r="G162" i="111"/>
  <c r="F162" i="111"/>
  <c r="E162" i="111"/>
  <c r="D162" i="111"/>
  <c r="L153" i="111"/>
  <c r="K153" i="111"/>
  <c r="J153" i="111"/>
  <c r="I153" i="111"/>
  <c r="H153" i="111"/>
  <c r="G153" i="111"/>
  <c r="F153" i="111"/>
  <c r="E153" i="111"/>
  <c r="D153" i="111"/>
  <c r="L145" i="111"/>
  <c r="K145" i="111"/>
  <c r="J145" i="111"/>
  <c r="I145" i="111"/>
  <c r="H145" i="111"/>
  <c r="G145" i="111"/>
  <c r="F145" i="111"/>
  <c r="E145" i="111"/>
  <c r="D145" i="111"/>
  <c r="L139" i="111"/>
  <c r="K139" i="111"/>
  <c r="J139" i="111"/>
  <c r="I139" i="111"/>
  <c r="H139" i="111"/>
  <c r="G139" i="111"/>
  <c r="F139" i="111"/>
  <c r="E139" i="111"/>
  <c r="D139" i="111"/>
  <c r="L135" i="111"/>
  <c r="K135" i="111"/>
  <c r="J135" i="111"/>
  <c r="I135" i="111"/>
  <c r="H135" i="111"/>
  <c r="G135" i="111"/>
  <c r="F135" i="111"/>
  <c r="E135" i="111"/>
  <c r="D135" i="111"/>
  <c r="L131" i="111"/>
  <c r="K131" i="111"/>
  <c r="J131" i="111"/>
  <c r="I131" i="111"/>
  <c r="H131" i="111"/>
  <c r="G131" i="111"/>
  <c r="F131" i="111"/>
  <c r="E131" i="111"/>
  <c r="D131" i="111"/>
  <c r="L125" i="111"/>
  <c r="K125" i="111"/>
  <c r="J125" i="111"/>
  <c r="I125" i="111"/>
  <c r="H125" i="111"/>
  <c r="G125" i="111"/>
  <c r="F125" i="111"/>
  <c r="E125" i="111"/>
  <c r="D125" i="111"/>
  <c r="L120" i="111"/>
  <c r="K120" i="111"/>
  <c r="J120" i="111"/>
  <c r="I120" i="111"/>
  <c r="H120" i="111"/>
  <c r="G120" i="111"/>
  <c r="F120" i="111"/>
  <c r="E120" i="111"/>
  <c r="D120" i="111"/>
  <c r="L116" i="111"/>
  <c r="K116" i="111"/>
  <c r="J116" i="111"/>
  <c r="I116" i="111"/>
  <c r="H116" i="111"/>
  <c r="G116" i="111"/>
  <c r="F116" i="111"/>
  <c r="E116" i="111"/>
  <c r="D116" i="111"/>
  <c r="L108" i="111"/>
  <c r="K108" i="111"/>
  <c r="J108" i="111"/>
  <c r="I108" i="111"/>
  <c r="H108" i="111"/>
  <c r="G108" i="111"/>
  <c r="F108" i="111"/>
  <c r="E108" i="111"/>
  <c r="D108" i="111"/>
  <c r="L103" i="111"/>
  <c r="K103" i="111"/>
  <c r="J103" i="111"/>
  <c r="I103" i="111"/>
  <c r="H103" i="111"/>
  <c r="G103" i="111"/>
  <c r="F103" i="111"/>
  <c r="E103" i="111"/>
  <c r="D103" i="111"/>
  <c r="L99" i="111"/>
  <c r="K99" i="111"/>
  <c r="J99" i="111"/>
  <c r="I99" i="111"/>
  <c r="H99" i="111"/>
  <c r="G99" i="111"/>
  <c r="F99" i="111"/>
  <c r="E99" i="111"/>
  <c r="D99" i="111"/>
  <c r="L92" i="111"/>
  <c r="K92" i="111"/>
  <c r="J92" i="111"/>
  <c r="I92" i="111"/>
  <c r="H92" i="111"/>
  <c r="G92" i="111"/>
  <c r="F92" i="111"/>
  <c r="E92" i="111"/>
  <c r="D92" i="111"/>
  <c r="L87" i="111"/>
  <c r="K87" i="111"/>
  <c r="J87" i="111"/>
  <c r="I87" i="111"/>
  <c r="H87" i="111"/>
  <c r="G87" i="111"/>
  <c r="F87" i="111"/>
  <c r="E87" i="111"/>
  <c r="D87" i="111"/>
  <c r="L81" i="111"/>
  <c r="K81" i="111"/>
  <c r="J81" i="111"/>
  <c r="I81" i="111"/>
  <c r="H81" i="111"/>
  <c r="G81" i="111"/>
  <c r="F81" i="111"/>
  <c r="E81" i="111"/>
  <c r="D81" i="111"/>
  <c r="L77" i="111"/>
  <c r="K77" i="111"/>
  <c r="J77" i="111"/>
  <c r="I77" i="111"/>
  <c r="H77" i="111"/>
  <c r="G77" i="111"/>
  <c r="F77" i="111"/>
  <c r="E77" i="111"/>
  <c r="D77" i="111"/>
  <c r="L72" i="111"/>
  <c r="K72" i="111"/>
  <c r="J72" i="111"/>
  <c r="I72" i="111"/>
  <c r="H72" i="111"/>
  <c r="G72" i="111"/>
  <c r="F72" i="111"/>
  <c r="E72" i="111"/>
  <c r="D72" i="111"/>
  <c r="L60" i="111"/>
  <c r="K60" i="111"/>
  <c r="J60" i="111"/>
  <c r="I60" i="111"/>
  <c r="H60" i="111"/>
  <c r="G60" i="111"/>
  <c r="F60" i="111"/>
  <c r="D60" i="111"/>
  <c r="L50" i="111"/>
  <c r="K50" i="111"/>
  <c r="J50" i="111"/>
  <c r="I50" i="111"/>
  <c r="G50" i="111"/>
  <c r="F50" i="111"/>
  <c r="E50" i="111"/>
  <c r="D50" i="111"/>
  <c r="L44" i="111"/>
  <c r="K44" i="111"/>
  <c r="J44" i="111"/>
  <c r="I44" i="111"/>
  <c r="G44" i="111"/>
  <c r="F44" i="111"/>
  <c r="E44" i="111"/>
  <c r="D44" i="111"/>
  <c r="L39" i="111"/>
  <c r="K39" i="111"/>
  <c r="J39" i="111"/>
  <c r="I39" i="111"/>
  <c r="H39" i="111"/>
  <c r="G39" i="111"/>
  <c r="F39" i="111"/>
  <c r="E39" i="111"/>
  <c r="D39" i="111"/>
  <c r="L34" i="111"/>
  <c r="K34" i="111"/>
  <c r="J34" i="111"/>
  <c r="I34" i="111"/>
  <c r="H34" i="111"/>
  <c r="G34" i="111"/>
  <c r="F34" i="111"/>
  <c r="E34" i="111"/>
  <c r="D34" i="111"/>
  <c r="L29" i="111"/>
  <c r="K29" i="111"/>
  <c r="J29" i="111"/>
  <c r="I29" i="111"/>
  <c r="H29" i="111"/>
  <c r="G29" i="111"/>
  <c r="F29" i="111"/>
  <c r="E29" i="111"/>
  <c r="D29" i="111"/>
  <c r="J24" i="111"/>
  <c r="G24" i="111"/>
  <c r="F24" i="111"/>
  <c r="E24" i="111"/>
  <c r="D24" i="111"/>
  <c r="G16" i="110"/>
  <c r="F16" i="110"/>
  <c r="E16" i="110"/>
  <c r="M16" i="109"/>
  <c r="L16" i="109"/>
  <c r="K16" i="109"/>
  <c r="J16" i="109"/>
  <c r="I16" i="109"/>
  <c r="H16" i="109"/>
  <c r="G16" i="109"/>
  <c r="F16" i="109"/>
  <c r="E16" i="109"/>
  <c r="F29" i="108"/>
  <c r="F28" i="108"/>
  <c r="M22" i="107"/>
  <c r="L22" i="107"/>
  <c r="K22" i="107"/>
  <c r="J22" i="107"/>
  <c r="I22" i="107"/>
  <c r="H22" i="107"/>
  <c r="G22" i="107"/>
  <c r="F22" i="107"/>
  <c r="E22" i="107"/>
  <c r="M21" i="107"/>
  <c r="L21" i="107"/>
  <c r="K21" i="107"/>
  <c r="J21" i="107"/>
  <c r="I21" i="107"/>
  <c r="H21" i="107"/>
  <c r="G21" i="107"/>
  <c r="F21" i="107"/>
  <c r="E21" i="107"/>
  <c r="M17" i="107"/>
  <c r="L17" i="107"/>
  <c r="K17" i="107"/>
  <c r="J17" i="107"/>
  <c r="I17" i="107"/>
  <c r="H17" i="107"/>
  <c r="G17" i="107"/>
  <c r="F17" i="107"/>
  <c r="E17" i="107"/>
  <c r="O55" i="106"/>
  <c r="N55" i="106"/>
  <c r="M55" i="106"/>
  <c r="L55" i="106"/>
  <c r="K55" i="106"/>
  <c r="J55" i="106"/>
  <c r="I55" i="106"/>
  <c r="G55" i="106"/>
  <c r="O49" i="106"/>
  <c r="N49" i="106"/>
  <c r="M49" i="106"/>
  <c r="L49" i="106"/>
  <c r="K49" i="106"/>
  <c r="J49" i="106"/>
  <c r="I49" i="106"/>
  <c r="H49" i="106"/>
  <c r="G49" i="106"/>
  <c r="O45" i="106"/>
  <c r="N45" i="106"/>
  <c r="M45" i="106"/>
  <c r="L45" i="106"/>
  <c r="K45" i="106"/>
  <c r="J45" i="106"/>
  <c r="I45" i="106"/>
  <c r="H45" i="106"/>
  <c r="G45" i="106"/>
  <c r="O38" i="106"/>
  <c r="N38" i="106"/>
  <c r="M38" i="106"/>
  <c r="L38" i="106"/>
  <c r="K38" i="106"/>
  <c r="J38" i="106"/>
  <c r="I38" i="106"/>
  <c r="G38" i="106"/>
  <c r="O33" i="106"/>
  <c r="N33" i="106"/>
  <c r="M33" i="106"/>
  <c r="L33" i="106"/>
  <c r="K33" i="106"/>
  <c r="J33" i="106"/>
  <c r="I33" i="106"/>
  <c r="H33" i="106"/>
  <c r="G33" i="106"/>
  <c r="O25" i="106"/>
  <c r="N25" i="106"/>
  <c r="M25" i="106"/>
  <c r="L25" i="106"/>
  <c r="K25" i="106"/>
  <c r="J25" i="106"/>
  <c r="I25" i="106"/>
  <c r="H25" i="106"/>
  <c r="G25" i="106"/>
  <c r="O21" i="106"/>
  <c r="N21" i="106"/>
  <c r="M21" i="106"/>
  <c r="L21" i="106"/>
  <c r="K21" i="106"/>
  <c r="J21" i="106"/>
  <c r="I21" i="106"/>
  <c r="H21" i="106"/>
  <c r="G21" i="106"/>
  <c r="O17" i="106"/>
  <c r="N17" i="106"/>
  <c r="M17" i="106"/>
  <c r="L17" i="106"/>
  <c r="K17" i="106"/>
  <c r="J17" i="106"/>
  <c r="I17" i="106"/>
  <c r="H17" i="106"/>
  <c r="G17" i="106"/>
  <c r="H45" i="105"/>
  <c r="O39" i="105"/>
  <c r="N39" i="105"/>
  <c r="M39" i="105"/>
  <c r="L39" i="105"/>
  <c r="K39" i="105"/>
  <c r="J39" i="105"/>
  <c r="I39" i="105"/>
  <c r="H39" i="105"/>
  <c r="G39" i="105"/>
  <c r="O35" i="105"/>
  <c r="N35" i="105"/>
  <c r="M35" i="105"/>
  <c r="L35" i="105"/>
  <c r="K35" i="105"/>
  <c r="J35" i="105"/>
  <c r="I35" i="105"/>
  <c r="H35" i="105"/>
  <c r="G35" i="105"/>
  <c r="O31" i="105"/>
  <c r="N31" i="105"/>
  <c r="M31" i="105"/>
  <c r="L31" i="105"/>
  <c r="K31" i="105"/>
  <c r="J31" i="105"/>
  <c r="I31" i="105"/>
  <c r="H31" i="105"/>
  <c r="G31" i="105"/>
  <c r="O26" i="105"/>
  <c r="N26" i="105"/>
  <c r="M26" i="105"/>
  <c r="L26" i="105"/>
  <c r="K26" i="105"/>
  <c r="J26" i="105"/>
  <c r="I26" i="105"/>
  <c r="H26" i="105"/>
  <c r="G26" i="105"/>
  <c r="O22" i="105"/>
  <c r="N22" i="105"/>
  <c r="M22" i="105"/>
  <c r="L22" i="105"/>
  <c r="K22" i="105"/>
  <c r="J22" i="105"/>
  <c r="I22" i="105"/>
  <c r="H22" i="105"/>
  <c r="G22" i="105"/>
  <c r="O17" i="105"/>
  <c r="N17" i="105"/>
  <c r="M17" i="105"/>
  <c r="L17" i="105"/>
  <c r="K17" i="105"/>
  <c r="J17" i="105"/>
  <c r="I17" i="105"/>
  <c r="H17" i="105"/>
  <c r="G17" i="105"/>
  <c r="F176" i="104"/>
  <c r="M160" i="104"/>
  <c r="L160" i="104"/>
  <c r="K160" i="104"/>
  <c r="J160" i="104"/>
  <c r="I160" i="104"/>
  <c r="H160" i="104"/>
  <c r="G160" i="104"/>
  <c r="F160" i="104"/>
  <c r="E160" i="104"/>
  <c r="M151" i="104"/>
  <c r="L151" i="104"/>
  <c r="K151" i="104"/>
  <c r="J151" i="104"/>
  <c r="I151" i="104"/>
  <c r="H151" i="104"/>
  <c r="G151" i="104"/>
  <c r="F151" i="104"/>
  <c r="E151" i="104"/>
  <c r="M143" i="104"/>
  <c r="L143" i="104"/>
  <c r="K143" i="104"/>
  <c r="J143" i="104"/>
  <c r="I143" i="104"/>
  <c r="H143" i="104"/>
  <c r="G143" i="104"/>
  <c r="F143" i="104"/>
  <c r="E143" i="104"/>
  <c r="M137" i="104"/>
  <c r="L137" i="104"/>
  <c r="K137" i="104"/>
  <c r="J137" i="104"/>
  <c r="I137" i="104"/>
  <c r="H137" i="104"/>
  <c r="G137" i="104"/>
  <c r="F137" i="104"/>
  <c r="E137" i="104"/>
  <c r="M133" i="104"/>
  <c r="L133" i="104"/>
  <c r="K133" i="104"/>
  <c r="J133" i="104"/>
  <c r="I133" i="104"/>
  <c r="H133" i="104"/>
  <c r="G133" i="104"/>
  <c r="F133" i="104"/>
  <c r="E133" i="104"/>
  <c r="M129" i="104"/>
  <c r="L129" i="104"/>
  <c r="K129" i="104"/>
  <c r="J129" i="104"/>
  <c r="I129" i="104"/>
  <c r="H129" i="104"/>
  <c r="G129" i="104"/>
  <c r="F129" i="104"/>
  <c r="E129" i="104"/>
  <c r="M123" i="104"/>
  <c r="L123" i="104"/>
  <c r="K123" i="104"/>
  <c r="J123" i="104"/>
  <c r="I123" i="104"/>
  <c r="H123" i="104"/>
  <c r="G123" i="104"/>
  <c r="F123" i="104"/>
  <c r="E123" i="104"/>
  <c r="M118" i="104"/>
  <c r="L118" i="104"/>
  <c r="K118" i="104"/>
  <c r="J118" i="104"/>
  <c r="I118" i="104"/>
  <c r="H118" i="104"/>
  <c r="G118" i="104"/>
  <c r="F118" i="104"/>
  <c r="E118" i="104"/>
  <c r="M114" i="104"/>
  <c r="L114" i="104"/>
  <c r="K114" i="104"/>
  <c r="J114" i="104"/>
  <c r="I114" i="104"/>
  <c r="H114" i="104"/>
  <c r="G114" i="104"/>
  <c r="F114" i="104"/>
  <c r="E114" i="104"/>
  <c r="M106" i="104"/>
  <c r="L106" i="104"/>
  <c r="K106" i="104"/>
  <c r="J106" i="104"/>
  <c r="I106" i="104"/>
  <c r="H106" i="104"/>
  <c r="G106" i="104"/>
  <c r="F106" i="104"/>
  <c r="E106" i="104"/>
  <c r="M101" i="104"/>
  <c r="L101" i="104"/>
  <c r="K101" i="104"/>
  <c r="J101" i="104"/>
  <c r="I101" i="104"/>
  <c r="H101" i="104"/>
  <c r="G101" i="104"/>
  <c r="F101" i="104"/>
  <c r="E101" i="104"/>
  <c r="M97" i="104"/>
  <c r="L97" i="104"/>
  <c r="K97" i="104"/>
  <c r="J97" i="104"/>
  <c r="I97" i="104"/>
  <c r="H97" i="104"/>
  <c r="G97" i="104"/>
  <c r="F97" i="104"/>
  <c r="E97" i="104"/>
  <c r="M90" i="104"/>
  <c r="L90" i="104"/>
  <c r="K90" i="104"/>
  <c r="J90" i="104"/>
  <c r="I90" i="104"/>
  <c r="H90" i="104"/>
  <c r="G90" i="104"/>
  <c r="F90" i="104"/>
  <c r="E90" i="104"/>
  <c r="M85" i="104"/>
  <c r="L85" i="104"/>
  <c r="K85" i="104"/>
  <c r="J85" i="104"/>
  <c r="I85" i="104"/>
  <c r="H85" i="104"/>
  <c r="G85" i="104"/>
  <c r="F85" i="104"/>
  <c r="E85" i="104"/>
  <c r="M80" i="104"/>
  <c r="L80" i="104"/>
  <c r="K80" i="104"/>
  <c r="J80" i="104"/>
  <c r="I80" i="104"/>
  <c r="H80" i="104"/>
  <c r="G80" i="104"/>
  <c r="F80" i="104"/>
  <c r="E80" i="104"/>
  <c r="M76" i="104"/>
  <c r="L76" i="104"/>
  <c r="K76" i="104"/>
  <c r="J76" i="104"/>
  <c r="I76" i="104"/>
  <c r="H76" i="104"/>
  <c r="G76" i="104"/>
  <c r="F76" i="104"/>
  <c r="E76" i="104"/>
  <c r="M71" i="104"/>
  <c r="L71" i="104"/>
  <c r="K71" i="104"/>
  <c r="J71" i="104"/>
  <c r="I71" i="104"/>
  <c r="H71" i="104"/>
  <c r="G71" i="104"/>
  <c r="E71" i="104"/>
  <c r="M61" i="104"/>
  <c r="L61" i="104"/>
  <c r="K61" i="104"/>
  <c r="J61" i="104"/>
  <c r="I61" i="104"/>
  <c r="H61" i="104"/>
  <c r="G61" i="104"/>
  <c r="E61" i="104"/>
  <c r="M51" i="104"/>
  <c r="L51" i="104"/>
  <c r="K51" i="104"/>
  <c r="J51" i="104"/>
  <c r="H51" i="104"/>
  <c r="G51" i="104"/>
  <c r="F51" i="104"/>
  <c r="E51" i="104"/>
  <c r="M45" i="104"/>
  <c r="L45" i="104"/>
  <c r="K45" i="104"/>
  <c r="J45" i="104"/>
  <c r="H45" i="104"/>
  <c r="G45" i="104"/>
  <c r="F45" i="104"/>
  <c r="E45" i="104"/>
  <c r="M39" i="104"/>
  <c r="L39" i="104"/>
  <c r="K39" i="104"/>
  <c r="J39" i="104"/>
  <c r="I39" i="104"/>
  <c r="H39" i="104"/>
  <c r="G39" i="104"/>
  <c r="F39" i="104"/>
  <c r="E39" i="104"/>
  <c r="M34" i="104"/>
  <c r="L34" i="104"/>
  <c r="K34" i="104"/>
  <c r="J34" i="104"/>
  <c r="I34" i="104"/>
  <c r="H34" i="104"/>
  <c r="G34" i="104"/>
  <c r="F34" i="104"/>
  <c r="E34" i="104"/>
  <c r="M29" i="104"/>
  <c r="L29" i="104"/>
  <c r="K29" i="104"/>
  <c r="J29" i="104"/>
  <c r="I29" i="104"/>
  <c r="H29" i="104"/>
  <c r="G29" i="104"/>
  <c r="F29" i="104"/>
  <c r="E29" i="104"/>
  <c r="K24" i="104"/>
  <c r="H24" i="104"/>
  <c r="G24" i="104"/>
  <c r="F24" i="104"/>
  <c r="E24" i="104"/>
  <c r="G16" i="103"/>
  <c r="F16" i="103"/>
  <c r="E16" i="103"/>
  <c r="M16" i="102"/>
  <c r="L16" i="102"/>
  <c r="K16" i="102"/>
  <c r="J16" i="102"/>
  <c r="I16" i="102"/>
  <c r="H16" i="102"/>
  <c r="G16" i="102"/>
  <c r="F16" i="102"/>
  <c r="E16" i="102"/>
  <c r="F29" i="101"/>
  <c r="F28" i="101"/>
  <c r="M22" i="99"/>
  <c r="L22" i="99"/>
  <c r="K22" i="99"/>
  <c r="J22" i="99"/>
  <c r="I22" i="99"/>
  <c r="H22" i="99"/>
  <c r="G22" i="99"/>
  <c r="F22" i="99"/>
  <c r="E22" i="99"/>
  <c r="M21" i="99"/>
  <c r="L21" i="99"/>
  <c r="K21" i="99"/>
  <c r="J21" i="99"/>
  <c r="I21" i="99"/>
  <c r="H21" i="99"/>
  <c r="G21" i="99"/>
  <c r="F21" i="99"/>
  <c r="E21" i="99"/>
  <c r="M17" i="99"/>
  <c r="L17" i="99"/>
  <c r="K17" i="99"/>
  <c r="J17" i="99"/>
  <c r="I17" i="99"/>
  <c r="H17" i="99"/>
  <c r="G17" i="99"/>
  <c r="F17" i="99"/>
  <c r="E17" i="99"/>
  <c r="O40" i="98"/>
  <c r="N40" i="98"/>
  <c r="M40" i="98"/>
  <c r="L40" i="98"/>
  <c r="K40" i="98"/>
  <c r="J40" i="98"/>
  <c r="I40" i="98"/>
  <c r="H40" i="98"/>
  <c r="G40" i="98"/>
  <c r="O35" i="98"/>
  <c r="N35" i="98"/>
  <c r="M35" i="98"/>
  <c r="L35" i="98"/>
  <c r="K35" i="98"/>
  <c r="J35" i="98"/>
  <c r="I35" i="98"/>
  <c r="H35" i="98"/>
  <c r="G35" i="98"/>
  <c r="H31" i="98"/>
  <c r="O25" i="98"/>
  <c r="N25" i="98"/>
  <c r="M25" i="98"/>
  <c r="L25" i="98"/>
  <c r="K25" i="98"/>
  <c r="J25" i="98"/>
  <c r="I25" i="98"/>
  <c r="H25" i="98"/>
  <c r="G25" i="98"/>
  <c r="O21" i="98"/>
  <c r="N21" i="98"/>
  <c r="M21" i="98"/>
  <c r="L21" i="98"/>
  <c r="K21" i="98"/>
  <c r="J21" i="98"/>
  <c r="I21" i="98"/>
  <c r="H21" i="98"/>
  <c r="G21" i="98"/>
  <c r="H57" i="97"/>
  <c r="O50" i="97"/>
  <c r="N50" i="97"/>
  <c r="M50" i="97"/>
  <c r="L50" i="97"/>
  <c r="K50" i="97"/>
  <c r="J50" i="97"/>
  <c r="I50" i="97"/>
  <c r="H50" i="97"/>
  <c r="G50" i="97"/>
  <c r="O43" i="97"/>
  <c r="N43" i="97"/>
  <c r="M43" i="97"/>
  <c r="L43" i="97"/>
  <c r="K43" i="97"/>
  <c r="J43" i="97"/>
  <c r="I43" i="97"/>
  <c r="H43" i="97"/>
  <c r="G43" i="97"/>
  <c r="O39" i="97"/>
  <c r="N39" i="97"/>
  <c r="M39" i="97"/>
  <c r="L39" i="97"/>
  <c r="K39" i="97"/>
  <c r="J39" i="97"/>
  <c r="I39" i="97"/>
  <c r="H39" i="97"/>
  <c r="G39" i="97"/>
  <c r="O35" i="97"/>
  <c r="N35" i="97"/>
  <c r="M35" i="97"/>
  <c r="L35" i="97"/>
  <c r="K35" i="97"/>
  <c r="J35" i="97"/>
  <c r="I35" i="97"/>
  <c r="H35" i="97"/>
  <c r="G35" i="97"/>
  <c r="O30" i="97"/>
  <c r="N30" i="97"/>
  <c r="M30" i="97"/>
  <c r="L30" i="97"/>
  <c r="K30" i="97"/>
  <c r="J30" i="97"/>
  <c r="I30" i="97"/>
  <c r="H30" i="97"/>
  <c r="G30" i="97"/>
  <c r="O26" i="97"/>
  <c r="N26" i="97"/>
  <c r="M26" i="97"/>
  <c r="L26" i="97"/>
  <c r="K26" i="97"/>
  <c r="J26" i="97"/>
  <c r="I26" i="97"/>
  <c r="H26" i="97"/>
  <c r="G26" i="97"/>
  <c r="O21" i="97"/>
  <c r="N21" i="97"/>
  <c r="M21" i="97"/>
  <c r="L21" i="97"/>
  <c r="K21" i="97"/>
  <c r="J21" i="97"/>
  <c r="I21" i="97"/>
  <c r="H21" i="97"/>
  <c r="G21" i="97"/>
  <c r="O17" i="97"/>
  <c r="N17" i="97"/>
  <c r="M17" i="97"/>
  <c r="L17" i="97"/>
  <c r="K17" i="97"/>
  <c r="J17" i="97"/>
  <c r="I17" i="97"/>
  <c r="H17" i="97"/>
  <c r="G17" i="97"/>
  <c r="M177" i="96"/>
  <c r="L177" i="96"/>
  <c r="K177" i="96"/>
  <c r="J177" i="96"/>
  <c r="I177" i="96"/>
  <c r="H177" i="96"/>
  <c r="G177" i="96"/>
  <c r="F177" i="96"/>
  <c r="E177" i="96"/>
  <c r="M162" i="96"/>
  <c r="L162" i="96"/>
  <c r="K162" i="96"/>
  <c r="J162" i="96"/>
  <c r="H162" i="96"/>
  <c r="G162" i="96"/>
  <c r="F162" i="96"/>
  <c r="E162" i="96"/>
  <c r="M158" i="96"/>
  <c r="L158" i="96"/>
  <c r="K158" i="96"/>
  <c r="J158" i="96"/>
  <c r="I158" i="96"/>
  <c r="H158" i="96"/>
  <c r="G158" i="96"/>
  <c r="F158" i="96"/>
  <c r="E158" i="96"/>
  <c r="M149" i="96"/>
  <c r="L149" i="96"/>
  <c r="K149" i="96"/>
  <c r="J149" i="96"/>
  <c r="I149" i="96"/>
  <c r="H149" i="96"/>
  <c r="G149" i="96"/>
  <c r="F149" i="96"/>
  <c r="E149" i="96"/>
  <c r="M141" i="96"/>
  <c r="L141" i="96"/>
  <c r="K141" i="96"/>
  <c r="J141" i="96"/>
  <c r="I141" i="96"/>
  <c r="H141" i="96"/>
  <c r="G141" i="96"/>
  <c r="F141" i="96"/>
  <c r="E141" i="96"/>
  <c r="M135" i="96"/>
  <c r="L135" i="96"/>
  <c r="K135" i="96"/>
  <c r="J135" i="96"/>
  <c r="I135" i="96"/>
  <c r="H135" i="96"/>
  <c r="G135" i="96"/>
  <c r="F135" i="96"/>
  <c r="E135" i="96"/>
  <c r="M131" i="96"/>
  <c r="L131" i="96"/>
  <c r="K131" i="96"/>
  <c r="J131" i="96"/>
  <c r="I131" i="96"/>
  <c r="H131" i="96"/>
  <c r="G131" i="96"/>
  <c r="F131" i="96"/>
  <c r="E131" i="96"/>
  <c r="M127" i="96"/>
  <c r="L127" i="96"/>
  <c r="K127" i="96"/>
  <c r="J127" i="96"/>
  <c r="I127" i="96"/>
  <c r="H127" i="96"/>
  <c r="G127" i="96"/>
  <c r="F127" i="96"/>
  <c r="E127" i="96"/>
  <c r="M121" i="96"/>
  <c r="L121" i="96"/>
  <c r="K121" i="96"/>
  <c r="J121" i="96"/>
  <c r="I121" i="96"/>
  <c r="H121" i="96"/>
  <c r="G121" i="96"/>
  <c r="F121" i="96"/>
  <c r="E121" i="96"/>
  <c r="M116" i="96"/>
  <c r="L116" i="96"/>
  <c r="K116" i="96"/>
  <c r="J116" i="96"/>
  <c r="I116" i="96"/>
  <c r="H116" i="96"/>
  <c r="G116" i="96"/>
  <c r="F116" i="96"/>
  <c r="E116" i="96"/>
  <c r="M112" i="96"/>
  <c r="L112" i="96"/>
  <c r="K112" i="96"/>
  <c r="J112" i="96"/>
  <c r="I112" i="96"/>
  <c r="H112" i="96"/>
  <c r="G112" i="96"/>
  <c r="F112" i="96"/>
  <c r="E112" i="96"/>
  <c r="M104" i="96"/>
  <c r="L104" i="96"/>
  <c r="K104" i="96"/>
  <c r="J104" i="96"/>
  <c r="I104" i="96"/>
  <c r="H104" i="96"/>
  <c r="G104" i="96"/>
  <c r="F104" i="96"/>
  <c r="E104" i="96"/>
  <c r="M99" i="96"/>
  <c r="L99" i="96"/>
  <c r="K99" i="96"/>
  <c r="J99" i="96"/>
  <c r="I99" i="96"/>
  <c r="H99" i="96"/>
  <c r="G99" i="96"/>
  <c r="F99" i="96"/>
  <c r="E99" i="96"/>
  <c r="M95" i="96"/>
  <c r="L95" i="96"/>
  <c r="K95" i="96"/>
  <c r="J95" i="96"/>
  <c r="I95" i="96"/>
  <c r="H95" i="96"/>
  <c r="G95" i="96"/>
  <c r="F95" i="96"/>
  <c r="E95" i="96"/>
  <c r="M88" i="96"/>
  <c r="L88" i="96"/>
  <c r="K88" i="96"/>
  <c r="J88" i="96"/>
  <c r="I88" i="96"/>
  <c r="H88" i="96"/>
  <c r="G88" i="96"/>
  <c r="F88" i="96"/>
  <c r="E88" i="96"/>
  <c r="M83" i="96"/>
  <c r="L83" i="96"/>
  <c r="K83" i="96"/>
  <c r="J83" i="96"/>
  <c r="I83" i="96"/>
  <c r="H83" i="96"/>
  <c r="G83" i="96"/>
  <c r="F83" i="96"/>
  <c r="E83" i="96"/>
  <c r="M78" i="96"/>
  <c r="L78" i="96"/>
  <c r="K78" i="96"/>
  <c r="J78" i="96"/>
  <c r="I78" i="96"/>
  <c r="H78" i="96"/>
  <c r="G78" i="96"/>
  <c r="F78" i="96"/>
  <c r="E78" i="96"/>
  <c r="M74" i="96"/>
  <c r="L74" i="96"/>
  <c r="K74" i="96"/>
  <c r="J74" i="96"/>
  <c r="I74" i="96"/>
  <c r="H74" i="96"/>
  <c r="G74" i="96"/>
  <c r="F74" i="96"/>
  <c r="E74" i="96"/>
  <c r="M69" i="96"/>
  <c r="L69" i="96"/>
  <c r="K69" i="96"/>
  <c r="J69" i="96"/>
  <c r="I69" i="96"/>
  <c r="H69" i="96"/>
  <c r="G69" i="96"/>
  <c r="E69" i="96"/>
  <c r="M59" i="96"/>
  <c r="L59" i="96"/>
  <c r="K59" i="96"/>
  <c r="J59" i="96"/>
  <c r="I59" i="96"/>
  <c r="H59" i="96"/>
  <c r="G59" i="96"/>
  <c r="F59" i="96"/>
  <c r="E59" i="96"/>
  <c r="M50" i="96"/>
  <c r="L50" i="96"/>
  <c r="K50" i="96"/>
  <c r="J50" i="96"/>
  <c r="H50" i="96"/>
  <c r="G50" i="96"/>
  <c r="F50" i="96"/>
  <c r="E50" i="96"/>
  <c r="M44" i="96"/>
  <c r="L44" i="96"/>
  <c r="K44" i="96"/>
  <c r="J44" i="96"/>
  <c r="H44" i="96"/>
  <c r="G44" i="96"/>
  <c r="F44" i="96"/>
  <c r="E44" i="96"/>
  <c r="M38" i="96"/>
  <c r="L38" i="96"/>
  <c r="K38" i="96"/>
  <c r="J38" i="96"/>
  <c r="I38" i="96"/>
  <c r="H38" i="96"/>
  <c r="G38" i="96"/>
  <c r="F38" i="96"/>
  <c r="E38" i="96"/>
  <c r="M34" i="96"/>
  <c r="L34" i="96"/>
  <c r="K34" i="96"/>
  <c r="J34" i="96"/>
  <c r="I34" i="96"/>
  <c r="H34" i="96"/>
  <c r="G34" i="96"/>
  <c r="F34" i="96"/>
  <c r="E34" i="96"/>
  <c r="M29" i="96"/>
  <c r="L29" i="96"/>
  <c r="K29" i="96"/>
  <c r="J29" i="96"/>
  <c r="I29" i="96"/>
  <c r="H29" i="96"/>
  <c r="G29" i="96"/>
  <c r="F29" i="96"/>
  <c r="E29" i="96"/>
  <c r="K24" i="96"/>
  <c r="H24" i="96"/>
  <c r="G24" i="96"/>
  <c r="F24" i="96"/>
  <c r="E24" i="96"/>
  <c r="N16" i="95"/>
  <c r="M16" i="95"/>
  <c r="L16" i="95"/>
  <c r="K16" i="95"/>
  <c r="J16" i="95"/>
  <c r="I16" i="95"/>
  <c r="H16" i="95"/>
  <c r="G16" i="95"/>
  <c r="F16" i="95"/>
  <c r="F28" i="94"/>
  <c r="M22" i="93"/>
  <c r="L22" i="93"/>
  <c r="K22" i="93"/>
  <c r="J22" i="93"/>
  <c r="I22" i="93"/>
  <c r="H22" i="93"/>
  <c r="G22" i="93"/>
  <c r="F22" i="93"/>
  <c r="E22" i="93"/>
  <c r="M21" i="93"/>
  <c r="L21" i="93"/>
  <c r="K21" i="93"/>
  <c r="J21" i="93"/>
  <c r="I21" i="93"/>
  <c r="H21" i="93"/>
  <c r="G21" i="93"/>
  <c r="F21" i="93"/>
  <c r="E21" i="93"/>
  <c r="M17" i="93"/>
  <c r="L17" i="93"/>
  <c r="K17" i="93"/>
  <c r="J17" i="93"/>
  <c r="I17" i="93"/>
  <c r="H17" i="93"/>
  <c r="G17" i="93"/>
  <c r="F17" i="93"/>
  <c r="E17" i="93"/>
  <c r="L76" i="92"/>
  <c r="K76" i="92"/>
  <c r="J76" i="92"/>
  <c r="I76" i="92"/>
  <c r="H76" i="92"/>
  <c r="G76" i="92"/>
  <c r="C76" i="92"/>
  <c r="O75" i="92"/>
  <c r="N75" i="92"/>
  <c r="M75" i="92"/>
  <c r="L75" i="92"/>
  <c r="K75" i="92"/>
  <c r="J75" i="92"/>
  <c r="I75" i="92"/>
  <c r="H75" i="92"/>
  <c r="G75" i="92"/>
  <c r="O66" i="92"/>
  <c r="N66" i="92"/>
  <c r="M66" i="92"/>
  <c r="L66" i="92"/>
  <c r="K66" i="92"/>
  <c r="J66" i="92"/>
  <c r="I66" i="92"/>
  <c r="H66" i="92"/>
  <c r="G66" i="92"/>
  <c r="O62" i="92"/>
  <c r="N62" i="92"/>
  <c r="M62" i="92"/>
  <c r="L62" i="92"/>
  <c r="K62" i="92"/>
  <c r="J62" i="92"/>
  <c r="I62" i="92"/>
  <c r="H62" i="92"/>
  <c r="G62" i="92"/>
  <c r="O58" i="92"/>
  <c r="N58" i="92"/>
  <c r="M58" i="92"/>
  <c r="L58" i="92"/>
  <c r="K58" i="92"/>
  <c r="J58" i="92"/>
  <c r="I58" i="92"/>
  <c r="H58" i="92"/>
  <c r="G58" i="92"/>
  <c r="O54" i="92"/>
  <c r="N54" i="92"/>
  <c r="M54" i="92"/>
  <c r="L54" i="92"/>
  <c r="K54" i="92"/>
  <c r="J54" i="92"/>
  <c r="I54" i="92"/>
  <c r="H54" i="92"/>
  <c r="G54" i="92"/>
  <c r="O48" i="92"/>
  <c r="N48" i="92"/>
  <c r="M48" i="92"/>
  <c r="L48" i="92"/>
  <c r="K48" i="92"/>
  <c r="J48" i="92"/>
  <c r="I48" i="92"/>
  <c r="H48" i="92"/>
  <c r="G48" i="92"/>
  <c r="O43" i="92"/>
  <c r="N43" i="92"/>
  <c r="M43" i="92"/>
  <c r="L43" i="92"/>
  <c r="K43" i="92"/>
  <c r="J43" i="92"/>
  <c r="I43" i="92"/>
  <c r="H43" i="92"/>
  <c r="G43" i="92"/>
  <c r="O35" i="92"/>
  <c r="N35" i="92"/>
  <c r="M35" i="92"/>
  <c r="L35" i="92"/>
  <c r="K35" i="92"/>
  <c r="J35" i="92"/>
  <c r="I35" i="92"/>
  <c r="H35" i="92"/>
  <c r="G35" i="92"/>
  <c r="O30" i="92"/>
  <c r="N30" i="92"/>
  <c r="M30" i="92"/>
  <c r="L30" i="92"/>
  <c r="K30" i="92"/>
  <c r="J30" i="92"/>
  <c r="I30" i="92"/>
  <c r="H30" i="92"/>
  <c r="G30" i="92"/>
  <c r="O26" i="92"/>
  <c r="N26" i="92"/>
  <c r="M26" i="92"/>
  <c r="L26" i="92"/>
  <c r="K26" i="92"/>
  <c r="J26" i="92"/>
  <c r="I26" i="92"/>
  <c r="H26" i="92"/>
  <c r="G26" i="92"/>
  <c r="O21" i="92"/>
  <c r="N21" i="92"/>
  <c r="M21" i="92"/>
  <c r="L21" i="92"/>
  <c r="K21" i="92"/>
  <c r="J21" i="92"/>
  <c r="I21" i="92"/>
  <c r="H21" i="92"/>
  <c r="G21" i="92"/>
  <c r="O17" i="92"/>
  <c r="N17" i="92"/>
  <c r="M17" i="92"/>
  <c r="L17" i="92"/>
  <c r="K17" i="92"/>
  <c r="J17" i="92"/>
  <c r="I17" i="92"/>
  <c r="H17" i="92"/>
  <c r="G17" i="92"/>
  <c r="G182" i="90"/>
  <c r="F182" i="90"/>
  <c r="E182" i="90"/>
  <c r="M180" i="90"/>
  <c r="L180" i="90"/>
  <c r="K180" i="90"/>
  <c r="J180" i="90"/>
  <c r="I180" i="90"/>
  <c r="H180" i="90"/>
  <c r="G180" i="90"/>
  <c r="F180" i="90"/>
  <c r="E180" i="90"/>
  <c r="M165" i="90"/>
  <c r="L165" i="90"/>
  <c r="K165" i="90"/>
  <c r="J165" i="90"/>
  <c r="H165" i="90"/>
  <c r="G165" i="90"/>
  <c r="F165" i="90"/>
  <c r="E165" i="90"/>
  <c r="M161" i="90"/>
  <c r="L161" i="90"/>
  <c r="K161" i="90"/>
  <c r="J161" i="90"/>
  <c r="I161" i="90"/>
  <c r="H161" i="90"/>
  <c r="G161" i="90"/>
  <c r="F161" i="90"/>
  <c r="E161" i="90"/>
  <c r="M152" i="90"/>
  <c r="L152" i="90"/>
  <c r="K152" i="90"/>
  <c r="J152" i="90"/>
  <c r="H152" i="90"/>
  <c r="G152" i="90"/>
  <c r="F152" i="90"/>
  <c r="E152" i="90"/>
  <c r="M148" i="90"/>
  <c r="L148" i="90"/>
  <c r="K148" i="90"/>
  <c r="J148" i="90"/>
  <c r="I148" i="90"/>
  <c r="H148" i="90"/>
  <c r="G148" i="90"/>
  <c r="F148" i="90"/>
  <c r="E148" i="90"/>
  <c r="M140" i="90"/>
  <c r="L140" i="90"/>
  <c r="K140" i="90"/>
  <c r="J140" i="90"/>
  <c r="I140" i="90"/>
  <c r="H140" i="90"/>
  <c r="G140" i="90"/>
  <c r="F140" i="90"/>
  <c r="E140" i="90"/>
  <c r="M134" i="90"/>
  <c r="L134" i="90"/>
  <c r="K134" i="90"/>
  <c r="J134" i="90"/>
  <c r="I134" i="90"/>
  <c r="H134" i="90"/>
  <c r="G134" i="90"/>
  <c r="F134" i="90"/>
  <c r="E134" i="90"/>
  <c r="M130" i="90"/>
  <c r="L130" i="90"/>
  <c r="K130" i="90"/>
  <c r="J130" i="90"/>
  <c r="I130" i="90"/>
  <c r="H130" i="90"/>
  <c r="G130" i="90"/>
  <c r="F130" i="90"/>
  <c r="E130" i="90"/>
  <c r="M126" i="90"/>
  <c r="L126" i="90"/>
  <c r="K126" i="90"/>
  <c r="J126" i="90"/>
  <c r="I126" i="90"/>
  <c r="H126" i="90"/>
  <c r="G126" i="90"/>
  <c r="F126" i="90"/>
  <c r="E126" i="90"/>
  <c r="M120" i="90"/>
  <c r="L120" i="90"/>
  <c r="K120" i="90"/>
  <c r="J120" i="90"/>
  <c r="I120" i="90"/>
  <c r="H120" i="90"/>
  <c r="G120" i="90"/>
  <c r="F120" i="90"/>
  <c r="E120" i="90"/>
  <c r="M115" i="90"/>
  <c r="L115" i="90"/>
  <c r="K115" i="90"/>
  <c r="J115" i="90"/>
  <c r="I115" i="90"/>
  <c r="H115" i="90"/>
  <c r="G115" i="90"/>
  <c r="F115" i="90"/>
  <c r="E115" i="90"/>
  <c r="M111" i="90"/>
  <c r="L111" i="90"/>
  <c r="K111" i="90"/>
  <c r="J111" i="90"/>
  <c r="I111" i="90"/>
  <c r="H111" i="90"/>
  <c r="G111" i="90"/>
  <c r="F111" i="90"/>
  <c r="E111" i="90"/>
  <c r="M104" i="90"/>
  <c r="L104" i="90"/>
  <c r="K104" i="90"/>
  <c r="J104" i="90"/>
  <c r="I104" i="90"/>
  <c r="H104" i="90"/>
  <c r="G104" i="90"/>
  <c r="F104" i="90"/>
  <c r="E104" i="90"/>
  <c r="M99" i="90"/>
  <c r="L99" i="90"/>
  <c r="K99" i="90"/>
  <c r="J99" i="90"/>
  <c r="I99" i="90"/>
  <c r="H99" i="90"/>
  <c r="G99" i="90"/>
  <c r="F99" i="90"/>
  <c r="E99" i="90"/>
  <c r="M95" i="90"/>
  <c r="L95" i="90"/>
  <c r="K95" i="90"/>
  <c r="J95" i="90"/>
  <c r="I95" i="90"/>
  <c r="H95" i="90"/>
  <c r="G95" i="90"/>
  <c r="F95" i="90"/>
  <c r="E95" i="90"/>
  <c r="M88" i="90"/>
  <c r="L88" i="90"/>
  <c r="K88" i="90"/>
  <c r="J88" i="90"/>
  <c r="I88" i="90"/>
  <c r="H88" i="90"/>
  <c r="G88" i="90"/>
  <c r="F88" i="90"/>
  <c r="E88" i="90"/>
  <c r="M83" i="90"/>
  <c r="L83" i="90"/>
  <c r="K83" i="90"/>
  <c r="J83" i="90"/>
  <c r="I83" i="90"/>
  <c r="H83" i="90"/>
  <c r="G83" i="90"/>
  <c r="F83" i="90"/>
  <c r="E83" i="90"/>
  <c r="M78" i="90"/>
  <c r="L78" i="90"/>
  <c r="K78" i="90"/>
  <c r="J78" i="90"/>
  <c r="I78" i="90"/>
  <c r="H78" i="90"/>
  <c r="G78" i="90"/>
  <c r="F78" i="90"/>
  <c r="E78" i="90"/>
  <c r="M74" i="90"/>
  <c r="L74" i="90"/>
  <c r="K74" i="90"/>
  <c r="J74" i="90"/>
  <c r="I74" i="90"/>
  <c r="H74" i="90"/>
  <c r="G74" i="90"/>
  <c r="F74" i="90"/>
  <c r="E74" i="90"/>
  <c r="M69" i="90"/>
  <c r="L69" i="90"/>
  <c r="K69" i="90"/>
  <c r="J69" i="90"/>
  <c r="I69" i="90"/>
  <c r="H69" i="90"/>
  <c r="G69" i="90"/>
  <c r="E69" i="90"/>
  <c r="M59" i="90"/>
  <c r="L59" i="90"/>
  <c r="K59" i="90"/>
  <c r="J59" i="90"/>
  <c r="I59" i="90"/>
  <c r="H59" i="90"/>
  <c r="G59" i="90"/>
  <c r="F59" i="90"/>
  <c r="E59" i="90"/>
  <c r="M50" i="90"/>
  <c r="L50" i="90"/>
  <c r="K50" i="90"/>
  <c r="J50" i="90"/>
  <c r="H50" i="90"/>
  <c r="G50" i="90"/>
  <c r="F50" i="90"/>
  <c r="E50" i="90"/>
  <c r="M44" i="90"/>
  <c r="L44" i="90"/>
  <c r="K44" i="90"/>
  <c r="J44" i="90"/>
  <c r="H44" i="90"/>
  <c r="G44" i="90"/>
  <c r="F44" i="90"/>
  <c r="E44" i="90"/>
  <c r="M38" i="90"/>
  <c r="L38" i="90"/>
  <c r="K38" i="90"/>
  <c r="J38" i="90"/>
  <c r="I38" i="90"/>
  <c r="H38" i="90"/>
  <c r="G38" i="90"/>
  <c r="F38" i="90"/>
  <c r="E38" i="90"/>
  <c r="M34" i="90"/>
  <c r="L34" i="90"/>
  <c r="K34" i="90"/>
  <c r="J34" i="90"/>
  <c r="I34" i="90"/>
  <c r="H34" i="90"/>
  <c r="G34" i="90"/>
  <c r="F34" i="90"/>
  <c r="E34" i="90"/>
  <c r="M29" i="90"/>
  <c r="L29" i="90"/>
  <c r="K29" i="90"/>
  <c r="J29" i="90"/>
  <c r="I29" i="90"/>
  <c r="H29" i="90"/>
  <c r="G29" i="90"/>
  <c r="F29" i="90"/>
  <c r="E29" i="90"/>
  <c r="K24" i="90"/>
  <c r="H24" i="90"/>
  <c r="G24" i="90"/>
  <c r="F24" i="90"/>
  <c r="E24" i="90"/>
  <c r="F28" i="89"/>
  <c r="M22" i="88"/>
  <c r="L22" i="88"/>
  <c r="K22" i="88"/>
  <c r="J22" i="88"/>
  <c r="I22" i="88"/>
  <c r="H22" i="88"/>
  <c r="G22" i="88"/>
  <c r="F22" i="88"/>
  <c r="E22" i="88"/>
  <c r="M21" i="88"/>
  <c r="L21" i="88"/>
  <c r="K21" i="88"/>
  <c r="J21" i="88"/>
  <c r="I21" i="88"/>
  <c r="H21" i="88"/>
  <c r="G21" i="88"/>
  <c r="F21" i="88"/>
  <c r="E21" i="88"/>
  <c r="M17" i="88"/>
  <c r="L17" i="88"/>
  <c r="K17" i="88"/>
  <c r="J17" i="88"/>
  <c r="I17" i="88"/>
  <c r="H17" i="88"/>
  <c r="G17" i="88"/>
  <c r="F17" i="88"/>
  <c r="E17" i="88"/>
  <c r="O76" i="87"/>
  <c r="N76" i="87"/>
  <c r="M76" i="87"/>
  <c r="L76" i="87"/>
  <c r="K76" i="87"/>
  <c r="J76" i="87"/>
  <c r="I76" i="87"/>
  <c r="H76" i="87"/>
  <c r="G76" i="87"/>
  <c r="C76" i="87"/>
  <c r="O75" i="87"/>
  <c r="N75" i="87"/>
  <c r="M75" i="87"/>
  <c r="L75" i="87"/>
  <c r="K75" i="87"/>
  <c r="J75" i="87"/>
  <c r="I75" i="87"/>
  <c r="H75" i="87"/>
  <c r="G75" i="87"/>
  <c r="O66" i="87"/>
  <c r="N66" i="87"/>
  <c r="M66" i="87"/>
  <c r="L66" i="87"/>
  <c r="K66" i="87"/>
  <c r="J66" i="87"/>
  <c r="I66" i="87"/>
  <c r="H66" i="87"/>
  <c r="G66" i="87"/>
  <c r="O62" i="87"/>
  <c r="N62" i="87"/>
  <c r="M62" i="87"/>
  <c r="L62" i="87"/>
  <c r="K62" i="87"/>
  <c r="J62" i="87"/>
  <c r="I62" i="87"/>
  <c r="H62" i="87"/>
  <c r="G62" i="87"/>
  <c r="O58" i="87"/>
  <c r="N58" i="87"/>
  <c r="M58" i="87"/>
  <c r="L58" i="87"/>
  <c r="K58" i="87"/>
  <c r="J58" i="87"/>
  <c r="I58" i="87"/>
  <c r="H58" i="87"/>
  <c r="G58" i="87"/>
  <c r="O54" i="87"/>
  <c r="N54" i="87"/>
  <c r="M54" i="87"/>
  <c r="L54" i="87"/>
  <c r="K54" i="87"/>
  <c r="J54" i="87"/>
  <c r="I54" i="87"/>
  <c r="H54" i="87"/>
  <c r="G54" i="87"/>
  <c r="O48" i="87"/>
  <c r="N48" i="87"/>
  <c r="M48" i="87"/>
  <c r="L48" i="87"/>
  <c r="K48" i="87"/>
  <c r="J48" i="87"/>
  <c r="I48" i="87"/>
  <c r="H48" i="87"/>
  <c r="G48" i="87"/>
  <c r="O43" i="87"/>
  <c r="N43" i="87"/>
  <c r="M43" i="87"/>
  <c r="L43" i="87"/>
  <c r="K43" i="87"/>
  <c r="J43" i="87"/>
  <c r="I43" i="87"/>
  <c r="H43" i="87"/>
  <c r="G43" i="87"/>
  <c r="O35" i="87"/>
  <c r="N35" i="87"/>
  <c r="M35" i="87"/>
  <c r="L35" i="87"/>
  <c r="K35" i="87"/>
  <c r="J35" i="87"/>
  <c r="I35" i="87"/>
  <c r="H35" i="87"/>
  <c r="G35" i="87"/>
  <c r="O30" i="87"/>
  <c r="N30" i="87"/>
  <c r="M30" i="87"/>
  <c r="L30" i="87"/>
  <c r="K30" i="87"/>
  <c r="J30" i="87"/>
  <c r="I30" i="87"/>
  <c r="H30" i="87"/>
  <c r="G30" i="87"/>
  <c r="O26" i="87"/>
  <c r="N26" i="87"/>
  <c r="M26" i="87"/>
  <c r="L26" i="87"/>
  <c r="K26" i="87"/>
  <c r="J26" i="87"/>
  <c r="I26" i="87"/>
  <c r="H26" i="87"/>
  <c r="G26" i="87"/>
  <c r="O21" i="87"/>
  <c r="N21" i="87"/>
  <c r="M21" i="87"/>
  <c r="L21" i="87"/>
  <c r="K21" i="87"/>
  <c r="J21" i="87"/>
  <c r="I21" i="87"/>
  <c r="H21" i="87"/>
  <c r="G21" i="87"/>
  <c r="O17" i="87"/>
  <c r="N17" i="87"/>
  <c r="M17" i="87"/>
  <c r="L17" i="87"/>
  <c r="K17" i="87"/>
  <c r="J17" i="87"/>
  <c r="I17" i="87"/>
  <c r="H17" i="87"/>
  <c r="G17" i="87"/>
  <c r="M178" i="86"/>
  <c r="L178" i="86"/>
  <c r="K178" i="86"/>
  <c r="J178" i="86"/>
  <c r="I178" i="86"/>
  <c r="H178" i="86"/>
  <c r="G178" i="86"/>
  <c r="F178" i="86"/>
  <c r="E178" i="86"/>
  <c r="M176" i="86"/>
  <c r="L176" i="86"/>
  <c r="K176" i="86"/>
  <c r="J176" i="86"/>
  <c r="I176" i="86"/>
  <c r="H176" i="86"/>
  <c r="G176" i="86"/>
  <c r="F176" i="86"/>
  <c r="E176" i="86"/>
  <c r="M161" i="86"/>
  <c r="L161" i="86"/>
  <c r="K161" i="86"/>
  <c r="J161" i="86"/>
  <c r="H161" i="86"/>
  <c r="G161" i="86"/>
  <c r="F161" i="86"/>
  <c r="E161" i="86"/>
  <c r="M157" i="86"/>
  <c r="L157" i="86"/>
  <c r="K157" i="86"/>
  <c r="J157" i="86"/>
  <c r="I157" i="86"/>
  <c r="H157" i="86"/>
  <c r="G157" i="86"/>
  <c r="F157" i="86"/>
  <c r="E157" i="86"/>
  <c r="M148" i="86"/>
  <c r="L148" i="86"/>
  <c r="K148" i="86"/>
  <c r="J148" i="86"/>
  <c r="H148" i="86"/>
  <c r="G148" i="86"/>
  <c r="F148" i="86"/>
  <c r="E148" i="86"/>
  <c r="M144" i="86"/>
  <c r="L144" i="86"/>
  <c r="K144" i="86"/>
  <c r="J144" i="86"/>
  <c r="I144" i="86"/>
  <c r="H144" i="86"/>
  <c r="G144" i="86"/>
  <c r="F144" i="86"/>
  <c r="E144" i="86"/>
  <c r="M136" i="86"/>
  <c r="L136" i="86"/>
  <c r="K136" i="86"/>
  <c r="J136" i="86"/>
  <c r="I136" i="86"/>
  <c r="H136" i="86"/>
  <c r="G136" i="86"/>
  <c r="F136" i="86"/>
  <c r="E136" i="86"/>
  <c r="M131" i="86"/>
  <c r="L131" i="86"/>
  <c r="K131" i="86"/>
  <c r="J131" i="86"/>
  <c r="I131" i="86"/>
  <c r="H131" i="86"/>
  <c r="G131" i="86"/>
  <c r="F131" i="86"/>
  <c r="E131" i="86"/>
  <c r="M127" i="86"/>
  <c r="L127" i="86"/>
  <c r="K127" i="86"/>
  <c r="J127" i="86"/>
  <c r="I127" i="86"/>
  <c r="H127" i="86"/>
  <c r="G127" i="86"/>
  <c r="F127" i="86"/>
  <c r="E127" i="86"/>
  <c r="M123" i="86"/>
  <c r="L123" i="86"/>
  <c r="K123" i="86"/>
  <c r="J123" i="86"/>
  <c r="I123" i="86"/>
  <c r="H123" i="86"/>
  <c r="G123" i="86"/>
  <c r="F123" i="86"/>
  <c r="E123" i="86"/>
  <c r="M117" i="86"/>
  <c r="L117" i="86"/>
  <c r="K117" i="86"/>
  <c r="J117" i="86"/>
  <c r="I117" i="86"/>
  <c r="H117" i="86"/>
  <c r="G117" i="86"/>
  <c r="F117" i="86"/>
  <c r="E117" i="86"/>
  <c r="M112" i="86"/>
  <c r="L112" i="86"/>
  <c r="K112" i="86"/>
  <c r="J112" i="86"/>
  <c r="I112" i="86"/>
  <c r="H112" i="86"/>
  <c r="G112" i="86"/>
  <c r="F112" i="86"/>
  <c r="E112" i="86"/>
  <c r="M108" i="86"/>
  <c r="L108" i="86"/>
  <c r="K108" i="86"/>
  <c r="J108" i="86"/>
  <c r="I108" i="86"/>
  <c r="H108" i="86"/>
  <c r="G108" i="86"/>
  <c r="F108" i="86"/>
  <c r="E108" i="86"/>
  <c r="M101" i="86"/>
  <c r="L101" i="86"/>
  <c r="K101" i="86"/>
  <c r="J101" i="86"/>
  <c r="I101" i="86"/>
  <c r="H101" i="86"/>
  <c r="G101" i="86"/>
  <c r="F101" i="86"/>
  <c r="E101" i="86"/>
  <c r="M96" i="86"/>
  <c r="L96" i="86"/>
  <c r="K96" i="86"/>
  <c r="J96" i="86"/>
  <c r="I96" i="86"/>
  <c r="H96" i="86"/>
  <c r="G96" i="86"/>
  <c r="F96" i="86"/>
  <c r="E96" i="86"/>
  <c r="M92" i="86"/>
  <c r="L92" i="86"/>
  <c r="K92" i="86"/>
  <c r="J92" i="86"/>
  <c r="I92" i="86"/>
  <c r="H92" i="86"/>
  <c r="G92" i="86"/>
  <c r="F92" i="86"/>
  <c r="E92" i="86"/>
  <c r="M85" i="86"/>
  <c r="L85" i="86"/>
  <c r="K85" i="86"/>
  <c r="J85" i="86"/>
  <c r="I85" i="86"/>
  <c r="H85" i="86"/>
  <c r="G85" i="86"/>
  <c r="F85" i="86"/>
  <c r="E85" i="86"/>
  <c r="M80" i="86"/>
  <c r="L80" i="86"/>
  <c r="K80" i="86"/>
  <c r="J80" i="86"/>
  <c r="I80" i="86"/>
  <c r="H80" i="86"/>
  <c r="G80" i="86"/>
  <c r="F80" i="86"/>
  <c r="E80" i="86"/>
  <c r="M75" i="86"/>
  <c r="L75" i="86"/>
  <c r="K75" i="86"/>
  <c r="J75" i="86"/>
  <c r="I75" i="86"/>
  <c r="H75" i="86"/>
  <c r="G75" i="86"/>
  <c r="F75" i="86"/>
  <c r="E75" i="86"/>
  <c r="M71" i="86"/>
  <c r="L71" i="86"/>
  <c r="K71" i="86"/>
  <c r="J71" i="86"/>
  <c r="I71" i="86"/>
  <c r="H71" i="86"/>
  <c r="G71" i="86"/>
  <c r="F71" i="86"/>
  <c r="E71" i="86"/>
  <c r="M66" i="86"/>
  <c r="L66" i="86"/>
  <c r="K66" i="86"/>
  <c r="J66" i="86"/>
  <c r="H66" i="86"/>
  <c r="G66" i="86"/>
  <c r="F66" i="86"/>
  <c r="E66" i="86"/>
  <c r="IV57" i="86"/>
  <c r="M57" i="86"/>
  <c r="L57" i="86"/>
  <c r="K57" i="86"/>
  <c r="J57" i="86"/>
  <c r="I57" i="86"/>
  <c r="H57" i="86"/>
  <c r="G57" i="86"/>
  <c r="F57" i="86"/>
  <c r="E57" i="86"/>
  <c r="M48" i="86"/>
  <c r="L48" i="86"/>
  <c r="K48" i="86"/>
  <c r="J48" i="86"/>
  <c r="H48" i="86"/>
  <c r="G48" i="86"/>
  <c r="F48" i="86"/>
  <c r="E48" i="86"/>
  <c r="M42" i="86"/>
  <c r="L42" i="86"/>
  <c r="K42" i="86"/>
  <c r="J42" i="86"/>
  <c r="H42" i="86"/>
  <c r="G42" i="86"/>
  <c r="F42" i="86"/>
  <c r="E42" i="86"/>
  <c r="M36" i="86"/>
  <c r="L36" i="86"/>
  <c r="K36" i="86"/>
  <c r="J36" i="86"/>
  <c r="I36" i="86"/>
  <c r="H36" i="86"/>
  <c r="G36" i="86"/>
  <c r="F36" i="86"/>
  <c r="E36" i="86"/>
  <c r="M32" i="86"/>
  <c r="L32" i="86"/>
  <c r="K32" i="86"/>
  <c r="J32" i="86"/>
  <c r="I32" i="86"/>
  <c r="H32" i="86"/>
  <c r="G32" i="86"/>
  <c r="F32" i="86"/>
  <c r="E32" i="86"/>
  <c r="M27" i="86"/>
  <c r="L27" i="86"/>
  <c r="K27" i="86"/>
  <c r="J27" i="86"/>
  <c r="I27" i="86"/>
  <c r="H27" i="86"/>
  <c r="G27" i="86"/>
  <c r="F27" i="86"/>
  <c r="E27" i="86"/>
  <c r="M23" i="86"/>
  <c r="L23" i="86"/>
  <c r="K23" i="86"/>
  <c r="J23" i="86"/>
  <c r="I23" i="86"/>
  <c r="H23" i="86"/>
  <c r="G23" i="86"/>
  <c r="F23" i="86"/>
  <c r="E23" i="86"/>
  <c r="J39" i="83"/>
  <c r="J34" i="81"/>
  <c r="J34" i="76"/>
  <c r="J36" i="73"/>
  <c r="J36" i="70"/>
  <c r="J27" i="66"/>
  <c r="J29" i="65"/>
  <c r="Q19" i="62"/>
  <c r="O19" i="62"/>
  <c r="J19" i="62"/>
  <c r="I19" i="62"/>
  <c r="Q33" i="60"/>
  <c r="O33" i="60"/>
  <c r="N33" i="60"/>
  <c r="K33" i="60"/>
  <c r="J33" i="60"/>
  <c r="I33" i="60"/>
  <c r="Q27" i="56"/>
  <c r="O27" i="56"/>
  <c r="N27" i="56"/>
  <c r="K27" i="56"/>
  <c r="J27" i="56"/>
  <c r="I27" i="56"/>
  <c r="Q19" i="55"/>
  <c r="O19" i="55"/>
  <c r="J19" i="55"/>
  <c r="I19" i="55"/>
  <c r="Q36" i="54"/>
  <c r="O36" i="54"/>
  <c r="N36" i="54"/>
  <c r="J36" i="54"/>
  <c r="I36" i="54"/>
  <c r="Q19" i="52"/>
  <c r="O19" i="52"/>
  <c r="J19" i="52"/>
  <c r="I19" i="52"/>
  <c r="Q21" i="49"/>
  <c r="O21" i="49"/>
  <c r="J21" i="49"/>
  <c r="I21" i="49"/>
  <c r="Q40" i="47"/>
  <c r="O40" i="47"/>
  <c r="N40" i="47"/>
  <c r="J40" i="47"/>
  <c r="I40" i="47"/>
  <c r="Q23" i="46"/>
  <c r="P23" i="46"/>
  <c r="O23" i="46"/>
  <c r="N23" i="46"/>
  <c r="M23" i="46"/>
  <c r="L23" i="46"/>
  <c r="K23" i="46"/>
  <c r="J23" i="46"/>
  <c r="I23" i="46"/>
  <c r="Q40" i="45"/>
  <c r="O40" i="45"/>
  <c r="N40" i="45"/>
  <c r="J40" i="45"/>
  <c r="I40" i="45"/>
  <c r="Q21" i="42"/>
  <c r="O21" i="42"/>
  <c r="J21" i="42"/>
  <c r="I21" i="42"/>
  <c r="Q23" i="41"/>
  <c r="P23" i="41"/>
  <c r="O23" i="41"/>
  <c r="N23" i="41"/>
  <c r="M23" i="41"/>
  <c r="L23" i="41"/>
  <c r="K23" i="41"/>
  <c r="J23" i="41"/>
  <c r="I23" i="41"/>
  <c r="Q21" i="40"/>
  <c r="O21" i="40"/>
  <c r="J21" i="40"/>
  <c r="I21" i="40"/>
  <c r="Q22" i="39"/>
  <c r="O22" i="39"/>
  <c r="J22" i="39"/>
  <c r="I22" i="39"/>
  <c r="Q23" i="38"/>
  <c r="P23" i="38"/>
  <c r="O23" i="38"/>
  <c r="N23" i="38"/>
  <c r="M23" i="38"/>
  <c r="L23" i="38"/>
  <c r="K23" i="38"/>
  <c r="J23" i="38"/>
  <c r="I23" i="38"/>
  <c r="Q39" i="37"/>
  <c r="O39" i="37"/>
  <c r="N39" i="37"/>
  <c r="L39" i="37"/>
  <c r="J39" i="37"/>
  <c r="I39" i="37"/>
  <c r="Q39" i="32"/>
  <c r="O39" i="32"/>
  <c r="N39" i="32"/>
  <c r="L39" i="32"/>
  <c r="J39" i="32"/>
  <c r="I39" i="32"/>
  <c r="Q24" i="31"/>
  <c r="P24" i="31"/>
  <c r="O24" i="31"/>
  <c r="N24" i="31"/>
  <c r="M24" i="31"/>
  <c r="L24" i="31"/>
  <c r="K24" i="31"/>
  <c r="J24" i="31"/>
  <c r="I24" i="31"/>
  <c r="Q24" i="30"/>
  <c r="P24" i="30"/>
  <c r="O24" i="30"/>
  <c r="N24" i="30"/>
  <c r="M24" i="30"/>
  <c r="L24" i="30"/>
  <c r="K24" i="30"/>
  <c r="J24" i="30"/>
  <c r="I24" i="30"/>
  <c r="Q42" i="28"/>
  <c r="O42" i="28"/>
  <c r="N42" i="28"/>
  <c r="L42" i="28"/>
  <c r="J42" i="28"/>
  <c r="I42" i="28"/>
  <c r="Q22" i="27"/>
  <c r="O22" i="27"/>
  <c r="L22" i="27"/>
  <c r="J22" i="27"/>
  <c r="I22" i="27"/>
  <c r="Q20" i="25"/>
  <c r="O20" i="25"/>
  <c r="L20" i="25"/>
  <c r="J20" i="25"/>
  <c r="I20" i="25"/>
  <c r="Q42" i="24"/>
  <c r="O42" i="24"/>
  <c r="N42" i="24"/>
  <c r="L42" i="24"/>
  <c r="J42" i="24"/>
  <c r="I42" i="24"/>
  <c r="Q24" i="22"/>
  <c r="P24" i="22"/>
  <c r="O24" i="22"/>
  <c r="N24" i="22"/>
  <c r="M24" i="22"/>
  <c r="L24" i="22"/>
  <c r="K24" i="22"/>
  <c r="J24" i="22"/>
  <c r="I24" i="22"/>
  <c r="Q44" i="20"/>
  <c r="O44" i="20"/>
  <c r="N44" i="20"/>
  <c r="L44" i="20"/>
  <c r="J44" i="20"/>
  <c r="I44" i="20"/>
  <c r="Q49" i="17"/>
  <c r="O49" i="17"/>
  <c r="N49" i="17"/>
  <c r="M49" i="17"/>
  <c r="L49" i="17"/>
  <c r="K49" i="17"/>
  <c r="J49" i="17"/>
  <c r="I49" i="17"/>
  <c r="Q34" i="14"/>
  <c r="P34" i="14"/>
  <c r="O34" i="14"/>
  <c r="N34" i="14"/>
  <c r="M34" i="14"/>
  <c r="L34" i="14"/>
  <c r="K34" i="14"/>
  <c r="J34" i="14"/>
  <c r="I34" i="14"/>
  <c r="O81" i="13"/>
  <c r="M81" i="13"/>
  <c r="L81" i="13"/>
  <c r="K81" i="13"/>
  <c r="I81" i="13"/>
  <c r="P29" i="12"/>
  <c r="O29" i="12"/>
  <c r="N29" i="12"/>
  <c r="M29" i="12"/>
  <c r="L29" i="12"/>
  <c r="K29" i="12"/>
  <c r="J29" i="12"/>
  <c r="I29" i="12"/>
  <c r="H29" i="12"/>
  <c r="H81" i="10"/>
  <c r="P29" i="8"/>
  <c r="O29" i="8"/>
  <c r="N29" i="8"/>
  <c r="M29" i="8"/>
  <c r="L29" i="8"/>
  <c r="K29" i="8"/>
  <c r="J29" i="8"/>
  <c r="I29" i="8"/>
  <c r="H29" i="8"/>
  <c r="H81" i="7"/>
  <c r="P32" i="5"/>
  <c r="O32" i="5"/>
  <c r="N32" i="5"/>
  <c r="M32" i="5"/>
  <c r="L32" i="5"/>
  <c r="K32" i="5"/>
  <c r="J32" i="5"/>
  <c r="I32" i="5"/>
  <c r="H32" i="5"/>
  <c r="P29" i="2"/>
  <c r="O29" i="2"/>
  <c r="N29" i="2"/>
  <c r="M29" i="2"/>
  <c r="L29" i="2"/>
  <c r="K29" i="2"/>
  <c r="J29" i="2"/>
  <c r="I29" i="2"/>
  <c r="H29" i="2"/>
  <c r="O178" i="372" l="1"/>
  <c r="P180" i="372"/>
  <c r="O180" i="372"/>
  <c r="P178" i="372"/>
  <c r="L242" i="371"/>
  <c r="L244" i="371"/>
  <c r="M242" i="371"/>
  <c r="M244" i="371"/>
  <c r="M15" i="369"/>
  <c r="M16" i="369" s="1"/>
  <c r="M46" i="369" s="1"/>
  <c r="J181" i="368"/>
  <c r="K181" i="368"/>
  <c r="K183" i="368"/>
  <c r="J183" i="368"/>
  <c r="N183" i="368"/>
  <c r="N181" i="368"/>
  <c r="L183" i="368"/>
  <c r="L181" i="368"/>
  <c r="P94" i="368"/>
  <c r="P156" i="368"/>
  <c r="O156" i="368"/>
  <c r="P23" i="368"/>
  <c r="P25" i="368" s="1"/>
  <c r="P39" i="368"/>
  <c r="P41" i="368" s="1"/>
  <c r="P48" i="368"/>
  <c r="P50" i="368" s="1"/>
  <c r="P64" i="368"/>
  <c r="P66" i="368" s="1"/>
  <c r="P76" i="368"/>
  <c r="P80" i="368" s="1"/>
  <c r="P98" i="368"/>
  <c r="P104" i="368" s="1"/>
  <c r="P107" i="368"/>
  <c r="P108" i="368" s="1"/>
  <c r="O118" i="368"/>
  <c r="P136" i="368"/>
  <c r="P146" i="368" s="1"/>
  <c r="P171" i="368"/>
  <c r="P180" i="368" s="1"/>
  <c r="P181" i="368" s="1"/>
  <c r="P18" i="368"/>
  <c r="P19" i="368" s="1"/>
  <c r="P72" i="368"/>
  <c r="P73" i="368" s="1"/>
  <c r="O132" i="368"/>
  <c r="O168" i="368"/>
  <c r="O181" i="368" s="1"/>
  <c r="M211" i="367"/>
  <c r="E245" i="367"/>
  <c r="G245" i="367"/>
  <c r="J245" i="367"/>
  <c r="L91" i="367"/>
  <c r="M162" i="367"/>
  <c r="M39" i="367"/>
  <c r="K245" i="367"/>
  <c r="M56" i="367"/>
  <c r="M222" i="367"/>
  <c r="M243" i="367"/>
  <c r="M91" i="367"/>
  <c r="M183" i="367"/>
  <c r="M79" i="367"/>
  <c r="M156" i="367"/>
  <c r="M242" i="367"/>
  <c r="M59" i="367"/>
  <c r="M61" i="367" s="1"/>
  <c r="M113" i="367"/>
  <c r="M116" i="367" s="1"/>
  <c r="M123" i="367"/>
  <c r="M128" i="367" s="1"/>
  <c r="M135" i="367"/>
  <c r="M136" i="367" s="1"/>
  <c r="L144" i="367"/>
  <c r="L162" i="367"/>
  <c r="L222" i="367"/>
  <c r="L243" i="367" s="1"/>
  <c r="L31" i="367"/>
  <c r="L43" i="367"/>
  <c r="L156" i="367"/>
  <c r="L183" i="367"/>
  <c r="L193" i="367"/>
  <c r="O183" i="368" l="1"/>
  <c r="P183" i="368"/>
  <c r="L245" i="367"/>
  <c r="M245" i="367"/>
  <c r="F151" i="371"/>
  <c r="L77" i="4"/>
  <c r="K77" i="4"/>
  <c r="F149" i="358"/>
  <c r="J77" i="1"/>
  <c r="J77" i="4"/>
  <c r="F148" i="347"/>
  <c r="K77" i="1"/>
  <c r="H77" i="1"/>
  <c r="L77" i="1"/>
  <c r="H77" i="4"/>
  <c r="F151" i="363"/>
  <c r="F151" i="367"/>
  <c r="F149" i="352"/>
  <c r="F146" i="342"/>
</calcChain>
</file>

<file path=xl/sharedStrings.xml><?xml version="1.0" encoding="utf-8"?>
<sst xmlns="http://schemas.openxmlformats.org/spreadsheetml/2006/main" count="67827" uniqueCount="1870">
  <si>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</si>
  <si>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</si>
  <si>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</si>
  <si>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</si>
  <si>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</si>
  <si>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</si>
  <si>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</si>
  <si>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</si>
  <si>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</si>
  <si>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</si>
  <si>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</si>
  <si>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</si>
  <si>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</si>
  <si>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</si>
  <si>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</si>
  <si>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</si>
  <si>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</si>
  <si>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</si>
  <si>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</si>
  <si>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</si>
  <si>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</si>
  <si>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</si>
  <si>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</si>
  <si>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</si>
  <si>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</si>
  <si>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</si>
  <si>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</si>
  <si>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</si>
  <si>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</si>
  <si>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</si>
  <si>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</si>
  <si>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</si>
  <si>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</si>
  <si>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</si>
  <si>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</si>
  <si>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</si>
  <si>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</si>
  <si>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</si>
  <si>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</si>
  <si>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</si>
  <si>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</si>
  <si>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</si>
  <si>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</si>
  <si>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</si>
  <si>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</si>
  <si>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</si>
  <si>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</si>
  <si>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</si>
  <si>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</si>
  <si>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</si>
  <si>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</si>
  <si>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</si>
  <si>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</si>
  <si>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</si>
  <si>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</si>
  <si>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</si>
  <si>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</si>
  <si>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</si>
  <si>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</si>
  <si>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</si>
  <si>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</si>
  <si>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</si>
  <si>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</si>
  <si>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</si>
  <si>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</si>
  <si>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</si>
  <si>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</si>
  <si>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</si>
  <si>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</si>
  <si>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</si>
  <si>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</si>
  <si>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</si>
  <si>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</si>
  <si>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</si>
  <si>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</si>
  <si>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</si>
  <si>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</si>
  <si>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</si>
  <si>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</si>
  <si>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</si>
  <si>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</si>
  <si>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</si>
  <si>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</si>
  <si>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</si>
  <si>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</si>
  <si>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</si>
  <si>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</si>
  <si>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</si>
  <si>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</si>
  <si>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</si>
  <si>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</si>
  <si>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</si>
  <si>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</si>
  <si>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</si>
  <si>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</si>
  <si>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</si>
  <si>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</si>
  <si>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</si>
  <si>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</si>
  <si>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</si>
  <si>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</si>
  <si>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</si>
  <si>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</si>
  <si>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</si>
  <si>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</si>
  <si>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</si>
  <si>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</si>
  <si>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</si>
  <si>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</si>
  <si>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</si>
  <si>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</si>
  <si>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</si>
  <si>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</si>
  <si>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</si>
  <si>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</si>
  <si>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</si>
  <si>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</si>
  <si>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</si>
  <si>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</si>
  <si>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</si>
  <si>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</si>
  <si>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</si>
  <si>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</si>
  <si>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</si>
  <si>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</si>
  <si>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</si>
  <si>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</si>
  <si>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</si>
  <si>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</si>
  <si>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</si>
  <si>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</si>
  <si>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</si>
  <si>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</si>
  <si>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</si>
  <si>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</si>
  <si>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</si>
  <si>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</si>
  <si>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</si>
  <si>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</si>
  <si>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</si>
  <si>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</si>
  <si>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</si>
  <si>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</si>
  <si>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</si>
  <si>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</si>
  <si>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</si>
  <si>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</si>
  <si>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</si>
  <si>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</si>
  <si>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</si>
  <si>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</si>
  <si>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</si>
  <si>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</si>
  <si>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</si>
  <si>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</si>
  <si>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</si>
  <si>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</si>
  <si>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</si>
  <si>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</si>
  <si>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</si>
  <si>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</si>
  <si>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</si>
  <si>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</si>
  <si>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</si>
  <si>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</si>
  <si>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</si>
  <si>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</si>
  <si>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</si>
  <si>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</si>
  <si>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</si>
  <si>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</si>
  <si>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</si>
  <si>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</si>
  <si>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</si>
  <si>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</si>
  <si>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</si>
  <si>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</si>
  <si>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</si>
  <si>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</si>
  <si>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</si>
  <si>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</si>
  <si>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</si>
  <si>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</si>
  <si>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</si>
  <si>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</si>
  <si>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</si>
  <si>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</si>
  <si>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</si>
  <si>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</si>
  <si>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</si>
  <si>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</si>
  <si>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</si>
  <si>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</si>
  <si>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</si>
  <si>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</si>
  <si>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</si>
  <si>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</si>
  <si>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</si>
  <si>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</si>
  <si>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</si>
  <si>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</si>
  <si>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</si>
  <si>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</si>
  <si>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</si>
  <si>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</si>
  <si>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</si>
  <si>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</si>
  <si>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</si>
  <si>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</si>
  <si>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</si>
  <si>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</si>
  <si>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</si>
  <si>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</si>
  <si>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</si>
  <si>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</si>
  <si>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</si>
  <si>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</si>
  <si>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</si>
  <si>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</si>
  <si>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</si>
  <si>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</si>
  <si>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</si>
  <si>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</si>
  <si>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</si>
  <si>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</si>
  <si>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</si>
  <si>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</si>
  <si>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</si>
  <si>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</si>
  <si>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</si>
  <si>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</si>
  <si>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</si>
  <si>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</si>
  <si>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</si>
  <si>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</si>
  <si>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</si>
  <si>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</si>
  <si>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</si>
  <si>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</si>
  <si>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</si>
  <si>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</si>
  <si>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</si>
  <si>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</si>
  <si>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</si>
  <si>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</si>
  <si>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</si>
  <si>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</si>
  <si>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</si>
  <si>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</si>
  <si>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</si>
  <si>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</si>
  <si>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</si>
  <si>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</si>
  <si>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</si>
  <si>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</si>
  <si>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</si>
  <si>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</si>
  <si>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</si>
  <si>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</si>
  <si>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</si>
  <si>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</si>
  <si>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</si>
  <si>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</si>
  <si>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</si>
  <si>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</si>
  <si>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</si>
  <si>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</si>
  <si>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</si>
  <si>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</si>
  <si>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</si>
  <si>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</si>
  <si>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</si>
  <si>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</si>
  <si>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</si>
  <si>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</si>
  <si>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</si>
  <si>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</si>
  <si>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</si>
  <si>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</si>
  <si>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</si>
  <si>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</si>
  <si>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</si>
  <si>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</si>
  <si>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</si>
  <si>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</si>
  <si>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</si>
  <si>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</si>
  <si>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</si>
  <si>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</si>
  <si>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</si>
  <si>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</si>
  <si>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</si>
  <si>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</si>
  <si>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</si>
  <si>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</si>
  <si>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</si>
  <si>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</si>
  <si>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</si>
  <si>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</si>
  <si>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</si>
  <si>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</si>
  <si>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</si>
  <si>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</si>
  <si>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</si>
  <si>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</si>
  <si>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</si>
  <si>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</si>
  <si>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</si>
  <si>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</si>
  <si>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</si>
  <si>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</si>
  <si>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</si>
  <si>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</si>
  <si>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</si>
  <si>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</si>
  <si>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</si>
  <si>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</si>
  <si>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</si>
  <si>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</si>
  <si>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</si>
  <si>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</si>
  <si>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</si>
  <si>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</si>
  <si>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</si>
  <si>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</si>
  <si>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</si>
  <si>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</si>
  <si>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</si>
  <si>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</si>
  <si>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</si>
  <si>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</si>
  <si>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</si>
  <si>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</si>
  <si>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</si>
  <si>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</si>
  <si>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</si>
  <si>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</si>
  <si>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</si>
  <si>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</si>
  <si>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</si>
  <si>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</si>
  <si>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</si>
  <si>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</si>
  <si>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</si>
  <si>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</si>
  <si>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</si>
  <si>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</si>
  <si>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</si>
  <si>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</si>
  <si>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</si>
  <si>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</si>
  <si>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</si>
  <si>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</si>
  <si>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</si>
  <si>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</si>
  <si>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</si>
  <si>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</si>
  <si>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</si>
  <si>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</si>
  <si>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</si>
  <si>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</si>
  <si>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</si>
  <si>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</si>
  <si>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</si>
  <si>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</si>
  <si>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</si>
  <si>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</si>
  <si>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</si>
  <si>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</si>
  <si>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</si>
  <si>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</si>
  <si>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</si>
  <si>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</si>
  <si>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</si>
  <si>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</si>
  <si>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</si>
  <si>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</si>
  <si>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</si>
  <si>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</si>
  <si>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</si>
  <si>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</si>
  <si>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</si>
  <si>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</si>
  <si>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</si>
  <si>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</si>
  <si>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</si>
  <si>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</si>
  <si>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</si>
  <si>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</si>
  <si>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</si>
  <si>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</si>
  <si>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</si>
  <si>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</si>
  <si>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</si>
  <si>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</si>
  <si>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</si>
  <si>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</si>
  <si>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</si>
  <si>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</si>
  <si>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</si>
  <si>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</si>
  <si>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</si>
  <si>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</si>
  <si>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</si>
  <si>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</si>
  <si>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</si>
  <si>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</si>
  <si>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</si>
  <si>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</si>
  <si>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</si>
  <si>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</si>
  <si>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</si>
  <si>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</si>
  <si>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</si>
  <si>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</si>
  <si>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</si>
  <si>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</si>
  <si>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</si>
  <si>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</si>
  <si>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</si>
  <si>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</si>
  <si>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</si>
  <si>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</si>
  <si>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</si>
  <si>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</si>
  <si>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</si>
  <si>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</si>
  <si>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</si>
  <si>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</si>
  <si>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</si>
  <si>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</si>
  <si>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</si>
  <si>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</si>
  <si>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</si>
  <si>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</si>
  <si>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</si>
  <si>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</si>
  <si>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</si>
  <si>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</si>
  <si>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</si>
  <si>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</si>
  <si>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</si>
  <si>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</si>
  <si>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</si>
  <si>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</si>
  <si>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</si>
  <si>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</si>
  <si>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</si>
  <si>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</si>
  <si>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</si>
  <si>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</si>
  <si>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</si>
  <si>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</si>
  <si>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</si>
  <si>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</si>
  <si>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</si>
  <si>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</si>
  <si>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</si>
  <si>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</si>
  <si>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</si>
  <si>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</si>
  <si>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</si>
  <si>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</si>
  <si>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</si>
  <si>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</si>
  <si>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</si>
  <si>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</si>
  <si>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</si>
  <si>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</si>
  <si>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</si>
  <si>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</si>
  <si>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</si>
  <si>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</si>
  <si>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</si>
  <si>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</si>
  <si>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</si>
  <si>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</si>
  <si>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</si>
  <si>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</si>
  <si>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</si>
  <si>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</si>
  <si>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</si>
  <si>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</si>
  <si>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</si>
  <si>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</si>
  <si>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</si>
  <si>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</si>
  <si>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</si>
  <si>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</si>
  <si>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</si>
  <si>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</si>
  <si>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</si>
  <si>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</si>
  <si>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</si>
  <si>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</si>
  <si>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</si>
  <si>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</si>
  <si>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</si>
  <si>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</si>
  <si>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</si>
  <si>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</si>
  <si>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</si>
  <si>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</si>
  <si>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</si>
  <si>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</si>
  <si>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</si>
  <si>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</si>
  <si>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</si>
  <si>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</si>
  <si>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</si>
  <si>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</si>
  <si>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</si>
  <si>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</si>
  <si>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</si>
  <si>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</si>
  <si>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</si>
  <si>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</si>
  <si>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</si>
  <si>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</si>
  <si>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</si>
  <si>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</si>
  <si>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</si>
  <si>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</si>
  <si>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</si>
  <si>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</si>
  <si>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</si>
  <si>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</si>
  <si>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</si>
  <si>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</si>
  <si>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</si>
  <si>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</si>
  <si>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</si>
  <si>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</si>
  <si>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</si>
  <si>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</si>
  <si>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</si>
  <si>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</si>
  <si>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</si>
  <si>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</si>
  <si>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</si>
  <si>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</si>
  <si>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</si>
  <si>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</si>
  <si>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</si>
  <si>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</si>
  <si>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</si>
  <si>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</si>
  <si>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</si>
  <si>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</si>
  <si>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</si>
  <si>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</si>
  <si>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</si>
  <si>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</si>
  <si>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</si>
  <si>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</si>
  <si>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</si>
  <si>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</si>
  <si>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</si>
  <si>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</si>
  <si>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</si>
  <si>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</si>
  <si>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</si>
  <si>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</si>
  <si>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</si>
  <si>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</si>
  <si>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</si>
  <si>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</si>
  <si>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</si>
  <si>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</si>
  <si>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</si>
  <si>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</si>
  <si>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</si>
  <si>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</si>
  <si>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</si>
  <si>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</si>
  <si>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</si>
  <si>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</si>
  <si>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</si>
  <si>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</si>
  <si>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</si>
  <si>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</si>
  <si>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</si>
  <si>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</si>
  <si>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</si>
  <si>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</si>
  <si>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</si>
  <si>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</si>
  <si>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</si>
  <si>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</si>
  <si>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</si>
  <si>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</si>
  <si>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</si>
  <si>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</si>
  <si>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</si>
  <si>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</si>
  <si>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</si>
  <si>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</si>
  <si>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</si>
  <si>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</si>
  <si>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</si>
  <si>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</si>
  <si>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</si>
  <si>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</si>
  <si>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</si>
  <si>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</si>
  <si>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</si>
  <si>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</si>
  <si>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</si>
  <si>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</si>
  <si>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</si>
  <si>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</si>
  <si>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</si>
  <si>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</si>
  <si>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</si>
  <si>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</si>
  <si>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</si>
  <si>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</si>
  <si>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</si>
  <si>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</si>
  <si>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</si>
  <si>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</si>
  <si>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</si>
  <si>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</si>
  <si>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</si>
  <si>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</si>
  <si>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</si>
  <si>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</si>
  <si>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</si>
  <si>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</si>
  <si>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</si>
  <si>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</si>
  <si>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</si>
  <si>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</si>
  <si>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</si>
  <si>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</si>
  <si>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</si>
  <si>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</si>
  <si>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</si>
  <si>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</si>
  <si>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</si>
  <si>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</si>
  <si>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</si>
  <si>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</si>
  <si>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</si>
  <si>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</si>
  <si>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</si>
  <si>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</si>
  <si>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</si>
  <si>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</si>
  <si>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</si>
  <si>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</si>
  <si>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</si>
  <si>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</si>
  <si>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</si>
  <si>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</si>
  <si>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</si>
  <si>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</si>
  <si>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</si>
  <si>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</si>
  <si>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</si>
  <si>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</si>
  <si>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</si>
  <si>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</si>
  <si>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</si>
  <si>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</si>
  <si>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</si>
  <si>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</si>
  <si>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</si>
  <si>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</si>
  <si>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</si>
  <si>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</si>
  <si>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</si>
  <si>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</si>
  <si>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</si>
  <si>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</si>
  <si>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</si>
  <si>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</si>
  <si>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</si>
  <si>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</si>
  <si>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</si>
  <si>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</si>
  <si>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</si>
  <si>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</si>
  <si>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</si>
  <si>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</si>
  <si>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</si>
  <si>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</si>
  <si>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</si>
  <si>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</si>
  <si>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</si>
  <si>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</si>
  <si>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</si>
  <si>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</si>
  <si>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</si>
  <si>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</si>
  <si>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</si>
  <si>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</si>
  <si>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</si>
  <si>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</si>
  <si>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</si>
  <si>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</si>
  <si>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</si>
  <si>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</si>
  <si>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</si>
  <si>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</si>
  <si>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</si>
  <si>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</si>
  <si>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</si>
  <si>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</si>
  <si>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</si>
  <si>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</si>
  <si>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</si>
  <si>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</si>
  <si>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</si>
  <si>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</si>
  <si>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</si>
  <si>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</si>
  <si>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</si>
  <si>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</si>
  <si>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</si>
  <si>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</si>
  <si>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</si>
  <si>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</si>
  <si>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</si>
  <si>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</si>
  <si>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</si>
  <si>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</si>
  <si>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</si>
  <si>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</si>
  <si>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</si>
  <si>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</si>
  <si>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</si>
  <si>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</si>
  <si>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</si>
  <si>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</si>
  <si>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</si>
  <si>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</si>
  <si>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</si>
  <si>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</si>
  <si>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</si>
  <si>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</si>
  <si>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</si>
  <si>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</si>
  <si>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</si>
  <si>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</si>
  <si>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</si>
  <si>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</si>
  <si>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</si>
  <si>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</si>
  <si>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</si>
  <si>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</si>
  <si>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</si>
  <si>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</si>
  <si>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</si>
  <si>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</si>
  <si>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</si>
  <si>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</si>
  <si>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</si>
  <si>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</si>
  <si>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</si>
  <si>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</si>
  <si>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</si>
  <si>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</si>
  <si>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</si>
  <si>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</si>
  <si>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</si>
  <si>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</si>
  <si>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</si>
  <si>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</si>
  <si>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</si>
  <si>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</si>
  <si>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</si>
  <si>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</si>
  <si>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</si>
  <si>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</si>
  <si>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</si>
  <si>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</si>
  <si>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</si>
  <si>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</si>
  <si>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</si>
  <si>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</si>
  <si>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</si>
  <si>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</si>
  <si>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</si>
  <si>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</si>
  <si>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</si>
  <si>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</si>
  <si>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</si>
  <si>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</si>
  <si>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</si>
  <si>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</si>
  <si>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</si>
  <si>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</si>
  <si>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</si>
  <si>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</si>
  <si>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</si>
  <si>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</si>
  <si>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</si>
  <si>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</si>
  <si>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</si>
  <si>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</si>
  <si>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</si>
  <si>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</si>
  <si>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</si>
  <si>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</si>
  <si>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</si>
  <si>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</si>
  <si>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</si>
  <si>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</si>
  <si>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</si>
  <si>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</si>
  <si>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</si>
  <si>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</si>
  <si>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</si>
  <si>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</si>
  <si>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</si>
  <si>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</si>
  <si>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</si>
  <si>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</si>
  <si>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</si>
  <si>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</si>
  <si>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</si>
  <si>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</si>
  <si>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</si>
  <si>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</si>
  <si>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</si>
  <si>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</si>
  <si>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</si>
  <si>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</si>
  <si>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</si>
  <si>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</si>
  <si>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</si>
  <si>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</si>
  <si>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</si>
  <si>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</si>
  <si>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</si>
  <si>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</si>
  <si>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</si>
  <si>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</si>
  <si>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</si>
  <si>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</si>
  <si>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</si>
  <si>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</si>
  <si>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</si>
  <si>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</si>
  <si>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</si>
  <si>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</si>
  <si>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</si>
  <si>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</si>
  <si>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</si>
  <si>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</si>
  <si>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</si>
  <si>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</si>
  <si>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</si>
  <si>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</si>
  <si>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</si>
  <si>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</si>
  <si>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</si>
  <si>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</si>
  <si>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</si>
  <si>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</si>
  <si>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</si>
  <si>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</si>
  <si>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</si>
  <si>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</si>
  <si>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</si>
  <si>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</si>
  <si>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</si>
  <si>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</si>
  <si>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</si>
  <si>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</si>
  <si>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</si>
  <si>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</si>
  <si>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</si>
  <si>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</si>
  <si>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</si>
  <si>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</si>
  <si>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</si>
  <si>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</si>
  <si>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</si>
  <si>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</si>
  <si>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</si>
  <si>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</si>
  <si>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</si>
  <si>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</si>
  <si>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</si>
  <si>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</si>
  <si>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</si>
  <si>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</si>
  <si>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</si>
  <si>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</si>
  <si>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</si>
  <si>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</si>
  <si>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</si>
  <si>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</si>
  <si>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</si>
  <si>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</si>
  <si>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</si>
  <si>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</si>
  <si>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</si>
  <si>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</si>
  <si>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</si>
  <si>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</si>
  <si>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</si>
  <si>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</si>
  <si>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</si>
  <si>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</si>
  <si>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</si>
  <si>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</si>
  <si>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</si>
  <si>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</si>
  <si>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</si>
  <si>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</si>
  <si>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</si>
  <si>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</si>
  <si>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</si>
  <si>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</si>
  <si>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</si>
  <si>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</si>
  <si>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</si>
  <si>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</si>
  <si>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</si>
  <si>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</si>
  <si>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</si>
  <si>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</si>
  <si>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</si>
  <si>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</si>
  <si>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</si>
  <si>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</si>
  <si>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</si>
  <si>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</si>
  <si>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</si>
  <si>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</si>
  <si>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</si>
  <si>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</si>
  <si>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</si>
  <si>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</si>
  <si>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</si>
  <si>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</si>
  <si>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</si>
  <si>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</si>
  <si>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</si>
  <si>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</si>
  <si>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</si>
  <si>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</si>
  <si>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</si>
  <si>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</si>
  <si>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</si>
  <si>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</si>
  <si>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</si>
  <si>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</si>
  <si>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</si>
  <si>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</si>
  <si>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</si>
  <si>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</si>
  <si>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</si>
  <si>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</si>
  <si>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</si>
  <si>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</si>
  <si>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</si>
  <si>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</si>
  <si>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</si>
  <si>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</si>
  <si>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</si>
  <si>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</si>
  <si>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</si>
  <si>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</si>
  <si>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</si>
  <si>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</si>
  <si>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</si>
  <si>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</si>
  <si>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</si>
  <si>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</si>
  <si>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</si>
  <si>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</si>
  <si>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</si>
  <si>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</si>
  <si>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</si>
  <si>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</si>
  <si>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</si>
  <si>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</si>
  <si>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</si>
  <si>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</si>
  <si>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</si>
  <si>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</si>
  <si>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</si>
  <si>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</si>
  <si>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</si>
  <si>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</si>
  <si>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</si>
  <si>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</si>
  <si>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</si>
  <si>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</si>
  <si>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</si>
  <si>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</si>
  <si>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</si>
  <si>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</si>
  <si>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</si>
  <si>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</si>
  <si>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</si>
  <si>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</si>
  <si>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</si>
  <si>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</si>
  <si>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</si>
  <si>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</si>
  <si>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</si>
  <si>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</si>
  <si>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</si>
  <si>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</si>
  <si>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</si>
  <si>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</si>
  <si>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</si>
  <si>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</si>
  <si>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</si>
  <si>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</si>
  <si>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</si>
  <si>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</si>
  <si>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</si>
  <si>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</si>
  <si>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</si>
  <si>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</si>
  <si>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</si>
  <si>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</si>
  <si>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</si>
  <si>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</si>
  <si>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</si>
  <si>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</si>
  <si>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</si>
  <si>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</si>
  <si>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</si>
  <si>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</si>
  <si>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</si>
  <si>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</si>
  <si>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</si>
  <si>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</si>
  <si>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</si>
  <si>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</si>
  <si>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</si>
  <si>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</si>
  <si>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</si>
  <si>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</si>
  <si>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</si>
  <si>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</si>
  <si>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</si>
  <si>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</si>
  <si>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</si>
  <si>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</si>
  <si>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</si>
  <si>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</si>
  <si>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</si>
  <si>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</si>
  <si>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</si>
  <si>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</si>
  <si>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</si>
  <si>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</si>
  <si>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</si>
  <si>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</si>
  <si>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</si>
  <si>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</si>
  <si>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</si>
  <si>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</si>
  <si>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</si>
  <si>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</si>
  <si>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</si>
  <si>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</si>
  <si>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</si>
  <si>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</si>
  <si>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</si>
  <si>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</si>
  <si>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</si>
  <si>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</si>
  <si>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</si>
  <si>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</si>
  <si>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</si>
  <si>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</si>
  <si>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</si>
  <si>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</si>
  <si>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</si>
  <si>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</si>
  <si>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</si>
  <si>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</si>
  <si>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</si>
  <si>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</si>
  <si>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</si>
  <si>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</si>
  <si>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</si>
  <si>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</si>
  <si>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</si>
  <si>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</si>
  <si>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</si>
  <si>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</si>
  <si>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</si>
  <si>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</si>
  <si>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</si>
  <si>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</si>
  <si>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</si>
  <si>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</si>
  <si>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</si>
  <si>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</si>
  <si>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</si>
  <si>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</si>
  <si>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</si>
  <si>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</si>
  <si>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</si>
  <si>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</si>
  <si>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</si>
  <si>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</si>
  <si>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</si>
  <si>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</si>
  <si>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</si>
  <si>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</si>
  <si>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</si>
  <si>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</si>
  <si>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</si>
  <si>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</si>
  <si>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</si>
  <si>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</si>
  <si>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</si>
  <si>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</si>
  <si>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</si>
  <si>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</si>
  <si>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</si>
  <si>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</si>
  <si>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</si>
  <si>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</si>
  <si>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</si>
  <si>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</si>
  <si>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</si>
  <si>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</si>
  <si>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</si>
  <si>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</si>
  <si>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</si>
  <si>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</si>
  <si>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</si>
  <si>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</si>
  <si>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</si>
  <si>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</si>
  <si>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</si>
  <si>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</si>
  <si>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</si>
  <si>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</si>
  <si>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</si>
  <si>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</si>
  <si>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</si>
  <si>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</si>
  <si>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</si>
  <si>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</si>
  <si>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</si>
  <si>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</si>
  <si>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</si>
  <si>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</si>
  <si>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</si>
  <si>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</si>
  <si>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</si>
  <si>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</si>
  <si>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</si>
  <si>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</si>
  <si>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</si>
  <si>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</si>
  <si>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</si>
  <si>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</si>
  <si>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</si>
  <si>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</si>
  <si>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</si>
  <si>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</si>
  <si>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</si>
  <si>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</si>
  <si>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</si>
  <si>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</si>
  <si>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</si>
  <si>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</si>
  <si>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</si>
  <si>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</si>
  <si>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</si>
  <si>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</si>
  <si>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</si>
  <si>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</si>
  <si>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</si>
  <si>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</si>
  <si>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</si>
  <si>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</si>
  <si>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</si>
  <si>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</si>
  <si>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</si>
  <si>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</si>
  <si>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</si>
  <si>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</si>
  <si>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</si>
  <si>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</si>
  <si>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</si>
  <si>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</si>
  <si>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</si>
  <si>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</si>
  <si>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</si>
  <si>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</si>
  <si>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</si>
  <si>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</si>
  <si>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</si>
  <si>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</si>
  <si>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</si>
  <si>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</si>
  <si>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</si>
  <si>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</si>
  <si>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</si>
  <si>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</si>
  <si>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</si>
  <si>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</si>
  <si>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</si>
  <si>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</si>
  <si>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</si>
  <si>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</si>
  <si>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</si>
  <si>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</si>
  <si>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</si>
  <si>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</si>
  <si>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</si>
  <si>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</si>
  <si>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</si>
  <si>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</si>
  <si>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</si>
  <si>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</si>
  <si>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</si>
  <si>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</si>
  <si>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</si>
  <si>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</si>
  <si>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</si>
  <si>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</si>
  <si>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</si>
  <si>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</si>
  <si>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</si>
  <si>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</si>
  <si>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</si>
  <si>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</si>
  <si>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</si>
  <si>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</si>
  <si>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</si>
  <si>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</si>
  <si>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</si>
  <si>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</si>
  <si>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</si>
  <si>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</si>
  <si>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</si>
  <si>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</si>
  <si>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</si>
  <si>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</si>
  <si>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</si>
  <si>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</si>
  <si>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</si>
  <si>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</si>
  <si>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</si>
  <si>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</si>
  <si>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</si>
  <si>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</si>
  <si>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</si>
  <si>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</si>
  <si>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</si>
  <si>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</si>
  <si>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</si>
  <si>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</si>
  <si>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</si>
  <si>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</si>
  <si>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</si>
  <si>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</si>
  <si>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</si>
  <si>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</si>
  <si>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</si>
  <si>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</si>
  <si>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</si>
  <si>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</si>
  <si>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</si>
  <si>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</si>
  <si>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</si>
  <si>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</si>
  <si>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</si>
  <si>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</si>
  <si>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</si>
  <si>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</si>
  <si>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</si>
  <si>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</si>
  <si>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</si>
  <si>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</si>
  <si>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</si>
  <si>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</si>
  <si>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</si>
  <si>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</si>
  <si>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</si>
  <si>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</si>
  <si>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</si>
  <si>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</si>
  <si>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</si>
  <si>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</si>
  <si>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</si>
  <si>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</si>
  <si>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</si>
  <si>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</si>
  <si>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</si>
  <si>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</si>
  <si>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</si>
  <si>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</si>
  <si>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</si>
  <si>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</si>
  <si>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</si>
  <si>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</si>
  <si>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</si>
  <si>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</si>
  <si>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</si>
  <si>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</si>
  <si>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</si>
  <si>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</si>
  <si>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</si>
  <si>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</si>
  <si>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</si>
  <si>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</si>
  <si>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</si>
  <si>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</si>
  <si>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</si>
  <si>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</si>
  <si>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</si>
  <si>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</si>
  <si>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</si>
  <si>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</si>
  <si>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</si>
  <si>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</si>
  <si>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</si>
  <si>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</si>
  <si>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</si>
  <si>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</si>
  <si>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</si>
  <si>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</si>
  <si>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</si>
  <si>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</si>
  <si>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</si>
  <si>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</si>
  <si>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</si>
  <si>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</si>
  <si>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</si>
  <si>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</si>
  <si>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</si>
  <si>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</si>
  <si>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</si>
  <si>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</si>
  <si>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</si>
  <si>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</si>
  <si>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</si>
  <si>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</si>
  <si>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</si>
  <si>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</si>
  <si>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</si>
  <si>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</si>
  <si>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</si>
  <si>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</si>
  <si>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</si>
  <si>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</si>
  <si>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</si>
  <si>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</si>
  <si>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</si>
  <si>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</si>
  <si>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</si>
  <si>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</si>
  <si>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</si>
  <si>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</si>
  <si>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</si>
  <si>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</si>
  <si>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</si>
  <si>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</si>
  <si>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</si>
  <si>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</si>
  <si>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</si>
  <si>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</si>
  <si>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</si>
  <si>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</si>
  <si>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</si>
  <si>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</si>
  <si>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</si>
  <si>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</si>
  <si>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</si>
  <si>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</si>
  <si>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</si>
  <si>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</si>
  <si>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</si>
  <si>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</si>
  <si>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</si>
  <si>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</si>
  <si>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</si>
  <si>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</si>
  <si>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</si>
  <si>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</si>
  <si>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</si>
  <si>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</si>
  <si>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</si>
  <si>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</si>
  <si>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</si>
  <si>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</si>
  <si>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</si>
  <si>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</si>
  <si>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</si>
  <si>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</si>
  <si>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</si>
  <si>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</si>
  <si>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</si>
  <si>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</si>
  <si>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</si>
  <si>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</si>
  <si>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</si>
  <si>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</si>
  <si>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</si>
  <si>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</si>
  <si>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</si>
  <si>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</si>
  <si>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</si>
  <si>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</si>
  <si>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</si>
  <si>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</si>
  <si>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</si>
  <si>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</si>
  <si>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</si>
  <si>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</si>
  <si>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</si>
  <si>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</si>
  <si>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</si>
  <si>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</si>
  <si>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</si>
  <si>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</si>
  <si>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</si>
  <si>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</si>
  <si>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</si>
  <si>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</si>
  <si>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</si>
  <si>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</si>
  <si>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</si>
  <si>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</si>
  <si>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</si>
  <si>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</si>
  <si>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</si>
  <si>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</si>
  <si>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</si>
  <si>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</si>
  <si>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</si>
  <si>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</si>
  <si>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</si>
  <si>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</si>
  <si>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</si>
  <si>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</si>
  <si>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</si>
  <si>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</si>
  <si>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</si>
  <si>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</si>
  <si>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</si>
  <si>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</si>
  <si>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</si>
  <si>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</si>
  <si>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</si>
  <si>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</si>
  <si>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</si>
  <si>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</si>
  <si>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</si>
  <si>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</si>
  <si>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</si>
  <si>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</si>
  <si>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</si>
  <si>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</si>
  <si>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</si>
  <si>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</si>
  <si>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</si>
  <si>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</si>
  <si>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</si>
  <si>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</si>
  <si>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</si>
  <si>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</si>
  <si>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</si>
  <si>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</si>
  <si>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</si>
  <si>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</si>
  <si>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</si>
  <si>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</si>
  <si>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</si>
  <si>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</si>
  <si>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</si>
  <si>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</si>
  <si>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</si>
  <si>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</si>
  <si>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</si>
  <si>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</si>
  <si>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</si>
  <si>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</si>
  <si>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</si>
  <si>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</si>
  <si>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</si>
  <si>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</si>
  <si>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</si>
  <si>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</si>
  <si>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</si>
  <si>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</si>
  <si>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</si>
  <si>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</si>
  <si>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</si>
  <si>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</si>
  <si>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</si>
  <si>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</si>
  <si>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</si>
  <si>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</si>
  <si>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</si>
  <si>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</si>
  <si>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</si>
  <si>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</si>
  <si>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</si>
  <si>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</si>
  <si>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</si>
  <si>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</si>
  <si>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</si>
  <si>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</si>
  <si>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</si>
  <si>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</si>
  <si>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</si>
  <si>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</si>
  <si>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</si>
  <si>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</si>
  <si>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</si>
  <si>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</si>
  <si>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</si>
  <si>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</si>
  <si>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</si>
  <si>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</si>
  <si>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</si>
  <si>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</si>
  <si>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</si>
  <si>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</si>
  <si>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</si>
  <si>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</si>
  <si>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</si>
  <si>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</si>
  <si>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</si>
  <si>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</si>
  <si>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</si>
  <si>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</si>
  <si>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</si>
  <si>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</si>
  <si>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</si>
  <si>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</si>
  <si>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</si>
  <si>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</si>
  <si>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</si>
  <si>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</si>
  <si>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</si>
  <si>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</si>
  <si>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</si>
  <si>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</si>
  <si>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</si>
  <si>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</si>
  <si>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</si>
  <si>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</si>
  <si>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</si>
  <si>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</si>
  <si>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</si>
  <si>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</si>
  <si>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</si>
  <si>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</si>
  <si>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</si>
  <si>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</si>
  <si>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</si>
  <si>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</si>
  <si>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</si>
  <si>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</si>
  <si>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</si>
  <si>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</si>
  <si>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</si>
  <si>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</si>
  <si>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</si>
  <si>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</si>
  <si>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</si>
  <si>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</si>
  <si>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</si>
  <si>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</si>
  <si>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</si>
  <si>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</si>
  <si>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</si>
  <si>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</si>
  <si>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</si>
  <si>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</si>
  <si>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</si>
  <si>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</si>
  <si>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</si>
  <si>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</si>
  <si>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</si>
  <si>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</si>
  <si>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</si>
  <si>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</si>
  <si>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</si>
  <si>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</si>
  <si>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</si>
  <si>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</si>
  <si>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</si>
  <si>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</si>
  <si>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</si>
  <si>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</si>
  <si>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</si>
  <si>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</si>
  <si>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</si>
  <si>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</si>
  <si>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</si>
  <si>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</si>
  <si>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</si>
  <si>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</si>
  <si>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</si>
  <si>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</si>
  <si>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</si>
  <si>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</si>
  <si>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</si>
  <si>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</si>
  <si>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</si>
  <si>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</si>
  <si>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</si>
  <si>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</si>
  <si>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</si>
  <si>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</si>
  <si>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</si>
  <si>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</si>
  <si>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</si>
  <si>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</si>
  <si>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</si>
  <si>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</si>
  <si>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</si>
  <si>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</si>
  <si>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</si>
  <si>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</si>
  <si>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</si>
  <si>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</si>
  <si>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</si>
  <si>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</si>
  <si>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</si>
  <si>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</si>
  <si>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</si>
  <si>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</si>
  <si>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</si>
  <si>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</si>
  <si>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</si>
  <si>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</si>
  <si>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</si>
  <si>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</si>
  <si>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</si>
  <si>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</si>
  <si>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</si>
  <si>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</si>
  <si>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</si>
  <si>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</si>
  <si>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</si>
  <si>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</si>
  <si>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</si>
  <si>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</si>
  <si>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</si>
  <si>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</si>
  <si>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</si>
  <si>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</si>
  <si>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</si>
  <si>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</si>
  <si>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</si>
  <si>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</si>
  <si>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</si>
  <si>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</si>
  <si>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</si>
  <si>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</si>
  <si>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</si>
  <si>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</si>
  <si>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</si>
  <si>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</si>
  <si>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</si>
  <si>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</si>
  <si>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</si>
  <si>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</si>
  <si>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</si>
  <si>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</si>
  <si>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</si>
  <si>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</si>
  <si>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</si>
  <si>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</si>
  <si>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</si>
  <si>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</si>
  <si>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</si>
  <si>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</si>
  <si>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</si>
  <si>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</si>
  <si>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</si>
  <si>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</si>
  <si>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</si>
  <si>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</si>
  <si>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</si>
  <si>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</si>
  <si>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</si>
  <si>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</si>
  <si>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</si>
  <si>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</si>
  <si>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</si>
  <si>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</si>
  <si>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</si>
  <si>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</si>
  <si>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</si>
  <si>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</si>
  <si>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</si>
  <si>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</si>
  <si>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</si>
  <si>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</si>
  <si>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</si>
  <si>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</si>
  <si>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</si>
  <si>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</si>
  <si>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</si>
  <si>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</si>
  <si>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</si>
  <si>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</si>
  <si>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</si>
  <si>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</si>
  <si>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</si>
  <si>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</si>
  <si>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</si>
  <si>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</si>
  <si>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</si>
  <si>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</si>
  <si>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</si>
  <si>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</si>
  <si>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</si>
  <si>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</si>
  <si>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</si>
  <si>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</si>
  <si>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</si>
  <si>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</si>
  <si>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</si>
  <si>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</si>
  <si>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</si>
  <si>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</si>
  <si>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</si>
  <si>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</si>
  <si>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</si>
  <si>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</si>
  <si>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</si>
  <si>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</si>
  <si>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</si>
  <si>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</si>
  <si>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</si>
  <si>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</si>
  <si>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</si>
  <si>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</si>
  <si>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</si>
  <si>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</si>
  <si>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</si>
  <si>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</si>
  <si>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</si>
  <si>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</si>
  <si>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</si>
  <si>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</si>
  <si>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</si>
  <si>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</si>
  <si>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</si>
  <si>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</si>
  <si>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</si>
  <si>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</si>
  <si>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</si>
  <si>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</si>
  <si>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</si>
  <si>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</si>
  <si>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</si>
  <si>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</si>
  <si>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</si>
  <si>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</si>
  <si>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</si>
  <si>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</si>
  <si>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</si>
  <si>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</si>
  <si>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</si>
  <si>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</si>
  <si>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</si>
  <si>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</si>
  <si>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</si>
  <si>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</si>
  <si>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</si>
  <si>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</si>
  <si>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</si>
  <si>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</si>
  <si>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</si>
  <si>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</si>
  <si>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</si>
  <si>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</si>
  <si>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</si>
  <si>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</si>
  <si>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</si>
  <si>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</si>
  <si>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</si>
  <si>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</si>
  <si>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</si>
  <si>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</si>
  <si>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</si>
  <si>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</si>
  <si>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</si>
  <si>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</si>
  <si>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</si>
  <si>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</si>
  <si>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</si>
  <si>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</si>
  <si>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</si>
  <si>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</si>
  <si>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</si>
  <si>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</si>
  <si>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</si>
  <si>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</si>
  <si>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</si>
  <si>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</si>
  <si>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</si>
  <si>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</si>
  <si>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</si>
  <si>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</si>
  <si>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</si>
  <si>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</si>
  <si>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</si>
  <si>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</si>
  <si>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</si>
  <si>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</si>
  <si>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</si>
  <si>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</si>
  <si>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</si>
  <si>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</si>
  <si>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</si>
  <si>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</si>
  <si>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</si>
  <si>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</si>
  <si>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</si>
  <si>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</si>
  <si>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</si>
  <si>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</si>
  <si>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</si>
  <si>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</si>
  <si>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</si>
  <si>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</si>
  <si>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</si>
  <si>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</si>
  <si>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</si>
  <si>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</si>
  <si>
    <t>RAILENY MICHELLE PÉREZ BRITO</t>
  </si>
  <si>
    <t>HAMINGTON ELIEZER TORRES GARCIA</t>
  </si>
  <si>
    <t>ENC. DE LA DIVISIÓN DE CONTABILIDAD</t>
  </si>
  <si>
    <t>ENC. DIVISIÓN DE SERVICIOS GENERALES</t>
  </si>
  <si>
    <t>MANUELA PERALTA PICHARDO</t>
  </si>
  <si>
    <t>ENC. SECCIÓN DE PRESUPUESTO</t>
  </si>
  <si>
    <t>CONCEPTO PAGO SUELDO 000018 - FIJOS CORRESPONDIENTE AL MES DE DICIEMBRE 2025</t>
  </si>
  <si>
    <t>MINEYDA ESPINOSA DE DE JESÚS</t>
  </si>
  <si>
    <t>EMIL ALEXANDER ROJAS SIRI</t>
  </si>
  <si>
    <t>AUXILIAR DE LABORATORIO DE ESTRUCTURA</t>
  </si>
  <si>
    <t xml:space="preserve">DEPARTAMENTO DELEGACIÓN REGIONAL NORTE SANTIAGO </t>
  </si>
  <si>
    <t xml:space="preserve">DEPARTAMENTO DELEGACIÓN REGIONAL NORTE (PUERTO PLATA) </t>
  </si>
  <si>
    <t>GREGORIO WILLIE MATOS JIMENEZ</t>
  </si>
  <si>
    <t xml:space="preserve">       CONCEPTO PAGO SUELDO 000018 - EMPLEADOS TEMPORALES CORRESPONDIENTE AL MES DE DICIEMBRE 2025</t>
  </si>
  <si>
    <t>RELVIN GABRIEL COLÓN SANTANA</t>
  </si>
  <si>
    <t>JANDY OSVALDO LAPAIX CRUZ</t>
  </si>
  <si>
    <t>JOSÉ MIGUEL ALMÁNZAR MEDINA</t>
  </si>
  <si>
    <t>JEISSON JOSÉ LORENZO BALBUENA</t>
  </si>
  <si>
    <t>YELVINSON YOEL CARABALLO RODRIGUEZ</t>
  </si>
  <si>
    <t>LUIS MIGUEL NUÑEZ OLIVERO</t>
  </si>
  <si>
    <t>RONY MANUEL REYES SÁNCHEZ</t>
  </si>
  <si>
    <t>CONCEPTO PAGO SUELDO 000007 - PERSONAL DE VIGILANCIA CORRESPONDIENTE AL MES DE DICIEMBRE 2025</t>
  </si>
  <si>
    <t>CONCEPTO PAGO SUELDO 120-01- SUPLENCIA CORRESPONDIENTE AL MES DE DICIEMBRE 2025</t>
  </si>
  <si>
    <t>CONCEPTO PAGO SUELDO 000018 - FIJOS CORRESPONDIENTE AL MES DE ENERO 2026</t>
  </si>
  <si>
    <t xml:space="preserve">       CONCEPTO PAGO SUELDO 000018 - EMPLEADOS TEMPORALES CORRESPONDIENTE AL MES DE ENERO 2026</t>
  </si>
  <si>
    <t>CONCEPTO PAGO SUELDO 120-01- SUPLENCIA CORRESPONDIENTE AL MES DE ENERO 2026</t>
  </si>
  <si>
    <t>CONCEPTO PAGO SUELDO 000007 - PERSONAL DE VIGILANCIA CORRESPONDIENTE AL MES DE ENERO  2026</t>
  </si>
  <si>
    <t xml:space="preserve">JÓSE RAUL EMILIANO VASQUEZ </t>
  </si>
  <si>
    <t xml:space="preserve">TOMAS ELIAS CONCEPCIÓN </t>
  </si>
  <si>
    <t>CONCEPTO PAGO SUELDO 000018 - FIJOS CORRESPONDIENTE AL MES DE FEBRERO 2026</t>
  </si>
  <si>
    <t xml:space="preserve">       CONCEPTO PAGO SUELDO 000018 - EMPLEADOS TEMPORALES CORRESPONDIENTE AL MES DE FEBRERO 2026</t>
  </si>
  <si>
    <t>CONCEPTO PAGO SUELDO 120-01- SUPLENCIA CORRESPONDIENTE AL MES DE FEBRERO 2026</t>
  </si>
  <si>
    <t>ROSAURA JIMÉNEZ CASTRO</t>
  </si>
  <si>
    <t xml:space="preserve">DEPARTAMENTO DELEGACIÓN REGIONAL NORTE (SANTIAGO) </t>
  </si>
  <si>
    <t>CONCEPTO PAGO SUELDO 000007 - PERSONAL DE VIGILANCIA CORRESPONDIENTE AL MES DE FEBRERO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</si>
</sst>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7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  <font>
      <b/>
      <sz val="9"/>
      <color indexed="8"/>
      <name val="Calibri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24"/>
      <color indexed="8"/>
      <name val="Calibri"/>
      <family val="2"/>
    </font>
    <font>
      <b/>
      <sz val="11"/>
      <color rgb="FF000000"/>
      <name val="Calibri"/>
      <family val="2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947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164" fontId="31" fillId="0" borderId="30" xfId="0" applyNumberFormat="1" applyFont="1" applyBorder="1" applyAlignment="1">
      <alignment horizontal="center"/>
    </xf>
    <xf numFmtId="0" fontId="36" fillId="14" borderId="30" xfId="0" applyFont="1" applyFill="1" applyBorder="1" applyAlignment="1">
      <alignment horizontal="center" wrapText="1"/>
    </xf>
    <xf numFmtId="164" fontId="31" fillId="11" borderId="0" xfId="0" applyNumberFormat="1" applyFont="1" applyFill="1" applyAlignment="1">
      <alignment horizontal="center" wrapText="1"/>
    </xf>
    <xf numFmtId="0" fontId="32" fillId="4" borderId="0" xfId="0" applyFont="1" applyFill="1" applyAlignment="1">
      <alignment horizontal="center"/>
    </xf>
    <xf numFmtId="164" fontId="31" fillId="5" borderId="30" xfId="1" applyFont="1" applyFill="1" applyBorder="1" applyAlignment="1"/>
    <xf numFmtId="0" fontId="28" fillId="4" borderId="0" xfId="0" applyFont="1" applyFill="1" applyAlignment="1">
      <alignment horizontal="center" wrapText="1"/>
    </xf>
    <xf numFmtId="4" fontId="28" fillId="4" borderId="0" xfId="0" applyNumberFormat="1" applyFont="1" applyFill="1" applyAlignment="1">
      <alignment horizontal="right"/>
    </xf>
    <xf numFmtId="2" fontId="28" fillId="4" borderId="0" xfId="0" applyNumberFormat="1" applyFont="1" applyFill="1" applyAlignment="1">
      <alignment horizontal="right"/>
    </xf>
    <xf numFmtId="0" fontId="28" fillId="5" borderId="49" xfId="0" applyFont="1" applyFill="1" applyBorder="1" applyAlignment="1">
      <alignment horizontal="center"/>
    </xf>
    <xf numFmtId="0" fontId="29" fillId="4" borderId="0" xfId="0" applyFont="1" applyFill="1"/>
    <xf numFmtId="0" fontId="29" fillId="5" borderId="0" xfId="0" applyFont="1" applyFill="1"/>
    <xf numFmtId="164" fontId="29" fillId="5" borderId="0" xfId="1" applyFont="1" applyFill="1" applyBorder="1"/>
    <xf numFmtId="2" fontId="29" fillId="5" borderId="0" xfId="1" applyNumberFormat="1" applyFont="1" applyFill="1"/>
    <xf numFmtId="0" fontId="28" fillId="5" borderId="0" xfId="0" applyFont="1" applyFill="1"/>
    <xf numFmtId="164" fontId="29" fillId="5" borderId="0" xfId="1" applyFont="1" applyFill="1"/>
    <xf numFmtId="0" fontId="28" fillId="5" borderId="0" xfId="0" applyFont="1" applyFill="1" applyAlignment="1">
      <alignment horizontal="center" wrapText="1"/>
    </xf>
    <xf numFmtId="0" fontId="5" fillId="0" borderId="0" xfId="0" applyFont="1"/>
    <xf numFmtId="2" fontId="36" fillId="14" borderId="30" xfId="1" applyNumberFormat="1" applyFont="1" applyFill="1" applyBorder="1" applyAlignment="1">
      <alignment horizontal="center"/>
    </xf>
    <xf numFmtId="0" fontId="36" fillId="0" borderId="42" xfId="4" applyFont="1" applyBorder="1"/>
    <xf numFmtId="0" fontId="35" fillId="0" borderId="42" xfId="4" applyFont="1" applyBorder="1" applyAlignment="1">
      <alignment horizontal="center"/>
    </xf>
    <xf numFmtId="164" fontId="35" fillId="0" borderId="42" xfId="2" applyFont="1" applyFill="1" applyBorder="1"/>
    <xf numFmtId="2" fontId="35" fillId="0" borderId="42" xfId="2" applyNumberFormat="1" applyFont="1" applyBorder="1"/>
    <xf numFmtId="164" fontId="35" fillId="0" borderId="42" xfId="2" applyFont="1" applyBorder="1"/>
    <xf numFmtId="164" fontId="35" fillId="5" borderId="42" xfId="2" applyFont="1" applyFill="1" applyBorder="1"/>
    <xf numFmtId="0" fontId="35" fillId="0" borderId="30" xfId="4" applyFont="1" applyBorder="1"/>
    <xf numFmtId="0" fontId="35" fillId="0" borderId="30" xfId="4" applyFont="1" applyBorder="1" applyAlignment="1">
      <alignment horizontal="center"/>
    </xf>
    <xf numFmtId="164" fontId="35" fillId="0" borderId="30" xfId="2" applyFont="1" applyFill="1" applyBorder="1" applyAlignment="1">
      <alignment horizontal="right"/>
    </xf>
    <xf numFmtId="2" fontId="35" fillId="0" borderId="30" xfId="2" applyNumberFormat="1" applyFont="1" applyBorder="1"/>
    <xf numFmtId="164" fontId="35" fillId="0" borderId="30" xfId="2" applyFont="1" applyBorder="1" applyAlignment="1">
      <alignment horizontal="right"/>
    </xf>
    <xf numFmtId="164" fontId="35" fillId="0" borderId="30" xfId="2" applyFont="1" applyFill="1" applyBorder="1"/>
    <xf numFmtId="164" fontId="35" fillId="5" borderId="30" xfId="2" applyFont="1" applyFill="1" applyBorder="1"/>
    <xf numFmtId="164" fontId="35" fillId="0" borderId="30" xfId="2" applyFont="1" applyBorder="1"/>
    <xf numFmtId="0" fontId="35" fillId="3" borderId="30" xfId="4" applyFont="1" applyFill="1" applyBorder="1"/>
    <xf numFmtId="0" fontId="62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/>
    </xf>
    <xf numFmtId="2" fontId="35" fillId="0" borderId="30" xfId="2" applyNumberFormat="1" applyFont="1" applyFill="1" applyBorder="1"/>
    <xf numFmtId="0" fontId="36" fillId="3" borderId="30" xfId="4" applyFont="1" applyFill="1" applyBorder="1"/>
    <xf numFmtId="0" fontId="36" fillId="0" borderId="30" xfId="4" applyFont="1" applyBorder="1" applyAlignment="1">
      <alignment horizontal="right"/>
    </xf>
    <xf numFmtId="164" fontId="36" fillId="0" borderId="30" xfId="2" applyFont="1" applyFill="1" applyBorder="1"/>
    <xf numFmtId="2" fontId="36" fillId="0" borderId="30" xfId="2" applyNumberFormat="1" applyFont="1" applyBorder="1"/>
    <xf numFmtId="164" fontId="36" fillId="0" borderId="30" xfId="2" applyFont="1" applyBorder="1"/>
    <xf numFmtId="164" fontId="36" fillId="5" borderId="30" xfId="2" applyFont="1" applyFill="1" applyBorder="1"/>
    <xf numFmtId="0" fontId="36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 wrapText="1"/>
    </xf>
    <xf numFmtId="0" fontId="62" fillId="0" borderId="30" xfId="4" applyFont="1" applyBorder="1" applyAlignment="1">
      <alignment horizontal="center"/>
    </xf>
    <xf numFmtId="2" fontId="36" fillId="0" borderId="30" xfId="2" applyNumberFormat="1" applyFont="1" applyFill="1" applyBorder="1"/>
    <xf numFmtId="0" fontId="35" fillId="3" borderId="30" xfId="4" applyFont="1" applyFill="1" applyBorder="1" applyAlignment="1">
      <alignment horizontal="center" vertical="center"/>
    </xf>
    <xf numFmtId="0" fontId="35" fillId="3" borderId="30" xfId="4" applyFont="1" applyFill="1" applyBorder="1" applyAlignment="1">
      <alignment horizontal="left" wrapText="1"/>
    </xf>
    <xf numFmtId="2" fontId="35" fillId="3" borderId="30" xfId="2" applyNumberFormat="1" applyFont="1" applyFill="1" applyBorder="1"/>
    <xf numFmtId="164" fontId="35" fillId="3" borderId="30" xfId="2" applyFont="1" applyFill="1" applyBorder="1"/>
    <xf numFmtId="0" fontId="35" fillId="3" borderId="44" xfId="4" applyFont="1" applyFill="1" applyBorder="1"/>
    <xf numFmtId="0" fontId="35" fillId="0" borderId="44" xfId="4" applyFont="1" applyBorder="1" applyAlignment="1">
      <alignment horizontal="center"/>
    </xf>
    <xf numFmtId="0" fontId="62" fillId="0" borderId="44" xfId="4" applyFont="1" applyBorder="1" applyAlignment="1">
      <alignment horizontal="left"/>
    </xf>
    <xf numFmtId="164" fontId="35" fillId="0" borderId="44" xfId="2" applyFont="1" applyFill="1" applyBorder="1"/>
    <xf numFmtId="164" fontId="35" fillId="0" borderId="44" xfId="2" applyFont="1" applyBorder="1"/>
    <xf numFmtId="2" fontId="35" fillId="0" borderId="44" xfId="2" applyNumberFormat="1" applyFont="1" applyFill="1" applyBorder="1"/>
    <xf numFmtId="164" fontId="35" fillId="5" borderId="44" xfId="2" applyFont="1" applyFill="1" applyBorder="1"/>
    <xf numFmtId="0" fontId="35" fillId="4" borderId="30" xfId="4" applyFont="1" applyFill="1" applyBorder="1" applyAlignment="1">
      <alignment horizontal="left" vertical="top" wrapText="1"/>
    </xf>
    <xf numFmtId="0" fontId="35" fillId="5" borderId="30" xfId="4" applyFont="1" applyFill="1" applyBorder="1" applyAlignment="1">
      <alignment horizontal="center"/>
    </xf>
    <xf numFmtId="0" fontId="35" fillId="5" borderId="30" xfId="4" applyFont="1" applyFill="1" applyBorder="1" applyAlignment="1">
      <alignment horizontal="left" vertical="center"/>
    </xf>
    <xf numFmtId="0" fontId="35" fillId="5" borderId="30" xfId="4" applyFont="1" applyFill="1" applyBorder="1" applyAlignment="1">
      <alignment horizontal="left"/>
    </xf>
    <xf numFmtId="2" fontId="35" fillId="5" borderId="30" xfId="2" applyNumberFormat="1" applyFont="1" applyFill="1" applyBorder="1"/>
    <xf numFmtId="0" fontId="36" fillId="3" borderId="44" xfId="4" applyFont="1" applyFill="1" applyBorder="1"/>
    <xf numFmtId="0" fontId="36" fillId="0" borderId="44" xfId="4" applyFont="1" applyBorder="1" applyAlignment="1">
      <alignment horizontal="right"/>
    </xf>
    <xf numFmtId="164" fontId="36" fillId="0" borderId="44" xfId="2" applyFont="1" applyFill="1" applyBorder="1"/>
    <xf numFmtId="164" fontId="36" fillId="5" borderId="44" xfId="2" applyFont="1" applyFill="1" applyBorder="1"/>
    <xf numFmtId="0" fontId="13" fillId="0" borderId="30" xfId="0" applyFont="1" applyBorder="1"/>
    <xf numFmtId="0" fontId="13" fillId="5" borderId="30" xfId="0" applyFont="1" applyFill="1" applyBorder="1"/>
    <xf numFmtId="0" fontId="36" fillId="3" borderId="42" xfId="4" applyFont="1" applyFill="1" applyBorder="1"/>
    <xf numFmtId="0" fontId="36" fillId="0" borderId="42" xfId="4" applyFont="1" applyBorder="1" applyAlignment="1">
      <alignment horizontal="left"/>
    </xf>
    <xf numFmtId="164" fontId="36" fillId="0" borderId="42" xfId="2" applyFont="1" applyFill="1" applyBorder="1"/>
    <xf numFmtId="164" fontId="36" fillId="0" borderId="42" xfId="2" applyFont="1" applyBorder="1"/>
    <xf numFmtId="164" fontId="36" fillId="5" borderId="42" xfId="2" applyFont="1" applyFill="1" applyBorder="1"/>
    <xf numFmtId="0" fontId="35" fillId="0" borderId="30" xfId="4" applyFont="1" applyBorder="1" applyAlignment="1">
      <alignment wrapText="1"/>
    </xf>
    <xf numFmtId="0" fontId="35" fillId="4" borderId="30" xfId="4" applyFont="1" applyFill="1" applyBorder="1"/>
    <xf numFmtId="0" fontId="36" fillId="3" borderId="30" xfId="4" applyFont="1" applyFill="1" applyBorder="1" applyAlignment="1">
      <alignment vertical="center" wrapText="1"/>
    </xf>
    <xf numFmtId="0" fontId="35" fillId="5" borderId="30" xfId="4" applyFont="1" applyFill="1" applyBorder="1"/>
    <xf numFmtId="2" fontId="36" fillId="5" borderId="30" xfId="2" applyNumberFormat="1" applyFont="1" applyFill="1" applyBorder="1"/>
    <xf numFmtId="0" fontId="36" fillId="4" borderId="30" xfId="4" applyFont="1" applyFill="1" applyBorder="1"/>
    <xf numFmtId="0" fontId="62" fillId="5" borderId="30" xfId="4" applyFont="1" applyFill="1" applyBorder="1" applyAlignment="1">
      <alignment horizontal="center"/>
    </xf>
    <xf numFmtId="0" fontId="36" fillId="0" borderId="30" xfId="4" applyFont="1" applyBorder="1" applyAlignment="1">
      <alignment wrapText="1"/>
    </xf>
    <xf numFmtId="0" fontId="36" fillId="3" borderId="30" xfId="4" applyFont="1" applyFill="1" applyBorder="1" applyAlignment="1">
      <alignment horizontal="left" wrapText="1"/>
    </xf>
    <xf numFmtId="0" fontId="35" fillId="3" borderId="30" xfId="4" applyFont="1" applyFill="1" applyBorder="1" applyAlignment="1">
      <alignment wrapText="1"/>
    </xf>
    <xf numFmtId="164" fontId="57" fillId="0" borderId="30" xfId="2" applyFont="1" applyFill="1" applyBorder="1"/>
    <xf numFmtId="0" fontId="36" fillId="3" borderId="30" xfId="4" applyFont="1" applyFill="1" applyBorder="1" applyAlignment="1">
      <alignment wrapText="1"/>
    </xf>
    <xf numFmtId="0" fontId="35" fillId="0" borderId="30" xfId="4" applyFont="1" applyBorder="1" applyAlignment="1">
      <alignment horizontal="center" vertical="center"/>
    </xf>
    <xf numFmtId="164" fontId="35" fillId="0" borderId="30" xfId="2" applyFont="1" applyFill="1" applyBorder="1" applyAlignment="1"/>
    <xf numFmtId="164" fontId="35" fillId="5" borderId="30" xfId="2" applyFont="1" applyFill="1" applyBorder="1" applyAlignment="1">
      <alignment horizontal="right"/>
    </xf>
    <xf numFmtId="0" fontId="36" fillId="0" borderId="30" xfId="4" applyFont="1" applyBorder="1" applyAlignment="1">
      <alignment horizontal="center"/>
    </xf>
    <xf numFmtId="0" fontId="36" fillId="0" borderId="30" xfId="4" applyFont="1" applyBorder="1" applyAlignment="1">
      <alignment horizontal="left" vertical="center"/>
    </xf>
    <xf numFmtId="0" fontId="36" fillId="0" borderId="30" xfId="4" applyFont="1" applyBorder="1"/>
    <xf numFmtId="164" fontId="36" fillId="0" borderId="30" xfId="2" applyFont="1" applyBorder="1" applyAlignment="1">
      <alignment horizontal="left"/>
    </xf>
    <xf numFmtId="2" fontId="36" fillId="0" borderId="30" xfId="2" applyNumberFormat="1" applyFont="1" applyFill="1" applyBorder="1" applyAlignment="1">
      <alignment horizontal="right"/>
    </xf>
    <xf numFmtId="0" fontId="36" fillId="3" borderId="30" xfId="4" applyFont="1" applyFill="1" applyBorder="1" applyAlignment="1">
      <alignment horizontal="center"/>
    </xf>
    <xf numFmtId="2" fontId="36" fillId="0" borderId="30" xfId="4" applyNumberFormat="1" applyFont="1" applyBorder="1"/>
    <xf numFmtId="0" fontId="62" fillId="3" borderId="30" xfId="4" applyFont="1" applyFill="1" applyBorder="1"/>
    <xf numFmtId="0" fontId="57" fillId="5" borderId="30" xfId="4" applyFont="1" applyFill="1" applyBorder="1" applyAlignment="1">
      <alignment horizontal="left"/>
    </xf>
    <xf numFmtId="0" fontId="35" fillId="0" borderId="30" xfId="4" applyFont="1" applyBorder="1" applyAlignment="1">
      <alignment horizontal="left" vertical="center"/>
    </xf>
    <xf numFmtId="0" fontId="35" fillId="3" borderId="30" xfId="4" applyFont="1" applyFill="1" applyBorder="1" applyAlignment="1">
      <alignment horizontal="left" vertical="top" wrapText="1"/>
    </xf>
    <xf numFmtId="164" fontId="35" fillId="0" borderId="30" xfId="2" applyFont="1" applyFill="1" applyBorder="1" applyAlignment="1">
      <alignment vertical="center"/>
    </xf>
    <xf numFmtId="2" fontId="35" fillId="0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vertical="center" wrapText="1"/>
    </xf>
    <xf numFmtId="0" fontId="35" fillId="0" borderId="30" xfId="4" applyFont="1" applyBorder="1" applyAlignment="1">
      <alignment vertical="center"/>
    </xf>
    <xf numFmtId="0" fontId="35" fillId="5" borderId="30" xfId="4" applyFont="1" applyFill="1" applyBorder="1" applyAlignment="1">
      <alignment vertical="center"/>
    </xf>
    <xf numFmtId="164" fontId="35" fillId="5" borderId="30" xfId="2" applyFont="1" applyFill="1" applyBorder="1" applyAlignment="1">
      <alignment vertical="center"/>
    </xf>
    <xf numFmtId="0" fontId="35" fillId="0" borderId="30" xfId="0" applyFont="1" applyBorder="1" applyAlignment="1">
      <alignment vertical="center"/>
    </xf>
    <xf numFmtId="0" fontId="35" fillId="0" borderId="30" xfId="0" applyFont="1" applyBorder="1" applyAlignment="1">
      <alignment horizontal="center"/>
    </xf>
    <xf numFmtId="0" fontId="35" fillId="0" borderId="30" xfId="0" applyFont="1" applyBorder="1" applyAlignment="1">
      <alignment horizontal="left" vertical="center"/>
    </xf>
    <xf numFmtId="164" fontId="35" fillId="0" borderId="30" xfId="2" applyFont="1" applyFill="1" applyBorder="1" applyAlignment="1">
      <alignment horizontal="right" vertical="center"/>
    </xf>
    <xf numFmtId="164" fontId="35" fillId="0" borderId="30" xfId="2" applyFont="1" applyFill="1" applyBorder="1" applyAlignment="1">
      <alignment horizontal="left"/>
    </xf>
    <xf numFmtId="2" fontId="35" fillId="0" borderId="30" xfId="2" applyNumberFormat="1" applyFont="1" applyFill="1" applyBorder="1" applyAlignment="1">
      <alignment horizontal="right"/>
    </xf>
    <xf numFmtId="0" fontId="35" fillId="5" borderId="30" xfId="4" applyFont="1" applyFill="1" applyBorder="1" applyAlignment="1">
      <alignment vertical="center" wrapText="1"/>
    </xf>
    <xf numFmtId="2" fontId="35" fillId="5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horizontal="center" vertical="center" wrapText="1"/>
    </xf>
    <xf numFmtId="164" fontId="35" fillId="0" borderId="30" xfId="2" applyFont="1" applyBorder="1" applyAlignment="1">
      <alignment vertical="center"/>
    </xf>
    <xf numFmtId="0" fontId="36" fillId="13" borderId="30" xfId="4" applyFont="1" applyFill="1" applyBorder="1" applyAlignment="1">
      <alignment horizontal="right" wrapText="1"/>
    </xf>
    <xf numFmtId="0" fontId="36" fillId="13" borderId="30" xfId="4" applyFont="1" applyFill="1" applyBorder="1" applyAlignment="1">
      <alignment vertical="center" wrapText="1"/>
    </xf>
    <xf numFmtId="164" fontId="36" fillId="14" borderId="30" xfId="2" applyFont="1" applyFill="1" applyBorder="1"/>
    <xf numFmtId="2" fontId="36" fillId="14" borderId="30" xfId="2" applyNumberFormat="1" applyFont="1" applyFill="1" applyBorder="1"/>
    <xf numFmtId="0" fontId="36" fillId="5" borderId="30" xfId="0" applyFont="1" applyFill="1" applyBorder="1"/>
    <xf numFmtId="0" fontId="36" fillId="5" borderId="30" xfId="0" applyFont="1" applyFill="1" applyBorder="1" applyAlignment="1">
      <alignment horizontal="center" vertical="center"/>
    </xf>
    <xf numFmtId="0" fontId="36" fillId="5" borderId="30" xfId="0" applyFont="1" applyFill="1" applyBorder="1" applyAlignment="1">
      <alignment horizontal="center" vertical="center" wrapText="1"/>
    </xf>
    <xf numFmtId="164" fontId="36" fillId="5" borderId="30" xfId="1" applyFont="1" applyFill="1" applyBorder="1" applyAlignment="1">
      <alignment horizontal="center" vertical="center"/>
    </xf>
    <xf numFmtId="2" fontId="36" fillId="5" borderId="30" xfId="1" applyNumberFormat="1" applyFont="1" applyFill="1" applyBorder="1" applyAlignment="1">
      <alignment horizontal="center" vertical="center"/>
    </xf>
    <xf numFmtId="0" fontId="35" fillId="5" borderId="30" xfId="0" applyFont="1" applyFill="1" applyBorder="1"/>
    <xf numFmtId="0" fontId="35" fillId="5" borderId="30" xfId="0" applyFont="1" applyFill="1" applyBorder="1" applyAlignment="1">
      <alignment horizontal="center"/>
    </xf>
    <xf numFmtId="0" fontId="35" fillId="5" borderId="30" xfId="0" applyFont="1" applyFill="1" applyBorder="1" applyAlignment="1">
      <alignment horizontal="left"/>
    </xf>
    <xf numFmtId="0" fontId="35" fillId="5" borderId="30" xfId="0" applyFont="1" applyFill="1" applyBorder="1" applyAlignment="1">
      <alignment horizontal="center" vertical="center" wrapText="1"/>
    </xf>
    <xf numFmtId="4" fontId="35" fillId="5" borderId="30" xfId="0" applyNumberFormat="1" applyFont="1" applyFill="1" applyBorder="1"/>
    <xf numFmtId="2" fontId="35" fillId="5" borderId="30" xfId="0" applyNumberFormat="1" applyFont="1" applyFill="1" applyBorder="1"/>
    <xf numFmtId="4" fontId="13" fillId="5" borderId="30" xfId="0" applyNumberFormat="1" applyFont="1" applyFill="1" applyBorder="1"/>
    <xf numFmtId="0" fontId="62" fillId="5" borderId="30" xfId="0" applyFont="1" applyFill="1" applyBorder="1"/>
    <xf numFmtId="0" fontId="62" fillId="5" borderId="30" xfId="0" applyFont="1" applyFill="1" applyBorder="1" applyAlignment="1">
      <alignment horizontal="center"/>
    </xf>
    <xf numFmtId="0" fontId="63" fillId="0" borderId="30" xfId="0" applyFont="1" applyBorder="1"/>
    <xf numFmtId="0" fontId="62" fillId="0" borderId="30" xfId="0" applyFont="1" applyBorder="1" applyAlignment="1">
      <alignment horizontal="center"/>
    </xf>
    <xf numFmtId="0" fontId="36" fillId="0" borderId="30" xfId="0" applyFont="1" applyBorder="1" applyAlignment="1">
      <alignment horizontal="right"/>
    </xf>
    <xf numFmtId="0" fontId="35" fillId="0" borderId="30" xfId="0" applyFont="1" applyBorder="1" applyAlignment="1">
      <alignment horizontal="center" vertical="center" wrapText="1"/>
    </xf>
    <xf numFmtId="4" fontId="36" fillId="0" borderId="30" xfId="0" applyNumberFormat="1" applyFont="1" applyBorder="1"/>
    <xf numFmtId="0" fontId="35" fillId="0" borderId="30" xfId="0" applyFont="1" applyBorder="1" applyAlignment="1">
      <alignment horizontal="left"/>
    </xf>
    <xf numFmtId="4" fontId="35" fillId="0" borderId="30" xfId="0" applyNumberFormat="1" applyFont="1" applyBorder="1"/>
    <xf numFmtId="2" fontId="35" fillId="0" borderId="30" xfId="0" applyNumberFormat="1" applyFont="1" applyBorder="1"/>
    <xf numFmtId="4" fontId="36" fillId="5" borderId="30" xfId="0" applyNumberFormat="1" applyFont="1" applyFill="1" applyBorder="1"/>
    <xf numFmtId="2" fontId="36" fillId="5" borderId="30" xfId="0" applyNumberFormat="1" applyFont="1" applyFill="1" applyBorder="1"/>
    <xf numFmtId="0" fontId="62" fillId="3" borderId="30" xfId="0" applyFont="1" applyFill="1" applyBorder="1"/>
    <xf numFmtId="0" fontId="62" fillId="3" borderId="30" xfId="0" applyFont="1" applyFill="1" applyBorder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left" wrapText="1"/>
    </xf>
    <xf numFmtId="0" fontId="36" fillId="11" borderId="30" xfId="0" applyFont="1" applyFill="1" applyBorder="1" applyAlignment="1">
      <alignment horizontal="center" vertical="center"/>
    </xf>
    <xf numFmtId="164" fontId="64" fillId="11" borderId="30" xfId="1" applyFont="1" applyFill="1" applyBorder="1" applyAlignment="1">
      <alignment horizontal="center" vertical="center"/>
    </xf>
    <xf numFmtId="2" fontId="64" fillId="11" borderId="30" xfId="1" applyNumberFormat="1" applyFont="1" applyFill="1" applyBorder="1" applyAlignment="1">
      <alignment horizontal="right" vertical="center"/>
    </xf>
    <xf numFmtId="0" fontId="35" fillId="3" borderId="30" xfId="0" applyFont="1" applyFill="1" applyBorder="1"/>
    <xf numFmtId="0" fontId="35" fillId="3" borderId="30" xfId="0" applyFont="1" applyFill="1" applyBorder="1" applyAlignment="1">
      <alignment horizontal="left" wrapText="1"/>
    </xf>
    <xf numFmtId="164" fontId="35" fillId="0" borderId="30" xfId="1" applyFont="1" applyFill="1" applyBorder="1"/>
    <xf numFmtId="2" fontId="35" fillId="0" borderId="30" xfId="1" applyNumberFormat="1" applyFont="1" applyBorder="1"/>
    <xf numFmtId="164" fontId="35" fillId="0" borderId="30" xfId="1" applyFont="1" applyBorder="1"/>
    <xf numFmtId="2" fontId="35" fillId="0" borderId="30" xfId="1" applyNumberFormat="1" applyFont="1" applyBorder="1" applyAlignment="1">
      <alignment horizontal="center"/>
    </xf>
    <xf numFmtId="0" fontId="36" fillId="3" borderId="30" xfId="0" applyFont="1" applyFill="1" applyBorder="1"/>
    <xf numFmtId="0" fontId="36" fillId="0" borderId="30" xfId="0" applyFont="1" applyBorder="1"/>
    <xf numFmtId="164" fontId="36" fillId="0" borderId="30" xfId="1" applyFont="1" applyFill="1" applyBorder="1"/>
    <xf numFmtId="2" fontId="36" fillId="0" borderId="30" xfId="1" applyNumberFormat="1" applyFont="1" applyBorder="1"/>
    <xf numFmtId="2" fontId="36" fillId="0" borderId="30" xfId="1" applyNumberFormat="1" applyFont="1" applyBorder="1" applyAlignment="1">
      <alignment horizontal="center"/>
    </xf>
    <xf numFmtId="0" fontId="36" fillId="0" borderId="30" xfId="0" applyFont="1" applyBorder="1" applyAlignment="1">
      <alignment horizontal="left"/>
    </xf>
    <xf numFmtId="0" fontId="35" fillId="0" borderId="30" xfId="0" applyFont="1" applyBorder="1"/>
    <xf numFmtId="2" fontId="35" fillId="0" borderId="30" xfId="1" applyNumberFormat="1" applyFont="1" applyBorder="1" applyAlignment="1">
      <alignment horizontal="right"/>
    </xf>
    <xf numFmtId="164" fontId="35" fillId="0" borderId="30" xfId="1" applyFont="1" applyBorder="1" applyAlignment="1">
      <alignment horizontal="center"/>
    </xf>
    <xf numFmtId="164" fontId="36" fillId="0" borderId="30" xfId="1" applyFont="1" applyBorder="1"/>
    <xf numFmtId="0" fontId="36" fillId="3" borderId="30" xfId="0" applyFont="1" applyFill="1" applyBorder="1" applyAlignment="1">
      <alignment wrapText="1"/>
    </xf>
    <xf numFmtId="0" fontId="35" fillId="0" borderId="30" xfId="0" applyFont="1" applyBorder="1" applyAlignment="1">
      <alignment wrapText="1"/>
    </xf>
    <xf numFmtId="2" fontId="35" fillId="0" borderId="30" xfId="1" applyNumberFormat="1" applyFont="1" applyFill="1" applyBorder="1"/>
    <xf numFmtId="2" fontId="35" fillId="0" borderId="30" xfId="1" applyNumberFormat="1" applyFont="1" applyFill="1" applyBorder="1" applyAlignment="1">
      <alignment horizontal="center"/>
    </xf>
    <xf numFmtId="0" fontId="35" fillId="3" borderId="30" xfId="0" applyFont="1" applyFill="1" applyBorder="1" applyAlignment="1">
      <alignment horizontal="center"/>
    </xf>
    <xf numFmtId="0" fontId="36" fillId="4" borderId="30" xfId="0" applyFont="1" applyFill="1" applyBorder="1"/>
    <xf numFmtId="0" fontId="35" fillId="4" borderId="30" xfId="0" applyFont="1" applyFill="1" applyBorder="1" applyAlignment="1">
      <alignment horizontal="center"/>
    </xf>
    <xf numFmtId="0" fontId="35" fillId="4" borderId="30" xfId="0" applyFont="1" applyFill="1" applyBorder="1"/>
    <xf numFmtId="0" fontId="36" fillId="13" borderId="30" xfId="0" applyFont="1" applyFill="1" applyBorder="1" applyAlignment="1">
      <alignment vertical="center" wrapText="1"/>
    </xf>
    <xf numFmtId="0" fontId="36" fillId="13" borderId="30" xfId="0" applyFont="1" applyFill="1" applyBorder="1" applyAlignment="1">
      <alignment wrapText="1"/>
    </xf>
    <xf numFmtId="164" fontId="36" fillId="14" borderId="30" xfId="0" applyNumberFormat="1" applyFont="1" applyFill="1" applyBorder="1"/>
    <xf numFmtId="2" fontId="36" fillId="14" borderId="30" xfId="1" applyNumberFormat="1" applyFont="1" applyFill="1" applyBorder="1"/>
    <xf numFmtId="0" fontId="35" fillId="5" borderId="30" xfId="0" applyFont="1" applyFill="1" applyBorder="1" applyAlignment="1">
      <alignment wrapText="1"/>
    </xf>
    <xf numFmtId="0" fontId="65" fillId="5" borderId="0" xfId="4" applyFont="1" applyFill="1"/>
    <xf numFmtId="0" fontId="59" fillId="5" borderId="0" xfId="0" applyFont="1" applyFill="1"/>
    <xf numFmtId="0" fontId="59" fillId="0" borderId="0" xfId="0" applyFont="1"/>
    <xf numFmtId="0" fontId="48" fillId="4" borderId="30" xfId="4" applyFont="1" applyFill="1" applyBorder="1" applyAlignment="1">
      <alignment horizontal="left" vertical="top" wrapText="1"/>
    </xf>
    <xf numFmtId="0" fontId="48" fillId="5" borderId="30" xfId="4" applyFont="1" applyFill="1" applyBorder="1" applyAlignment="1">
      <alignment horizontal="left" vertical="center"/>
    </xf>
    <xf numFmtId="0" fontId="59" fillId="0" borderId="30" xfId="0" applyFont="1" applyBorder="1"/>
    <xf numFmtId="0" fontId="59" fillId="5" borderId="30" xfId="0" applyFont="1" applyFill="1" applyBorder="1"/>
    <xf numFmtId="0" fontId="47" fillId="4" borderId="30" xfId="4" applyFont="1" applyFill="1" applyBorder="1"/>
    <xf numFmtId="0" fontId="48" fillId="5" borderId="30" xfId="4" applyFont="1" applyFill="1" applyBorder="1" applyAlignment="1">
      <alignment vertical="center"/>
    </xf>
    <xf numFmtId="0" fontId="48" fillId="5" borderId="30" xfId="4" applyFont="1" applyFill="1" applyBorder="1" applyAlignment="1">
      <alignment vertical="center" wrapText="1"/>
    </xf>
    <xf numFmtId="0" fontId="66" fillId="0" borderId="0" xfId="0" applyFont="1"/>
    <xf numFmtId="0" fontId="47" fillId="3" borderId="30" xfId="0" applyFont="1" applyFill="1" applyBorder="1" applyAlignment="1">
      <alignment horizontal="left" wrapText="1"/>
    </xf>
    <xf numFmtId="0" fontId="47" fillId="11" borderId="30" xfId="0" applyFont="1" applyFill="1" applyBorder="1" applyAlignment="1">
      <alignment horizontal="center" vertical="center"/>
    </xf>
    <xf numFmtId="164" fontId="55" fillId="11" borderId="30" xfId="1" applyFont="1" applyFill="1" applyBorder="1" applyAlignment="1">
      <alignment horizontal="center" vertical="center"/>
    </xf>
    <xf numFmtId="2" fontId="55" fillId="11" borderId="30" xfId="1" applyNumberFormat="1" applyFont="1" applyFill="1" applyBorder="1" applyAlignment="1">
      <alignment horizontal="right" vertical="center"/>
    </xf>
    <xf numFmtId="0" fontId="48" fillId="3" borderId="30" xfId="0" applyFont="1" applyFill="1" applyBorder="1"/>
    <xf numFmtId="0" fontId="48" fillId="3" borderId="30" xfId="0" applyFont="1" applyFill="1" applyBorder="1" applyAlignment="1">
      <alignment horizontal="left" wrapText="1"/>
    </xf>
    <xf numFmtId="2" fontId="48" fillId="0" borderId="30" xfId="1" applyNumberFormat="1" applyFont="1" applyBorder="1" applyAlignment="1">
      <alignment horizontal="center"/>
    </xf>
    <xf numFmtId="0" fontId="47" fillId="3" borderId="30" xfId="0" applyFont="1" applyFill="1" applyBorder="1"/>
    <xf numFmtId="0" fontId="47" fillId="0" borderId="30" xfId="0" applyFont="1" applyBorder="1"/>
    <xf numFmtId="164" fontId="47" fillId="0" borderId="30" xfId="1" applyFont="1" applyFill="1" applyBorder="1"/>
    <xf numFmtId="2" fontId="47" fillId="0" borderId="30" xfId="1" applyNumberFormat="1" applyFont="1" applyBorder="1"/>
    <xf numFmtId="2" fontId="47" fillId="0" borderId="30" xfId="1" applyNumberFormat="1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2" fontId="48" fillId="0" borderId="30" xfId="1" applyNumberFormat="1" applyFont="1" applyBorder="1" applyAlignment="1">
      <alignment horizontal="right"/>
    </xf>
    <xf numFmtId="164" fontId="48" fillId="0" borderId="30" xfId="1" applyFont="1" applyBorder="1" applyAlignment="1">
      <alignment horizontal="center"/>
    </xf>
    <xf numFmtId="164" fontId="47" fillId="0" borderId="30" xfId="1" applyFont="1" applyBorder="1"/>
    <xf numFmtId="0" fontId="47" fillId="3" borderId="30" xfId="0" applyFont="1" applyFill="1" applyBorder="1" applyAlignment="1">
      <alignment wrapText="1"/>
    </xf>
    <xf numFmtId="0" fontId="48" fillId="0" borderId="30" xfId="0" applyFont="1" applyBorder="1" applyAlignment="1">
      <alignment wrapText="1"/>
    </xf>
    <xf numFmtId="2" fontId="48" fillId="0" borderId="30" xfId="1" applyNumberFormat="1" applyFont="1" applyFill="1" applyBorder="1" applyAlignment="1">
      <alignment horizontal="center"/>
    </xf>
    <xf numFmtId="0" fontId="48" fillId="3" borderId="30" xfId="0" applyFont="1" applyFill="1" applyBorder="1" applyAlignment="1">
      <alignment horizontal="center"/>
    </xf>
    <xf numFmtId="0" fontId="47" fillId="4" borderId="30" xfId="0" applyFont="1" applyFill="1" applyBorder="1"/>
    <xf numFmtId="0" fontId="48" fillId="4" borderId="30" xfId="0" applyFont="1" applyFill="1" applyBorder="1" applyAlignment="1">
      <alignment horizontal="center"/>
    </xf>
    <xf numFmtId="0" fontId="48" fillId="4" borderId="30" xfId="0" applyFont="1" applyFill="1" applyBorder="1"/>
    <xf numFmtId="0" fontId="48" fillId="5" borderId="30" xfId="0" applyFont="1" applyFill="1" applyBorder="1" applyAlignment="1">
      <alignment wrapText="1"/>
    </xf>
    <xf numFmtId="0" fontId="47" fillId="13" borderId="30" xfId="0" applyFont="1" applyFill="1" applyBorder="1" applyAlignment="1">
      <alignment vertical="center" wrapText="1"/>
    </xf>
    <xf numFmtId="0" fontId="47" fillId="13" borderId="30" xfId="0" applyFont="1" applyFill="1" applyBorder="1" applyAlignment="1">
      <alignment wrapText="1"/>
    </xf>
    <xf numFmtId="164" fontId="47" fillId="14" borderId="30" xfId="0" applyNumberFormat="1" applyFont="1" applyFill="1" applyBorder="1"/>
    <xf numFmtId="2" fontId="47" fillId="14" borderId="30" xfId="1" applyNumberFormat="1" applyFont="1" applyFill="1" applyBorder="1"/>
    <xf numFmtId="2" fontId="47" fillId="14" borderId="30" xfId="1" applyNumberFormat="1" applyFont="1" applyFill="1" applyBorder="1" applyAlignment="1">
      <alignment horizontal="center"/>
    </xf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0" fontId="7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2" fontId="31" fillId="13" borderId="30" xfId="1" applyNumberFormat="1" applyFont="1" applyFill="1" applyBorder="1" applyAlignment="1">
      <alignment horizontal="right" vertical="center"/>
    </xf>
    <xf numFmtId="164" fontId="31" fillId="13" borderId="30" xfId="1" applyFont="1" applyFill="1" applyBorder="1" applyAlignment="1">
      <alignment horizontal="center" vertical="center"/>
    </xf>
    <xf numFmtId="164" fontId="31" fillId="14" borderId="30" xfId="1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4" fontId="3" fillId="2" borderId="50" xfId="0" applyNumberFormat="1" applyFont="1" applyFill="1" applyBorder="1" applyAlignment="1">
      <alignment horizontal="right"/>
    </xf>
    <xf numFmtId="4" fontId="3" fillId="2" borderId="51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wrapText="1"/>
    </xf>
    <xf numFmtId="2" fontId="3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3" fillId="2" borderId="52" xfId="0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0" fontId="3" fillId="2" borderId="50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2" xfId="0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7" fillId="2" borderId="7" xfId="0" applyNumberFormat="1" applyFont="1" applyFill="1" applyBorder="1" applyAlignment="1">
      <alignment horizontal="right"/>
    </xf>
    <xf numFmtId="0" fontId="7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2" fontId="7" fillId="2" borderId="7" xfId="0" applyNumberFormat="1" applyFont="1" applyFill="1" applyBorder="1" applyAlignment="1">
      <alignment horizontal="right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8" fillId="0" borderId="0" xfId="0" applyFont="1" applyAlignment="1">
      <alignment horizontal="center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4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2" fontId="28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6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2" fontId="3" fillId="2" borderId="30" xfId="0" applyNumberFormat="1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0" fontId="3" fillId="2" borderId="30" xfId="0" applyFont="1" applyFill="1" applyBorder="1" applyAlignment="1">
      <alignment horizontal="left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21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0" fontId="18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2" fontId="15" fillId="2" borderId="30" xfId="1" applyNumberFormat="1" applyFont="1" applyFill="1" applyBorder="1" applyAlignment="1">
      <alignment horizontal="right" vertical="center"/>
    </xf>
    <xf numFmtId="0" fontId="16" fillId="0" borderId="0" xfId="0" applyFont="1" applyAlignment="1">
      <alignment horizontal="center"/>
    </xf>
    <xf numFmtId="0" fontId="15" fillId="2" borderId="30" xfId="0" applyFont="1" applyFill="1" applyBorder="1" applyAlignment="1">
      <alignment horizontal="center" vertical="center" wrapText="1"/>
    </xf>
    <xf numFmtId="164" fontId="3" fillId="2" borderId="30" xfId="1" applyFont="1" applyFill="1" applyBorder="1" applyAlignment="1">
      <alignment horizontal="center" vertical="center"/>
    </xf>
    <xf numFmtId="2" fontId="3" fillId="2" borderId="30" xfId="1" applyNumberFormat="1" applyFont="1" applyFill="1" applyBorder="1" applyAlignment="1">
      <alignment horizontal="right" vertical="center"/>
    </xf>
    <xf numFmtId="0" fontId="6" fillId="5" borderId="0" xfId="0" applyFont="1" applyFill="1" applyAlignment="1">
      <alignment horizontal="center"/>
    </xf>
    <xf numFmtId="2" fontId="27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21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0" fontId="31" fillId="2" borderId="30" xfId="0" applyFont="1" applyFill="1" applyBorder="1" applyAlignment="1">
      <alignment horizontal="center" vertic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2" fontId="31" fillId="2" borderId="30" xfId="1" applyNumberFormat="1" applyFont="1" applyFill="1" applyBorder="1" applyAlignment="1">
      <alignment horizontal="right" vertic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2" fontId="31" fillId="13" borderId="37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  <xf numFmtId="164" fontId="64" fillId="13" borderId="30" xfId="1" applyFont="1" applyFill="1" applyBorder="1" applyAlignment="1">
      <alignment horizontal="center" vertical="center"/>
    </xf>
    <xf numFmtId="0" fontId="61" fillId="5" borderId="0" xfId="0" applyFont="1" applyFill="1" applyAlignment="1">
      <alignment horizontal="center"/>
    </xf>
    <xf numFmtId="0" fontId="36" fillId="13" borderId="30" xfId="0" applyFont="1" applyFill="1" applyBorder="1" applyAlignment="1">
      <alignment horizontal="center" vertical="center" wrapText="1"/>
    </xf>
    <xf numFmtId="0" fontId="36" fillId="13" borderId="30" xfId="0" applyFont="1" applyFill="1" applyBorder="1" applyAlignment="1">
      <alignment horizontal="center" vertical="center"/>
    </xf>
    <xf numFmtId="2" fontId="64" fillId="13" borderId="30" xfId="1" applyNumberFormat="1" applyFont="1" applyFill="1" applyBorder="1" applyAlignment="1">
      <alignment horizontal="right" vertical="center"/>
    </xf>
    <xf numFmtId="4" fontId="29" fillId="4" borderId="0" xfId="0" applyNumberFormat="1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 wrapText="1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357" Type="http://schemas.openxmlformats.org/officeDocument/2006/relationships/worksheet" Target="worksheets/sheet357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359" Type="http://schemas.openxmlformats.org/officeDocument/2006/relationships/styles" Target="styles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" Type="http://schemas.openxmlformats.org/officeDocument/2006/relationships/worksheet" Target="worksheets/sheet25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328" Type="http://schemas.openxmlformats.org/officeDocument/2006/relationships/worksheet" Target="worksheets/sheet328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360" Type="http://schemas.openxmlformats.org/officeDocument/2006/relationships/sharedStrings" Target="sharedStrings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350" Type="http://schemas.openxmlformats.org/officeDocument/2006/relationships/worksheet" Target="worksheets/sheet350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361" Type="http://schemas.openxmlformats.org/officeDocument/2006/relationships/calcChain" Target="calcChain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351" Type="http://schemas.openxmlformats.org/officeDocument/2006/relationships/worksheet" Target="worksheets/sheet351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worksheet" Target="worksheets/sheet352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worksheet" Target="worksheets/sheet353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354" Type="http://schemas.openxmlformats.org/officeDocument/2006/relationships/worksheet" Target="worksheets/sheet354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355" Type="http://schemas.openxmlformats.org/officeDocument/2006/relationships/worksheet" Target="worksheets/sheet355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356" Type="http://schemas.openxmlformats.org/officeDocument/2006/relationships/worksheet" Target="worksheets/sheet356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358" Type="http://schemas.openxmlformats.org/officeDocument/2006/relationships/theme" Target="theme/theme1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Relationship Id="rId251" Type="http://schemas.openxmlformats.org/officeDocument/2006/relationships/worksheet" Target="worksheets/sheet251.xml"/><Relationship Id="rId46" Type="http://schemas.openxmlformats.org/officeDocument/2006/relationships/worksheet" Target="worksheets/sheet46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49" Type="http://schemas.openxmlformats.org/officeDocument/2006/relationships/worksheet" Target="worksheets/sheet34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F5A493-3302-4E10-98F8-F7BF69AE7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46209" y="1081217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B96C391-001D-412E-AADD-80F99F8F4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6696" y="1018268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E24C35-01D6-4ECC-8B98-CD82AB799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303883" y="63797835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9299D53-0D98-42A8-A5E4-A9000186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344550" y="637090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D3CC6C-95B4-4570-BCCF-FB29394D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50771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0E3FF27-00EB-4A46-8F5E-A5C92A2C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50902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7B2EF41E-0327-48CB-B724-6D134CAC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BEA6AD8-E1B8-4137-A5AE-9C5F5725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563F993-F658-403E-B5CF-7F18330CE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775" y="86591"/>
          <a:ext cx="1575954" cy="7793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48597-9C1F-4BD4-AC9E-2E1957954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6663" y="196880"/>
          <a:ext cx="1243201" cy="6430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51FCB5A-E819-4F2B-8E7E-455485B2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C83282-0DD4-48B7-AC73-80DBC12C5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56773" y="10533084"/>
          <a:ext cx="1210394" cy="1209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CD73A7C-0676-4D5F-AAA9-FF49FCEE9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0429" y="142873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C1D6BC-7C20-450F-BF3F-F5D00187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505A6F3-DE43-40A1-99DA-F288BABF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97BBBFF8-73A7-436D-BFBB-94CC93A85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62126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1C7898F-C0B2-4A93-981C-C452E32E2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4870" y="1067610"/>
          <a:ext cx="2144295" cy="9548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CF42DB6-DD06-4FCD-918D-DEFA1AA7C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5357" y="1004661"/>
          <a:ext cx="2086429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2D68BD-0226-4D08-95AC-D0F79DDB7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22908" y="56415053"/>
          <a:ext cx="1899506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9E41FE8-BC07-4A92-B24C-F9C4B4A60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163121" y="563262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906411F-D9AA-40D3-AF38-35CD6F17D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011DAE9-E2EC-42D3-91F0-28EF1FF1A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67EB0E01-E01E-4534-B6C1-100F4AD61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8350B1C-6563-44FA-9D9C-CC2B9FE30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1307563-F82A-4A5D-9778-E20F0C9B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5236" y="86591"/>
          <a:ext cx="1576820" cy="7663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BF78C4D-3747-4941-8B90-E57B6A535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5124" y="194282"/>
          <a:ext cx="1242335" cy="6326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31B84D9-2177-4B53-A9E7-3961768F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D27F857-C0C7-45A1-AB54-C6B677F8D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B50F1D5-9CBB-4268-8698-5DB28ACBE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0A7EB47-D716-4985-8012-B233C2DA3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51FB80-CEFD-4205-B394-012D60F87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16AE7518-EDAF-4E7C-B08D-44B0406B9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2650048</xdr:colOff>
      <xdr:row>4</xdr:row>
      <xdr:rowOff>185414</xdr:rowOff>
    </xdr:from>
    <xdr:to>
      <xdr:col>5</xdr:col>
      <xdr:colOff>308068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6824884-99A2-44CF-91C6-F7C12ADC6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86387" y="1103896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997857</xdr:colOff>
      <xdr:row>4</xdr:row>
      <xdr:rowOff>88447</xdr:rowOff>
    </xdr:from>
    <xdr:to>
      <xdr:col>4</xdr:col>
      <xdr:colOff>22679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630A0A-A589-4002-A059-20FDCECC7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4196" y="1006929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259</xdr:row>
      <xdr:rowOff>37032</xdr:rowOff>
    </xdr:from>
    <xdr:to>
      <xdr:col>3</xdr:col>
      <xdr:colOff>1111878</xdr:colOff>
      <xdr:row>267</xdr:row>
      <xdr:rowOff>146030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92E551D-45ED-4906-9409-48C512DC2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54508" y="64863728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259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FF03EAA-055C-485B-AB05-B4DC7670B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96156" y="64831652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193</xdr:row>
      <xdr:rowOff>127463</xdr:rowOff>
    </xdr:from>
    <xdr:to>
      <xdr:col>4</xdr:col>
      <xdr:colOff>589973</xdr:colOff>
      <xdr:row>199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5C3E2A2-0C88-4A8C-8BB8-A4244B7DC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193</xdr:row>
      <xdr:rowOff>159569</xdr:rowOff>
    </xdr:from>
    <xdr:to>
      <xdr:col>7</xdr:col>
      <xdr:colOff>1018214</xdr:colOff>
      <xdr:row>199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1877A9D-A59A-46AC-8297-71840814F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147050</xdr:colOff>
      <xdr:row>0</xdr:row>
      <xdr:rowOff>66676</xdr:rowOff>
    </xdr:from>
    <xdr:to>
      <xdr:col>7</xdr:col>
      <xdr:colOff>52152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2785000D-4295-4643-BF1C-03F86EA42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80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643207</xdr:colOff>
      <xdr:row>0</xdr:row>
      <xdr:rowOff>47625</xdr:rowOff>
    </xdr:from>
    <xdr:to>
      <xdr:col>8</xdr:col>
      <xdr:colOff>600075</xdr:colOff>
      <xdr:row>3</xdr:row>
      <xdr:rowOff>135579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97829BB6-4098-4C24-A621-85215D079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0932" y="47625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8153D3B-FA4D-443D-84C6-AB497E07B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1600" y="15153"/>
          <a:ext cx="1579201" cy="7901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357185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4588089-2992-491E-8D0E-6BA10B2BA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8985" y="119063"/>
          <a:ext cx="1445606" cy="69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84C20D0-0A7E-4E62-B641-8CEEC5F0B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536823</xdr:colOff>
      <xdr:row>59</xdr:row>
      <xdr:rowOff>42659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A0F3C4C-527C-4A03-B976-66A9CFBDC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12F96D2-F6E6-416C-B952-2FBB9FA95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47A6E3-02F0-463E-8062-CE4C4A210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B13F1C0-029E-4190-9130-848832064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8FF8C032-6F2E-4B96-838F-61CD076C3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_rels/sheet3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6.xml"/><Relationship Id="rId1" Type="http://schemas.openxmlformats.org/officeDocument/2006/relationships/printerSettings" Target="../printerSettings/printerSettings345.bin"/></Relationships>
</file>

<file path=xl/worksheets/_rels/sheet3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7.xml"/><Relationship Id="rId1" Type="http://schemas.openxmlformats.org/officeDocument/2006/relationships/printerSettings" Target="../printerSettings/printerSettings346.bin"/></Relationships>
</file>

<file path=xl/worksheets/_rels/sheet3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47.bin"/></Relationships>
</file>

<file path=xl/worksheets/_rels/sheet3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9.xml"/><Relationship Id="rId1" Type="http://schemas.openxmlformats.org/officeDocument/2006/relationships/printerSettings" Target="../printerSettings/printerSettings348.bin"/></Relationships>
</file>

<file path=xl/worksheets/_rels/sheet3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0.xml"/><Relationship Id="rId1" Type="http://schemas.openxmlformats.org/officeDocument/2006/relationships/printerSettings" Target="../printerSettings/printerSettings349.bin"/></Relationships>
</file>

<file path=xl/worksheets/_rels/sheet3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1.xml"/><Relationship Id="rId1" Type="http://schemas.openxmlformats.org/officeDocument/2006/relationships/printerSettings" Target="../printerSettings/printerSettings350.bin"/></Relationships>
</file>

<file path=xl/worksheets/_rels/sheet3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2.xml"/><Relationship Id="rId1" Type="http://schemas.openxmlformats.org/officeDocument/2006/relationships/printerSettings" Target="../printerSettings/printerSettings351.bin"/></Relationships>
</file>

<file path=xl/worksheets/_rels/sheet3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3.xml"/><Relationship Id="rId1" Type="http://schemas.openxmlformats.org/officeDocument/2006/relationships/printerSettings" Target="../printerSettings/printerSettings352.bin"/></Relationships>
</file>

<file path=xl/worksheets/_rels/sheet3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4.xml"/><Relationship Id="rId1" Type="http://schemas.openxmlformats.org/officeDocument/2006/relationships/printerSettings" Target="../printerSettings/printerSettings353.bin"/></Relationships>
</file>

<file path=xl/worksheets/_rels/sheet3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5.xml"/><Relationship Id="rId1" Type="http://schemas.openxmlformats.org/officeDocument/2006/relationships/printerSettings" Target="../printerSettings/printerSettings354.bin"/></Relationships>
</file>

<file path=xl/worksheets/_rels/sheet3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6.xml"/><Relationship Id="rId1" Type="http://schemas.openxmlformats.org/officeDocument/2006/relationships/printerSettings" Target="../printerSettings/printerSettings355.bin"/></Relationships>
</file>

<file path=xl/worksheets/_rels/sheet3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7.xml"/><Relationship Id="rId1" Type="http://schemas.openxmlformats.org/officeDocument/2006/relationships/printerSettings" Target="../printerSettings/printerSettings35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</row>
    <row r="7" spans="1:16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39" t="s">
        <v>2</v>
      </c>
      <c r="C8" s="1639"/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5" t="s">
        <v>3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</row>
    <row r="11" spans="1:16" x14ac:dyDescent="0.25">
      <c r="B11" s="1625" t="s">
        <v>4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38" t="s">
        <v>5</v>
      </c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</row>
    <row r="14" spans="1:16" x14ac:dyDescent="0.25">
      <c r="A14" s="1637" t="s">
        <v>6</v>
      </c>
      <c r="B14" s="1632" t="s">
        <v>7</v>
      </c>
      <c r="C14" s="1632" t="s">
        <v>8</v>
      </c>
      <c r="D14" s="1632" t="s">
        <v>9</v>
      </c>
      <c r="E14" s="1632" t="s">
        <v>10</v>
      </c>
      <c r="F14" s="1636" t="s">
        <v>11</v>
      </c>
      <c r="G14" s="1632" t="s">
        <v>11</v>
      </c>
      <c r="H14" s="3" t="s">
        <v>12</v>
      </c>
      <c r="I14" s="1635" t="s">
        <v>13</v>
      </c>
      <c r="J14" s="1632" t="s">
        <v>14</v>
      </c>
      <c r="K14" s="1632" t="s">
        <v>15</v>
      </c>
      <c r="L14" s="1632" t="s">
        <v>16</v>
      </c>
      <c r="M14" s="1632" t="s">
        <v>17</v>
      </c>
      <c r="N14" s="1632" t="s">
        <v>18</v>
      </c>
      <c r="O14" s="1632" t="s">
        <v>19</v>
      </c>
      <c r="P14" s="1633" t="s">
        <v>20</v>
      </c>
    </row>
    <row r="15" spans="1:16" x14ac:dyDescent="0.25">
      <c r="A15" s="1637"/>
      <c r="B15" s="1632"/>
      <c r="C15" s="1632"/>
      <c r="D15" s="1632"/>
      <c r="E15" s="1632"/>
      <c r="F15" s="1636"/>
      <c r="G15" s="1632"/>
      <c r="H15" s="4" t="s">
        <v>21</v>
      </c>
      <c r="I15" s="1635"/>
      <c r="J15" s="1632"/>
      <c r="K15" s="1632"/>
      <c r="L15" s="1632"/>
      <c r="M15" s="1632"/>
      <c r="N15" s="1632"/>
      <c r="O15" s="1632"/>
      <c r="P15" s="1633"/>
    </row>
    <row r="17" spans="1:16" x14ac:dyDescent="0.25">
      <c r="A17" s="6">
        <v>1</v>
      </c>
      <c r="B17" s="7" t="s">
        <v>22</v>
      </c>
      <c r="C17" s="7" t="s">
        <v>23</v>
      </c>
      <c r="D17" s="1634" t="s">
        <v>24</v>
      </c>
      <c r="E17" s="1634"/>
      <c r="F17" s="163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1" t="s">
        <v>27</v>
      </c>
      <c r="E18" s="1631"/>
      <c r="F18" s="163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1" t="s">
        <v>30</v>
      </c>
      <c r="E19" s="1631" t="s">
        <v>31</v>
      </c>
      <c r="F19" s="163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1" t="s">
        <v>27</v>
      </c>
      <c r="E20" s="1631" t="s">
        <v>33</v>
      </c>
      <c r="F20" s="163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1" t="s">
        <v>36</v>
      </c>
      <c r="E21" s="1631" t="s">
        <v>37</v>
      </c>
      <c r="F21" s="163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1" t="s">
        <v>40</v>
      </c>
      <c r="E22" s="1631" t="s">
        <v>41</v>
      </c>
      <c r="F22" s="163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1" t="s">
        <v>44</v>
      </c>
      <c r="E23" s="1631" t="s">
        <v>45</v>
      </c>
      <c r="F23" s="163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1" t="s">
        <v>49</v>
      </c>
      <c r="E24" s="1631" t="s">
        <v>50</v>
      </c>
      <c r="F24" s="163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1" t="s">
        <v>53</v>
      </c>
      <c r="E25" s="1631" t="s">
        <v>54</v>
      </c>
      <c r="F25" s="163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1" t="s">
        <v>56</v>
      </c>
      <c r="E26" s="1631" t="s">
        <v>57</v>
      </c>
      <c r="F26" s="163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1" t="s">
        <v>53</v>
      </c>
      <c r="E27" s="1631" t="s">
        <v>60</v>
      </c>
      <c r="F27" s="163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1" t="s">
        <v>63</v>
      </c>
      <c r="E28" s="1631" t="s">
        <v>64</v>
      </c>
      <c r="F28" s="163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1" t="s">
        <v>67</v>
      </c>
      <c r="E29" s="1631" t="s">
        <v>68</v>
      </c>
      <c r="F29" s="163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1" t="s">
        <v>71</v>
      </c>
      <c r="E30" s="1631" t="s">
        <v>72</v>
      </c>
      <c r="F30" s="163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1" t="s">
        <v>75</v>
      </c>
      <c r="E31" s="1631" t="s">
        <v>76</v>
      </c>
      <c r="F31" s="163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1" t="s">
        <v>78</v>
      </c>
      <c r="E32" s="1631" t="s">
        <v>79</v>
      </c>
      <c r="F32" s="163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1" t="s">
        <v>82</v>
      </c>
      <c r="E33" s="1631" t="s">
        <v>83</v>
      </c>
      <c r="F33" s="163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1" t="s">
        <v>85</v>
      </c>
      <c r="E34" s="1631" t="s">
        <v>86</v>
      </c>
      <c r="F34" s="163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1" t="s">
        <v>89</v>
      </c>
      <c r="E35" s="1631" t="s">
        <v>90</v>
      </c>
      <c r="F35" s="163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1" t="s">
        <v>92</v>
      </c>
      <c r="E36" s="1631" t="s">
        <v>93</v>
      </c>
      <c r="F36" s="163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1" t="s">
        <v>71</v>
      </c>
      <c r="E37" s="1631" t="s">
        <v>95</v>
      </c>
      <c r="F37" s="163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1" t="s">
        <v>97</v>
      </c>
      <c r="E38" s="1631" t="s">
        <v>98</v>
      </c>
      <c r="F38" s="163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1" t="s">
        <v>92</v>
      </c>
      <c r="E39" s="1631" t="s">
        <v>100</v>
      </c>
      <c r="F39" s="163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1" t="s">
        <v>102</v>
      </c>
      <c r="E40" s="1631" t="s">
        <v>103</v>
      </c>
      <c r="F40" s="163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1" t="s">
        <v>105</v>
      </c>
      <c r="E41" s="1631" t="s">
        <v>106</v>
      </c>
      <c r="F41" s="163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1" t="s">
        <v>105</v>
      </c>
      <c r="E42" s="1631" t="s">
        <v>108</v>
      </c>
      <c r="F42" s="163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1" t="s">
        <v>105</v>
      </c>
      <c r="E43" s="1631" t="s">
        <v>110</v>
      </c>
      <c r="F43" s="163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1" t="s">
        <v>112</v>
      </c>
      <c r="E44" s="1631" t="s">
        <v>113</v>
      </c>
      <c r="F44" s="163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1" t="s">
        <v>78</v>
      </c>
      <c r="E45" s="1631" t="s">
        <v>115</v>
      </c>
      <c r="F45" s="163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1" t="s">
        <v>117</v>
      </c>
      <c r="E46" s="1631" t="s">
        <v>118</v>
      </c>
      <c r="F46" s="163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1" t="s">
        <v>120</v>
      </c>
      <c r="E47" s="1631" t="s">
        <v>121</v>
      </c>
      <c r="F47" s="163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1" t="s">
        <v>49</v>
      </c>
      <c r="E48" s="1631" t="s">
        <v>123</v>
      </c>
      <c r="F48" s="163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1" t="s">
        <v>125</v>
      </c>
      <c r="E49" s="1631" t="s">
        <v>126</v>
      </c>
      <c r="F49" s="163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1" t="s">
        <v>105</v>
      </c>
      <c r="E50" s="1631" t="s">
        <v>128</v>
      </c>
      <c r="F50" s="163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1" t="s">
        <v>102</v>
      </c>
      <c r="E51" s="1631" t="s">
        <v>130</v>
      </c>
      <c r="F51" s="163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1" t="s">
        <v>132</v>
      </c>
      <c r="E52" s="1631" t="s">
        <v>133</v>
      </c>
      <c r="F52" s="163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1" t="s">
        <v>117</v>
      </c>
      <c r="E53" s="1631" t="s">
        <v>135</v>
      </c>
      <c r="F53" s="163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1" t="s">
        <v>85</v>
      </c>
      <c r="E54" s="1631" t="s">
        <v>137</v>
      </c>
      <c r="F54" s="163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1" t="s">
        <v>139</v>
      </c>
      <c r="E55" s="1631" t="s">
        <v>140</v>
      </c>
      <c r="F55" s="163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1" t="s">
        <v>142</v>
      </c>
      <c r="E56" s="1631" t="s">
        <v>143</v>
      </c>
      <c r="F56" s="163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1" t="s">
        <v>145</v>
      </c>
      <c r="E57" s="1631" t="s">
        <v>146</v>
      </c>
      <c r="F57" s="163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1" t="s">
        <v>148</v>
      </c>
      <c r="E58" s="1631" t="s">
        <v>149</v>
      </c>
      <c r="F58" s="163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1" t="s">
        <v>151</v>
      </c>
      <c r="E59" s="1631" t="s">
        <v>152</v>
      </c>
      <c r="F59" s="163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1" t="s">
        <v>154</v>
      </c>
      <c r="E60" s="1631" t="s">
        <v>155</v>
      </c>
      <c r="F60" s="163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1" t="s">
        <v>157</v>
      </c>
      <c r="E61" s="1631" t="s">
        <v>158</v>
      </c>
      <c r="F61" s="163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1" t="s">
        <v>160</v>
      </c>
      <c r="E62" s="1631" t="s">
        <v>161</v>
      </c>
      <c r="F62" s="163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1" t="s">
        <v>163</v>
      </c>
      <c r="E63" s="1631" t="s">
        <v>164</v>
      </c>
      <c r="F63" s="163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1" t="s">
        <v>92</v>
      </c>
      <c r="E65" s="1631" t="s">
        <v>168</v>
      </c>
      <c r="F65" s="163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1" t="s">
        <v>105</v>
      </c>
      <c r="E66" s="1631" t="s">
        <v>170</v>
      </c>
      <c r="F66" s="163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1" t="s">
        <v>40</v>
      </c>
      <c r="E67" s="1631" t="s">
        <v>172</v>
      </c>
      <c r="F67" s="163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1" t="s">
        <v>92</v>
      </c>
      <c r="E70" s="1631" t="s">
        <v>176</v>
      </c>
      <c r="F70" s="163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1" t="s">
        <v>178</v>
      </c>
      <c r="E71" s="1631" t="s">
        <v>179</v>
      </c>
      <c r="F71" s="163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1" t="s">
        <v>181</v>
      </c>
      <c r="E72" s="1631" t="s">
        <v>182</v>
      </c>
      <c r="F72" s="163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1" t="s">
        <v>184</v>
      </c>
      <c r="E73" s="1631" t="s">
        <v>185</v>
      </c>
      <c r="F73" s="163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1" t="s">
        <v>187</v>
      </c>
      <c r="E74" s="1631" t="s">
        <v>188</v>
      </c>
      <c r="F74" s="163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1" t="s">
        <v>190</v>
      </c>
      <c r="E75" s="1631" t="s">
        <v>191</v>
      </c>
      <c r="F75" s="163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0" t="s">
        <v>92</v>
      </c>
      <c r="E76" s="1630" t="s">
        <v>193</v>
      </c>
      <c r="F76" s="163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28" t="s">
        <v>194</v>
      </c>
      <c r="C77" s="1628"/>
      <c r="D77" s="1628"/>
      <c r="E77" s="1628"/>
      <c r="F77" s="1628"/>
      <c r="G77" s="1628"/>
      <c r="H77" s="1626" t="e">
        <f ca="1">SUM(H17:H77)</f>
        <v>#VALUE!</v>
      </c>
      <c r="I77" s="1629">
        <v>0</v>
      </c>
      <c r="J77" s="1626" t="e">
        <f ca="1">SUM(J17:J77)</f>
        <v>#VALUE!</v>
      </c>
      <c r="K77" s="1626" t="e">
        <f ca="1">SUM(K17:K77)</f>
        <v>#VALUE!</v>
      </c>
      <c r="L77" s="1626" t="e">
        <f ca="1">SUM(L17:L77)</f>
        <v>#VALUE!</v>
      </c>
      <c r="M77" s="1626">
        <v>68224.509999999995</v>
      </c>
      <c r="N77" s="1626">
        <v>42225.96</v>
      </c>
      <c r="O77" s="1626">
        <v>305460.49</v>
      </c>
      <c r="P77" s="1627">
        <v>2020507.01</v>
      </c>
    </row>
    <row r="78" spans="1:16" x14ac:dyDescent="0.25">
      <c r="B78" s="1628"/>
      <c r="C78" s="1628"/>
      <c r="D78" s="1628"/>
      <c r="E78" s="1628"/>
      <c r="F78" s="1628"/>
      <c r="G78" s="1628"/>
      <c r="H78" s="1626"/>
      <c r="I78" s="1629"/>
      <c r="J78" s="1626"/>
      <c r="K78" s="1626"/>
      <c r="L78" s="1626"/>
      <c r="M78" s="1626"/>
      <c r="N78" s="1626"/>
      <c r="O78" s="1626"/>
      <c r="P78" s="1627"/>
    </row>
    <row r="81" spans="2:15" x14ac:dyDescent="0.25">
      <c r="B81" s="24" t="s">
        <v>195</v>
      </c>
      <c r="C81" s="24"/>
      <c r="M81" s="1625" t="s">
        <v>196</v>
      </c>
      <c r="N81" s="1625"/>
      <c r="O81" s="162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24" t="s">
        <v>198</v>
      </c>
      <c r="N84" s="1624"/>
      <c r="O84" s="1624"/>
    </row>
    <row r="85" spans="2:15" x14ac:dyDescent="0.25">
      <c r="B85" s="24" t="s">
        <v>199</v>
      </c>
      <c r="C85" s="24"/>
      <c r="M85" s="1625" t="s">
        <v>200</v>
      </c>
      <c r="N85" s="1625"/>
      <c r="O85" s="1625"/>
    </row>
    <row r="86" spans="2:15" x14ac:dyDescent="0.25">
      <c r="B86" s="25" t="s">
        <v>201</v>
      </c>
      <c r="C86" s="25"/>
      <c r="M86" s="1624" t="s">
        <v>202</v>
      </c>
      <c r="N86" s="1624"/>
      <c r="O86" s="1624"/>
    </row>
    <row r="89" spans="2:15" x14ac:dyDescent="0.25">
      <c r="B89" s="1625" t="s">
        <v>203</v>
      </c>
      <c r="C89" s="1625"/>
      <c r="D89" s="1625"/>
      <c r="E89" s="1625"/>
      <c r="F89" s="1625"/>
      <c r="G89" s="1625"/>
      <c r="H89" s="1625"/>
      <c r="I89" s="1625"/>
      <c r="J89" s="1625"/>
      <c r="K89" s="1625"/>
      <c r="L89" s="1625"/>
      <c r="M89" s="1625"/>
      <c r="N89" s="1625"/>
      <c r="O89" s="1625"/>
    </row>
    <row r="92" spans="2:15" x14ac:dyDescent="0.25">
      <c r="B92" s="1624" t="s">
        <v>204</v>
      </c>
      <c r="C92" s="1624"/>
      <c r="D92" s="1624"/>
      <c r="E92" s="1624"/>
      <c r="F92" s="1624"/>
      <c r="G92" s="1624"/>
      <c r="H92" s="1624"/>
      <c r="I92" s="1624"/>
      <c r="J92" s="1624"/>
      <c r="K92" s="1624"/>
      <c r="L92" s="1624"/>
      <c r="M92" s="1624"/>
      <c r="N92" s="1624"/>
      <c r="O92" s="1624"/>
    </row>
    <row r="93" spans="2:15" x14ac:dyDescent="0.25">
      <c r="B93" s="1625" t="s">
        <v>205</v>
      </c>
      <c r="C93" s="1625"/>
      <c r="D93" s="1625"/>
      <c r="E93" s="1625"/>
      <c r="F93" s="1625"/>
      <c r="G93" s="1625"/>
      <c r="H93" s="1625"/>
      <c r="I93" s="1625"/>
      <c r="J93" s="1625"/>
      <c r="K93" s="1625"/>
      <c r="L93" s="1625"/>
      <c r="M93" s="1625"/>
      <c r="N93" s="1625"/>
      <c r="O93" s="1625"/>
    </row>
    <row r="94" spans="2:15" x14ac:dyDescent="0.25">
      <c r="B94" s="1624" t="s">
        <v>206</v>
      </c>
      <c r="C94" s="1624"/>
      <c r="D94" s="1624"/>
      <c r="E94" s="1624"/>
      <c r="F94" s="1624"/>
      <c r="G94" s="1624"/>
      <c r="H94" s="1624"/>
      <c r="I94" s="1624"/>
      <c r="J94" s="1624"/>
      <c r="K94" s="1624"/>
      <c r="L94" s="1624"/>
      <c r="M94" s="1624"/>
      <c r="N94" s="1624"/>
      <c r="O94" s="162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</row>
    <row r="9" spans="1:16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25" t="s">
        <v>207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</row>
    <row r="13" spans="1:16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1632" t="s">
        <v>208</v>
      </c>
      <c r="G15" s="1632" t="s">
        <v>209</v>
      </c>
      <c r="H15" s="3" t="s">
        <v>12</v>
      </c>
      <c r="I15" s="1635" t="s">
        <v>13</v>
      </c>
      <c r="J15" s="1632" t="s">
        <v>14</v>
      </c>
      <c r="K15" s="1632" t="s">
        <v>15</v>
      </c>
      <c r="L15" s="1632" t="s">
        <v>16</v>
      </c>
      <c r="M15" s="1632" t="s">
        <v>17</v>
      </c>
      <c r="N15" s="1632" t="s">
        <v>18</v>
      </c>
      <c r="O15" s="1632" t="s">
        <v>19</v>
      </c>
      <c r="P15" s="1633" t="s">
        <v>20</v>
      </c>
    </row>
    <row r="16" spans="1:16" x14ac:dyDescent="0.25">
      <c r="A16" s="1637"/>
      <c r="B16" s="1632"/>
      <c r="C16" s="1632"/>
      <c r="D16" s="1632"/>
      <c r="E16" s="1636"/>
      <c r="F16" s="1632"/>
      <c r="G16" s="1632"/>
      <c r="H16" s="4" t="s">
        <v>21</v>
      </c>
      <c r="I16" s="1635"/>
      <c r="J16" s="1632"/>
      <c r="K16" s="1632"/>
      <c r="L16" s="1632"/>
      <c r="M16" s="1632"/>
      <c r="N16" s="1632"/>
      <c r="O16" s="1632"/>
      <c r="P16" s="163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28" t="s">
        <v>194</v>
      </c>
      <c r="C29" s="1628"/>
      <c r="D29" s="1628"/>
      <c r="E29" s="1628"/>
      <c r="F29" s="1628"/>
      <c r="G29" s="1628"/>
      <c r="H29" s="1626">
        <f t="shared" ref="H29:P29" si="0">SUM(H18:H28)</f>
        <v>259500</v>
      </c>
      <c r="I29" s="1629">
        <f t="shared" si="0"/>
        <v>0</v>
      </c>
      <c r="J29" s="1626">
        <f t="shared" si="0"/>
        <v>259500</v>
      </c>
      <c r="K29" s="1626">
        <f t="shared" si="0"/>
        <v>7447.6600000000008</v>
      </c>
      <c r="L29" s="1629">
        <f t="shared" si="0"/>
        <v>442.65</v>
      </c>
      <c r="M29" s="1626">
        <f t="shared" si="0"/>
        <v>7888.8</v>
      </c>
      <c r="N29" s="1626">
        <f t="shared" si="0"/>
        <v>2845</v>
      </c>
      <c r="O29" s="1626">
        <f t="shared" si="0"/>
        <v>18624.11</v>
      </c>
      <c r="P29" s="1627">
        <f t="shared" si="0"/>
        <v>240875.89</v>
      </c>
    </row>
    <row r="30" spans="1:16" x14ac:dyDescent="0.25">
      <c r="B30" s="1628"/>
      <c r="C30" s="1628"/>
      <c r="D30" s="1628"/>
      <c r="E30" s="1628"/>
      <c r="F30" s="1628"/>
      <c r="G30" s="1628"/>
      <c r="H30" s="1626"/>
      <c r="I30" s="1629"/>
      <c r="J30" s="1626"/>
      <c r="K30" s="1626"/>
      <c r="L30" s="1629"/>
      <c r="M30" s="1626"/>
      <c r="N30" s="1626"/>
      <c r="O30" s="1626"/>
      <c r="P30" s="1627"/>
    </row>
    <row r="33" spans="2:15" x14ac:dyDescent="0.25">
      <c r="B33" s="24" t="s">
        <v>195</v>
      </c>
      <c r="C33" s="24"/>
      <c r="M33" s="1625" t="s">
        <v>196</v>
      </c>
      <c r="N33" s="1625"/>
      <c r="O33" s="162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625" t="s">
        <v>200</v>
      </c>
      <c r="N37" s="1625"/>
      <c r="O37" s="1625"/>
    </row>
    <row r="38" spans="2:15" x14ac:dyDescent="0.25">
      <c r="B38" s="25" t="s">
        <v>201</v>
      </c>
      <c r="C38" s="25"/>
      <c r="M38" s="1624" t="s">
        <v>202</v>
      </c>
      <c r="N38" s="1624"/>
      <c r="O38" s="1624"/>
    </row>
    <row r="41" spans="2:15" x14ac:dyDescent="0.25">
      <c r="B41" s="1625" t="s">
        <v>203</v>
      </c>
      <c r="C41" s="1625"/>
      <c r="D41" s="1625"/>
      <c r="E41" s="1625"/>
      <c r="F41" s="1625"/>
      <c r="G41" s="1625"/>
      <c r="H41" s="1625"/>
      <c r="I41" s="1625"/>
      <c r="J41" s="1625"/>
      <c r="K41" s="1625"/>
      <c r="L41" s="1625"/>
      <c r="M41" s="1625"/>
      <c r="N41" s="1625"/>
      <c r="O41" s="1625"/>
    </row>
    <row r="44" spans="2:15" x14ac:dyDescent="0.25">
      <c r="B44" s="1624" t="s">
        <v>204</v>
      </c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</row>
    <row r="45" spans="2:15" x14ac:dyDescent="0.25">
      <c r="B45" s="1625" t="s">
        <v>205</v>
      </c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</row>
    <row r="46" spans="2:15" x14ac:dyDescent="0.25">
      <c r="B46" s="1624" t="s">
        <v>206</v>
      </c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  <c r="O46" s="162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233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28" t="s">
        <v>194</v>
      </c>
      <c r="C20" s="1628"/>
      <c r="D20" s="1628"/>
      <c r="E20" s="1628"/>
      <c r="F20" s="1626">
        <v>35000</v>
      </c>
      <c r="G20" s="1629">
        <v>0</v>
      </c>
      <c r="H20" s="1626">
        <v>35000</v>
      </c>
      <c r="I20" s="1629">
        <v>0</v>
      </c>
      <c r="J20" s="1629">
        <v>0</v>
      </c>
      <c r="K20" s="1629">
        <v>0</v>
      </c>
      <c r="L20" s="1629">
        <v>0</v>
      </c>
      <c r="M20" s="1629">
        <v>0</v>
      </c>
      <c r="N20" s="1627">
        <v>35000</v>
      </c>
    </row>
    <row r="21" spans="1:14" x14ac:dyDescent="0.25">
      <c r="B21" s="1628"/>
      <c r="C21" s="1628"/>
      <c r="D21" s="1628"/>
      <c r="E21" s="1628"/>
      <c r="F21" s="1626"/>
      <c r="G21" s="1629"/>
      <c r="H21" s="1626"/>
      <c r="I21" s="1629"/>
      <c r="J21" s="1629"/>
      <c r="K21" s="1629"/>
      <c r="L21" s="1629"/>
      <c r="M21" s="1629"/>
      <c r="N21" s="1627"/>
    </row>
    <row r="24" spans="1:14" x14ac:dyDescent="0.25">
      <c r="B24" s="1625" t="s">
        <v>195</v>
      </c>
      <c r="C24" s="1625"/>
      <c r="L24" s="1625" t="s">
        <v>196</v>
      </c>
      <c r="M24" s="1625"/>
      <c r="N24" s="162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25" t="s">
        <v>199</v>
      </c>
      <c r="C28" s="1625"/>
      <c r="L28" s="1625" t="s">
        <v>200</v>
      </c>
      <c r="M28" s="1625"/>
      <c r="N28" s="1625"/>
    </row>
    <row r="29" spans="1:14" x14ac:dyDescent="0.25">
      <c r="B29" s="1624" t="s">
        <v>201</v>
      </c>
      <c r="C29" s="1624"/>
      <c r="L29" s="1624" t="s">
        <v>202</v>
      </c>
      <c r="M29" s="1624"/>
      <c r="N29" s="1624"/>
    </row>
    <row r="31" spans="1:14" x14ac:dyDescent="0.25">
      <c r="A31" s="1625" t="s">
        <v>203</v>
      </c>
      <c r="B31" s="1625"/>
      <c r="C31" s="1625"/>
      <c r="D31" s="1625"/>
      <c r="E31" s="1625"/>
      <c r="F31" s="1625"/>
      <c r="G31" s="1625"/>
      <c r="H31" s="1625"/>
      <c r="I31" s="1625"/>
      <c r="J31" s="1625"/>
      <c r="K31" s="1625"/>
      <c r="L31" s="1625"/>
      <c r="M31" s="1625"/>
      <c r="N31" s="1625"/>
    </row>
    <row r="34" spans="1:14" x14ac:dyDescent="0.25">
      <c r="A34" s="1624" t="s">
        <v>204</v>
      </c>
      <c r="B34" s="1624"/>
      <c r="C34" s="1624"/>
      <c r="D34" s="1624"/>
      <c r="E34" s="1624"/>
      <c r="F34" s="1624"/>
      <c r="G34" s="1624"/>
      <c r="H34" s="1624"/>
      <c r="I34" s="1624"/>
      <c r="J34" s="1624"/>
      <c r="K34" s="1624"/>
      <c r="L34" s="1624"/>
      <c r="M34" s="1624"/>
      <c r="N34" s="1624"/>
    </row>
    <row r="35" spans="1:14" x14ac:dyDescent="0.25">
      <c r="A35" s="1625" t="s">
        <v>205</v>
      </c>
      <c r="B35" s="1625"/>
      <c r="C35" s="1625"/>
      <c r="D35" s="1625"/>
      <c r="E35" s="1625"/>
      <c r="F35" s="1625"/>
      <c r="G35" s="1625"/>
      <c r="H35" s="1625"/>
      <c r="I35" s="1625"/>
      <c r="J35" s="1625"/>
      <c r="K35" s="1625"/>
      <c r="L35" s="1625"/>
      <c r="M35" s="1625"/>
      <c r="N35" s="1625"/>
    </row>
    <row r="36" spans="1:14" x14ac:dyDescent="0.25">
      <c r="A36" s="1624" t="s">
        <v>206</v>
      </c>
      <c r="B36" s="1624"/>
      <c r="C36" s="1624"/>
      <c r="D36" s="1624"/>
      <c r="E36" s="1624"/>
      <c r="F36" s="1624"/>
      <c r="G36" s="1624"/>
      <c r="H36" s="1624"/>
      <c r="I36" s="1624"/>
      <c r="J36" s="1624"/>
      <c r="K36" s="1624"/>
      <c r="L36" s="1624"/>
      <c r="M36" s="1624"/>
      <c r="N36" s="162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</row>
    <row r="7" spans="1:16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39" t="s">
        <v>2</v>
      </c>
      <c r="C8" s="1639"/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5" t="s">
        <v>3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</row>
    <row r="11" spans="1:16" x14ac:dyDescent="0.25">
      <c r="B11" s="1625" t="s">
        <v>239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38" t="s">
        <v>5</v>
      </c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</row>
    <row r="14" spans="1:16" x14ac:dyDescent="0.25">
      <c r="A14" s="1637" t="s">
        <v>6</v>
      </c>
      <c r="B14" s="1632" t="s">
        <v>7</v>
      </c>
      <c r="C14" s="1632" t="s">
        <v>8</v>
      </c>
      <c r="D14" s="1632" t="s">
        <v>9</v>
      </c>
      <c r="E14" s="1632" t="s">
        <v>10</v>
      </c>
      <c r="F14" s="1636" t="s">
        <v>11</v>
      </c>
      <c r="G14" s="1632" t="s">
        <v>11</v>
      </c>
      <c r="H14" s="3" t="s">
        <v>12</v>
      </c>
      <c r="I14" s="1635" t="s">
        <v>13</v>
      </c>
      <c r="J14" s="1632" t="s">
        <v>14</v>
      </c>
      <c r="K14" s="1632" t="s">
        <v>15</v>
      </c>
      <c r="L14" s="1632" t="s">
        <v>16</v>
      </c>
      <c r="M14" s="1632" t="s">
        <v>17</v>
      </c>
      <c r="N14" s="1632" t="s">
        <v>18</v>
      </c>
      <c r="O14" s="1632" t="s">
        <v>19</v>
      </c>
      <c r="P14" s="1633" t="s">
        <v>20</v>
      </c>
    </row>
    <row r="15" spans="1:16" x14ac:dyDescent="0.25">
      <c r="A15" s="1637"/>
      <c r="B15" s="1632"/>
      <c r="C15" s="1632"/>
      <c r="D15" s="1632"/>
      <c r="E15" s="1632"/>
      <c r="F15" s="1636"/>
      <c r="G15" s="1632"/>
      <c r="H15" s="4" t="s">
        <v>21</v>
      </c>
      <c r="I15" s="1635"/>
      <c r="J15" s="1632"/>
      <c r="K15" s="1632"/>
      <c r="L15" s="1632"/>
      <c r="M15" s="1632"/>
      <c r="N15" s="1632"/>
      <c r="O15" s="1632"/>
      <c r="P15" s="1633"/>
    </row>
    <row r="17" spans="1:16" x14ac:dyDescent="0.25">
      <c r="A17" s="6">
        <v>1</v>
      </c>
      <c r="B17" s="7" t="s">
        <v>22</v>
      </c>
      <c r="C17" s="7" t="s">
        <v>23</v>
      </c>
      <c r="D17" s="1634" t="s">
        <v>24</v>
      </c>
      <c r="E17" s="1634"/>
      <c r="F17" s="163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1" t="s">
        <v>27</v>
      </c>
      <c r="E18" s="1631"/>
      <c r="F18" s="163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1" t="s">
        <v>30</v>
      </c>
      <c r="E19" s="1631" t="s">
        <v>31</v>
      </c>
      <c r="F19" s="163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1" t="s">
        <v>27</v>
      </c>
      <c r="E20" s="1631" t="s">
        <v>33</v>
      </c>
      <c r="F20" s="163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1" t="s">
        <v>36</v>
      </c>
      <c r="E21" s="1631" t="s">
        <v>37</v>
      </c>
      <c r="F21" s="163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1" t="s">
        <v>40</v>
      </c>
      <c r="E22" s="1631" t="s">
        <v>41</v>
      </c>
      <c r="F22" s="163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1" t="s">
        <v>44</v>
      </c>
      <c r="E23" s="1631" t="s">
        <v>45</v>
      </c>
      <c r="F23" s="163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1" t="s">
        <v>49</v>
      </c>
      <c r="E24" s="1631" t="s">
        <v>50</v>
      </c>
      <c r="F24" s="163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1" t="s">
        <v>53</v>
      </c>
      <c r="E25" s="1631" t="s">
        <v>54</v>
      </c>
      <c r="F25" s="163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1" t="s">
        <v>56</v>
      </c>
      <c r="E26" s="1631" t="s">
        <v>57</v>
      </c>
      <c r="F26" s="163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1" t="s">
        <v>53</v>
      </c>
      <c r="E27" s="1631" t="s">
        <v>60</v>
      </c>
      <c r="F27" s="163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1" t="s">
        <v>63</v>
      </c>
      <c r="E28" s="1631" t="s">
        <v>64</v>
      </c>
      <c r="F28" s="163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1" t="s">
        <v>67</v>
      </c>
      <c r="E29" s="1631" t="s">
        <v>68</v>
      </c>
      <c r="F29" s="163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1" t="s">
        <v>71</v>
      </c>
      <c r="E30" s="1631" t="s">
        <v>72</v>
      </c>
      <c r="F30" s="163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1" t="s">
        <v>75</v>
      </c>
      <c r="E31" s="1631" t="s">
        <v>76</v>
      </c>
      <c r="F31" s="163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1" t="s">
        <v>78</v>
      </c>
      <c r="E32" s="1631" t="s">
        <v>79</v>
      </c>
      <c r="F32" s="163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1" t="s">
        <v>82</v>
      </c>
      <c r="E33" s="1631" t="s">
        <v>83</v>
      </c>
      <c r="F33" s="163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1" t="s">
        <v>85</v>
      </c>
      <c r="E34" s="1631" t="s">
        <v>86</v>
      </c>
      <c r="F34" s="163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1" t="s">
        <v>89</v>
      </c>
      <c r="E35" s="1631" t="s">
        <v>90</v>
      </c>
      <c r="F35" s="163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1" t="s">
        <v>92</v>
      </c>
      <c r="E36" s="1631" t="s">
        <v>93</v>
      </c>
      <c r="F36" s="163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1" t="s">
        <v>71</v>
      </c>
      <c r="E37" s="1631" t="s">
        <v>95</v>
      </c>
      <c r="F37" s="163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1" t="s">
        <v>97</v>
      </c>
      <c r="E38" s="1631" t="s">
        <v>98</v>
      </c>
      <c r="F38" s="163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1" t="s">
        <v>92</v>
      </c>
      <c r="E39" s="1631" t="s">
        <v>100</v>
      </c>
      <c r="F39" s="163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1" t="s">
        <v>102</v>
      </c>
      <c r="E40" s="1631" t="s">
        <v>103</v>
      </c>
      <c r="F40" s="163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1" t="s">
        <v>105</v>
      </c>
      <c r="E41" s="1631" t="s">
        <v>106</v>
      </c>
      <c r="F41" s="163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1" t="s">
        <v>105</v>
      </c>
      <c r="E42" s="1631" t="s">
        <v>108</v>
      </c>
      <c r="F42" s="163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1" t="s">
        <v>105</v>
      </c>
      <c r="E43" s="1631" t="s">
        <v>110</v>
      </c>
      <c r="F43" s="163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1" t="s">
        <v>112</v>
      </c>
      <c r="E44" s="1631" t="s">
        <v>113</v>
      </c>
      <c r="F44" s="163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1" t="s">
        <v>78</v>
      </c>
      <c r="E45" s="1631" t="s">
        <v>115</v>
      </c>
      <c r="F45" s="163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1" t="s">
        <v>117</v>
      </c>
      <c r="E46" s="1631" t="s">
        <v>118</v>
      </c>
      <c r="F46" s="163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1" t="s">
        <v>120</v>
      </c>
      <c r="E47" s="1631" t="s">
        <v>121</v>
      </c>
      <c r="F47" s="163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1" t="s">
        <v>49</v>
      </c>
      <c r="E48" s="1631" t="s">
        <v>123</v>
      </c>
      <c r="F48" s="163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1" t="s">
        <v>125</v>
      </c>
      <c r="E49" s="1631" t="s">
        <v>126</v>
      </c>
      <c r="F49" s="163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1" t="s">
        <v>105</v>
      </c>
      <c r="E50" s="1631" t="s">
        <v>128</v>
      </c>
      <c r="F50" s="163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1" t="s">
        <v>102</v>
      </c>
      <c r="E51" s="1631" t="s">
        <v>130</v>
      </c>
      <c r="F51" s="163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1" t="s">
        <v>132</v>
      </c>
      <c r="E52" s="1631" t="s">
        <v>133</v>
      </c>
      <c r="F52" s="163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1" t="s">
        <v>117</v>
      </c>
      <c r="E53" s="1631" t="s">
        <v>135</v>
      </c>
      <c r="F53" s="163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1" t="s">
        <v>85</v>
      </c>
      <c r="E54" s="1631" t="s">
        <v>137</v>
      </c>
      <c r="F54" s="163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1" t="s">
        <v>139</v>
      </c>
      <c r="E55" s="1631" t="s">
        <v>140</v>
      </c>
      <c r="F55" s="163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1" t="s">
        <v>142</v>
      </c>
      <c r="E56" s="1631" t="s">
        <v>143</v>
      </c>
      <c r="F56" s="163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1" t="s">
        <v>145</v>
      </c>
      <c r="E57" s="1631" t="s">
        <v>146</v>
      </c>
      <c r="F57" s="163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1" t="s">
        <v>148</v>
      </c>
      <c r="E58" s="1631" t="s">
        <v>149</v>
      </c>
      <c r="F58" s="163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1" t="s">
        <v>151</v>
      </c>
      <c r="E59" s="1631" t="s">
        <v>152</v>
      </c>
      <c r="F59" s="163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1" t="s">
        <v>154</v>
      </c>
      <c r="E60" s="1631" t="s">
        <v>155</v>
      </c>
      <c r="F60" s="163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1" t="s">
        <v>157</v>
      </c>
      <c r="E61" s="1631" t="s">
        <v>158</v>
      </c>
      <c r="F61" s="163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1" t="s">
        <v>160</v>
      </c>
      <c r="E62" s="1631" t="s">
        <v>161</v>
      </c>
      <c r="F62" s="163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1" t="s">
        <v>163</v>
      </c>
      <c r="E63" s="1631" t="s">
        <v>164</v>
      </c>
      <c r="F63" s="163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1" t="s">
        <v>92</v>
      </c>
      <c r="E65" s="1631" t="s">
        <v>168</v>
      </c>
      <c r="F65" s="163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1" t="s">
        <v>105</v>
      </c>
      <c r="E66" s="1631" t="s">
        <v>170</v>
      </c>
      <c r="F66" s="163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1" t="s">
        <v>40</v>
      </c>
      <c r="E67" s="1631" t="s">
        <v>172</v>
      </c>
      <c r="F67" s="163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1" t="s">
        <v>92</v>
      </c>
      <c r="E70" s="1631" t="s">
        <v>176</v>
      </c>
      <c r="F70" s="163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1" t="s">
        <v>178</v>
      </c>
      <c r="E71" s="1631" t="s">
        <v>179</v>
      </c>
      <c r="F71" s="163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1" t="s">
        <v>181</v>
      </c>
      <c r="E72" s="1631" t="s">
        <v>182</v>
      </c>
      <c r="F72" s="163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1" t="s">
        <v>184</v>
      </c>
      <c r="E73" s="1631" t="s">
        <v>185</v>
      </c>
      <c r="F73" s="163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1" t="s">
        <v>187</v>
      </c>
      <c r="E74" s="1631" t="s">
        <v>188</v>
      </c>
      <c r="F74" s="163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1" t="s">
        <v>190</v>
      </c>
      <c r="E75" s="1631" t="s">
        <v>191</v>
      </c>
      <c r="F75" s="163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0" t="s">
        <v>92</v>
      </c>
      <c r="E76" s="1630" t="s">
        <v>193</v>
      </c>
      <c r="F76" s="163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28" t="s">
        <v>194</v>
      </c>
      <c r="C77" s="1628"/>
      <c r="D77" s="1628"/>
      <c r="E77" s="1628"/>
      <c r="F77" s="1628"/>
      <c r="G77" s="1628"/>
      <c r="H77" s="1626" t="e">
        <f ca="1">SUM(H17:H77)</f>
        <v>#VALUE!</v>
      </c>
      <c r="I77" s="1629">
        <v>0</v>
      </c>
      <c r="J77" s="1626" t="e">
        <f ca="1">SUM(J17:J77)</f>
        <v>#VALUE!</v>
      </c>
      <c r="K77" s="1626" t="e">
        <f ca="1">SUM(K17:K77)</f>
        <v>#VALUE!</v>
      </c>
      <c r="L77" s="1626" t="e">
        <f ca="1">SUM(L17:L77)</f>
        <v>#VALUE!</v>
      </c>
      <c r="M77" s="1626">
        <v>68224.509999999995</v>
      </c>
      <c r="N77" s="1626">
        <v>42225.96</v>
      </c>
      <c r="O77" s="1626">
        <v>305460.49</v>
      </c>
      <c r="P77" s="1627">
        <v>2020507.01</v>
      </c>
    </row>
    <row r="78" spans="1:16" x14ac:dyDescent="0.25">
      <c r="B78" s="1628"/>
      <c r="C78" s="1628"/>
      <c r="D78" s="1628"/>
      <c r="E78" s="1628"/>
      <c r="F78" s="1628"/>
      <c r="G78" s="1628"/>
      <c r="H78" s="1626"/>
      <c r="I78" s="1629"/>
      <c r="J78" s="1626"/>
      <c r="K78" s="1626"/>
      <c r="L78" s="1626"/>
      <c r="M78" s="1626"/>
      <c r="N78" s="1626"/>
      <c r="O78" s="1626"/>
      <c r="P78" s="1627"/>
    </row>
    <row r="81" spans="2:15" x14ac:dyDescent="0.25">
      <c r="B81" s="24" t="s">
        <v>195</v>
      </c>
      <c r="C81" s="24"/>
      <c r="M81" s="1625" t="s">
        <v>196</v>
      </c>
      <c r="N81" s="1625"/>
      <c r="O81" s="162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24" t="s">
        <v>198</v>
      </c>
      <c r="N84" s="1624"/>
      <c r="O84" s="1624"/>
    </row>
    <row r="85" spans="2:15" x14ac:dyDescent="0.25">
      <c r="B85" s="24" t="s">
        <v>199</v>
      </c>
      <c r="C85" s="24"/>
      <c r="M85" s="1625" t="s">
        <v>200</v>
      </c>
      <c r="N85" s="1625"/>
      <c r="O85" s="1625"/>
    </row>
    <row r="86" spans="2:15" x14ac:dyDescent="0.25">
      <c r="B86" s="25" t="s">
        <v>201</v>
      </c>
      <c r="C86" s="25"/>
      <c r="M86" s="1624" t="s">
        <v>202</v>
      </c>
      <c r="N86" s="1624"/>
      <c r="O86" s="1624"/>
    </row>
    <row r="89" spans="2:15" x14ac:dyDescent="0.25">
      <c r="B89" s="1625" t="s">
        <v>203</v>
      </c>
      <c r="C89" s="1625"/>
      <c r="D89" s="1625"/>
      <c r="E89" s="1625"/>
      <c r="F89" s="1625"/>
      <c r="G89" s="1625"/>
      <c r="H89" s="1625"/>
      <c r="I89" s="1625"/>
      <c r="J89" s="1625"/>
      <c r="K89" s="1625"/>
      <c r="L89" s="1625"/>
      <c r="M89" s="1625"/>
      <c r="N89" s="1625"/>
      <c r="O89" s="1625"/>
    </row>
    <row r="92" spans="2:15" x14ac:dyDescent="0.25">
      <c r="B92" s="1624" t="s">
        <v>204</v>
      </c>
      <c r="C92" s="1624"/>
      <c r="D92" s="1624"/>
      <c r="E92" s="1624"/>
      <c r="F92" s="1624"/>
      <c r="G92" s="1624"/>
      <c r="H92" s="1624"/>
      <c r="I92" s="1624"/>
      <c r="J92" s="1624"/>
      <c r="K92" s="1624"/>
      <c r="L92" s="1624"/>
      <c r="M92" s="1624"/>
      <c r="N92" s="1624"/>
      <c r="O92" s="1624"/>
    </row>
    <row r="93" spans="2:15" x14ac:dyDescent="0.25">
      <c r="B93" s="1625" t="s">
        <v>205</v>
      </c>
      <c r="C93" s="1625"/>
      <c r="D93" s="1625"/>
      <c r="E93" s="1625"/>
      <c r="F93" s="1625"/>
      <c r="G93" s="1625"/>
      <c r="H93" s="1625"/>
      <c r="I93" s="1625"/>
      <c r="J93" s="1625"/>
      <c r="K93" s="1625"/>
      <c r="L93" s="1625"/>
      <c r="M93" s="1625"/>
      <c r="N93" s="1625"/>
      <c r="O93" s="1625"/>
    </row>
    <row r="94" spans="2:15" x14ac:dyDescent="0.25">
      <c r="B94" s="1624" t="s">
        <v>206</v>
      </c>
      <c r="C94" s="1624"/>
      <c r="D94" s="1624"/>
      <c r="E94" s="1624"/>
      <c r="F94" s="1624"/>
      <c r="G94" s="1624"/>
      <c r="H94" s="1624"/>
      <c r="I94" s="1624"/>
      <c r="J94" s="1624"/>
      <c r="K94" s="1624"/>
      <c r="L94" s="1624"/>
      <c r="M94" s="1624"/>
      <c r="N94" s="1624"/>
      <c r="O94" s="162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</row>
    <row r="9" spans="1:16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25" t="s">
        <v>240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</row>
    <row r="13" spans="1:16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1632" t="s">
        <v>208</v>
      </c>
      <c r="G15" s="1632" t="s">
        <v>209</v>
      </c>
      <c r="H15" s="3" t="s">
        <v>12</v>
      </c>
      <c r="I15" s="1635" t="s">
        <v>13</v>
      </c>
      <c r="J15" s="1632" t="s">
        <v>14</v>
      </c>
      <c r="K15" s="1632" t="s">
        <v>15</v>
      </c>
      <c r="L15" s="1632" t="s">
        <v>16</v>
      </c>
      <c r="M15" s="1632" t="s">
        <v>17</v>
      </c>
      <c r="N15" s="1632" t="s">
        <v>18</v>
      </c>
      <c r="O15" s="1632" t="s">
        <v>19</v>
      </c>
      <c r="P15" s="1633" t="s">
        <v>20</v>
      </c>
    </row>
    <row r="16" spans="1:16" x14ac:dyDescent="0.25">
      <c r="A16" s="1637"/>
      <c r="B16" s="1632"/>
      <c r="C16" s="1632"/>
      <c r="D16" s="1632"/>
      <c r="E16" s="1636"/>
      <c r="F16" s="1632"/>
      <c r="G16" s="1632"/>
      <c r="H16" s="4" t="s">
        <v>21</v>
      </c>
      <c r="I16" s="1635"/>
      <c r="J16" s="1632"/>
      <c r="K16" s="1632"/>
      <c r="L16" s="1632"/>
      <c r="M16" s="1632"/>
      <c r="N16" s="1632"/>
      <c r="O16" s="1632"/>
      <c r="P16" s="163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628" t="s">
        <v>194</v>
      </c>
      <c r="C32" s="1628"/>
      <c r="D32" s="1628"/>
      <c r="E32" s="1628"/>
      <c r="F32" s="1628"/>
      <c r="G32" s="1628"/>
      <c r="H32" s="1626">
        <f t="shared" ref="H32:P32" si="0">SUM(H18:H31)</f>
        <v>411000</v>
      </c>
      <c r="I32" s="1629">
        <f t="shared" si="0"/>
        <v>0</v>
      </c>
      <c r="J32" s="1626">
        <f t="shared" si="0"/>
        <v>411000</v>
      </c>
      <c r="K32" s="1626">
        <f t="shared" si="0"/>
        <v>11795.71</v>
      </c>
      <c r="L32" s="1629">
        <f t="shared" si="0"/>
        <v>7416.01</v>
      </c>
      <c r="M32" s="1626">
        <f t="shared" si="0"/>
        <v>12494.4</v>
      </c>
      <c r="N32" s="1626">
        <f t="shared" si="0"/>
        <v>2920</v>
      </c>
      <c r="O32" s="1626">
        <f t="shared" si="0"/>
        <v>34626.119999999995</v>
      </c>
      <c r="P32" s="1627">
        <f t="shared" si="0"/>
        <v>376373.88</v>
      </c>
    </row>
    <row r="33" spans="2:16" x14ac:dyDescent="0.25">
      <c r="B33" s="1628"/>
      <c r="C33" s="1628"/>
      <c r="D33" s="1628"/>
      <c r="E33" s="1628"/>
      <c r="F33" s="1628"/>
      <c r="G33" s="1628"/>
      <c r="H33" s="1626"/>
      <c r="I33" s="1629"/>
      <c r="J33" s="1626"/>
      <c r="K33" s="1626"/>
      <c r="L33" s="1629"/>
      <c r="M33" s="1626"/>
      <c r="N33" s="1626"/>
      <c r="O33" s="1626"/>
      <c r="P33" s="1627"/>
    </row>
    <row r="36" spans="2:16" x14ac:dyDescent="0.25">
      <c r="B36" s="24" t="s">
        <v>195</v>
      </c>
      <c r="C36" s="24"/>
      <c r="M36" s="1625" t="s">
        <v>196</v>
      </c>
      <c r="N36" s="1625"/>
      <c r="O36" s="1625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625" t="s">
        <v>200</v>
      </c>
      <c r="N40" s="1625"/>
      <c r="O40" s="1625"/>
    </row>
    <row r="41" spans="2:16" x14ac:dyDescent="0.25">
      <c r="B41" s="25" t="s">
        <v>201</v>
      </c>
      <c r="C41" s="25"/>
      <c r="M41" s="1624" t="s">
        <v>202</v>
      </c>
      <c r="N41" s="1624"/>
      <c r="O41" s="1624"/>
    </row>
    <row r="44" spans="2:16" x14ac:dyDescent="0.25">
      <c r="B44" s="1625" t="s">
        <v>203</v>
      </c>
      <c r="C44" s="1625"/>
      <c r="D44" s="1625"/>
      <c r="E44" s="1625"/>
      <c r="F44" s="1625"/>
      <c r="G44" s="1625"/>
      <c r="H44" s="1625"/>
      <c r="I44" s="1625"/>
      <c r="J44" s="1625"/>
      <c r="K44" s="1625"/>
      <c r="L44" s="1625"/>
      <c r="M44" s="1625"/>
      <c r="N44" s="1625"/>
      <c r="O44" s="1625"/>
    </row>
    <row r="47" spans="2:16" x14ac:dyDescent="0.25">
      <c r="B47" s="1624" t="s">
        <v>204</v>
      </c>
      <c r="C47" s="1624"/>
      <c r="D47" s="1624"/>
      <c r="E47" s="1624"/>
      <c r="F47" s="1624"/>
      <c r="G47" s="1624"/>
      <c r="H47" s="1624"/>
      <c r="I47" s="1624"/>
      <c r="J47" s="1624"/>
      <c r="K47" s="1624"/>
      <c r="L47" s="1624"/>
      <c r="M47" s="1624"/>
      <c r="N47" s="1624"/>
      <c r="O47" s="1624"/>
    </row>
    <row r="48" spans="2:16" x14ac:dyDescent="0.25">
      <c r="B48" s="1625" t="s">
        <v>205</v>
      </c>
      <c r="C48" s="1625"/>
      <c r="D48" s="1625"/>
      <c r="E48" s="1625"/>
      <c r="F48" s="1625"/>
      <c r="G48" s="1625"/>
      <c r="H48" s="1625"/>
      <c r="I48" s="1625"/>
      <c r="J48" s="1625"/>
      <c r="K48" s="1625"/>
      <c r="L48" s="1625"/>
      <c r="M48" s="1625"/>
      <c r="N48" s="1625"/>
      <c r="O48" s="1625"/>
    </row>
    <row r="49" spans="2:15" x14ac:dyDescent="0.25">
      <c r="B49" s="1624" t="s">
        <v>206</v>
      </c>
      <c r="C49" s="1624"/>
      <c r="D49" s="1624"/>
      <c r="E49" s="1624"/>
      <c r="F49" s="1624"/>
      <c r="G49" s="1624"/>
      <c r="H49" s="1624"/>
      <c r="I49" s="1624"/>
      <c r="J49" s="1624"/>
      <c r="K49" s="1624"/>
      <c r="L49" s="1624"/>
      <c r="M49" s="1624"/>
      <c r="N49" s="1624"/>
      <c r="O49" s="162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246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28" t="s">
        <v>194</v>
      </c>
      <c r="C20" s="1628"/>
      <c r="D20" s="1628"/>
      <c r="E20" s="1628"/>
      <c r="F20" s="1626">
        <v>35000</v>
      </c>
      <c r="G20" s="1629">
        <v>0</v>
      </c>
      <c r="H20" s="1626">
        <v>35000</v>
      </c>
      <c r="I20" s="1629">
        <v>0</v>
      </c>
      <c r="J20" s="1629">
        <v>0</v>
      </c>
      <c r="K20" s="1629">
        <v>0</v>
      </c>
      <c r="L20" s="1629">
        <v>0</v>
      </c>
      <c r="M20" s="1629">
        <v>0</v>
      </c>
      <c r="N20" s="1627">
        <v>35000</v>
      </c>
    </row>
    <row r="21" spans="1:14" x14ac:dyDescent="0.25">
      <c r="B21" s="1628"/>
      <c r="C21" s="1628"/>
      <c r="D21" s="1628"/>
      <c r="E21" s="1628"/>
      <c r="F21" s="1626"/>
      <c r="G21" s="1629"/>
      <c r="H21" s="1626"/>
      <c r="I21" s="1629"/>
      <c r="J21" s="1629"/>
      <c r="K21" s="1629"/>
      <c r="L21" s="1629"/>
      <c r="M21" s="1629"/>
      <c r="N21" s="1627"/>
    </row>
    <row r="24" spans="1:14" x14ac:dyDescent="0.25">
      <c r="B24" s="1625" t="s">
        <v>195</v>
      </c>
      <c r="C24" s="1625"/>
      <c r="L24" s="1625" t="s">
        <v>196</v>
      </c>
      <c r="M24" s="1625"/>
      <c r="N24" s="162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25" t="s">
        <v>199</v>
      </c>
      <c r="C28" s="1625"/>
      <c r="L28" s="1625" t="s">
        <v>200</v>
      </c>
      <c r="M28" s="1625"/>
      <c r="N28" s="1625"/>
    </row>
    <row r="29" spans="1:14" x14ac:dyDescent="0.25">
      <c r="B29" s="1624" t="s">
        <v>201</v>
      </c>
      <c r="C29" s="1624"/>
      <c r="L29" s="1624" t="s">
        <v>202</v>
      </c>
      <c r="M29" s="1624"/>
      <c r="N29" s="1624"/>
    </row>
    <row r="31" spans="1:14" x14ac:dyDescent="0.25">
      <c r="A31" s="1625" t="s">
        <v>203</v>
      </c>
      <c r="B31" s="1625"/>
      <c r="C31" s="1625"/>
      <c r="D31" s="1625"/>
      <c r="E31" s="1625"/>
      <c r="F31" s="1625"/>
      <c r="G31" s="1625"/>
      <c r="H31" s="1625"/>
      <c r="I31" s="1625"/>
      <c r="J31" s="1625"/>
      <c r="K31" s="1625"/>
      <c r="L31" s="1625"/>
      <c r="M31" s="1625"/>
      <c r="N31" s="1625"/>
    </row>
    <row r="34" spans="1:14" x14ac:dyDescent="0.25">
      <c r="A34" s="1624" t="s">
        <v>204</v>
      </c>
      <c r="B34" s="1624"/>
      <c r="C34" s="1624"/>
      <c r="D34" s="1624"/>
      <c r="E34" s="1624"/>
      <c r="F34" s="1624"/>
      <c r="G34" s="1624"/>
      <c r="H34" s="1624"/>
      <c r="I34" s="1624"/>
      <c r="J34" s="1624"/>
      <c r="K34" s="1624"/>
      <c r="L34" s="1624"/>
      <c r="M34" s="1624"/>
      <c r="N34" s="1624"/>
    </row>
    <row r="35" spans="1:14" x14ac:dyDescent="0.25">
      <c r="A35" s="1625" t="s">
        <v>205</v>
      </c>
      <c r="B35" s="1625"/>
      <c r="C35" s="1625"/>
      <c r="D35" s="1625"/>
      <c r="E35" s="1625"/>
      <c r="F35" s="1625"/>
      <c r="G35" s="1625"/>
      <c r="H35" s="1625"/>
      <c r="I35" s="1625"/>
      <c r="J35" s="1625"/>
      <c r="K35" s="1625"/>
      <c r="L35" s="1625"/>
      <c r="M35" s="1625"/>
      <c r="N35" s="1625"/>
    </row>
    <row r="36" spans="1:14" x14ac:dyDescent="0.25">
      <c r="A36" s="1624" t="s">
        <v>206</v>
      </c>
      <c r="B36" s="1624"/>
      <c r="C36" s="1624"/>
      <c r="D36" s="1624"/>
      <c r="E36" s="1624"/>
      <c r="F36" s="1624"/>
      <c r="G36" s="1624"/>
      <c r="H36" s="1624"/>
      <c r="I36" s="1624"/>
      <c r="J36" s="1624"/>
      <c r="K36" s="1624"/>
      <c r="L36" s="1624"/>
      <c r="M36" s="1624"/>
      <c r="N36" s="162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</row>
    <row r="7" spans="1:16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39" t="s">
        <v>2</v>
      </c>
      <c r="C8" s="1639"/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5" t="s">
        <v>3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</row>
    <row r="11" spans="1:16" x14ac:dyDescent="0.25">
      <c r="B11" s="1625" t="s">
        <v>247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38" t="s">
        <v>5</v>
      </c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</row>
    <row r="14" spans="1:16" x14ac:dyDescent="0.25">
      <c r="A14" s="1637" t="s">
        <v>6</v>
      </c>
      <c r="B14" s="1632" t="s">
        <v>7</v>
      </c>
      <c r="C14" s="1632" t="s">
        <v>8</v>
      </c>
      <c r="D14" s="1632" t="s">
        <v>9</v>
      </c>
      <c r="E14" s="1632" t="s">
        <v>10</v>
      </c>
      <c r="F14" s="1636" t="s">
        <v>11</v>
      </c>
      <c r="G14" s="1632" t="s">
        <v>11</v>
      </c>
      <c r="H14" s="3" t="s">
        <v>12</v>
      </c>
      <c r="I14" s="1635" t="s">
        <v>13</v>
      </c>
      <c r="J14" s="1632" t="s">
        <v>14</v>
      </c>
      <c r="K14" s="1632" t="s">
        <v>15</v>
      </c>
      <c r="L14" s="1632" t="s">
        <v>16</v>
      </c>
      <c r="M14" s="1632" t="s">
        <v>17</v>
      </c>
      <c r="N14" s="1632" t="s">
        <v>18</v>
      </c>
      <c r="O14" s="1632" t="s">
        <v>19</v>
      </c>
      <c r="P14" s="1633" t="s">
        <v>20</v>
      </c>
    </row>
    <row r="15" spans="1:16" x14ac:dyDescent="0.25">
      <c r="A15" s="1637"/>
      <c r="B15" s="1632"/>
      <c r="C15" s="1632"/>
      <c r="D15" s="1632"/>
      <c r="E15" s="1632"/>
      <c r="F15" s="1636"/>
      <c r="G15" s="1632"/>
      <c r="H15" s="4" t="s">
        <v>21</v>
      </c>
      <c r="I15" s="1635"/>
      <c r="J15" s="1632"/>
      <c r="K15" s="1632"/>
      <c r="L15" s="1632"/>
      <c r="M15" s="1632"/>
      <c r="N15" s="1632"/>
      <c r="O15" s="1632"/>
      <c r="P15" s="1633"/>
    </row>
    <row r="17" spans="1:16" x14ac:dyDescent="0.25">
      <c r="A17" s="6">
        <v>1</v>
      </c>
      <c r="B17" s="7" t="s">
        <v>22</v>
      </c>
      <c r="C17" s="7" t="s">
        <v>23</v>
      </c>
      <c r="D17" s="1634" t="s">
        <v>24</v>
      </c>
      <c r="E17" s="1634"/>
      <c r="F17" s="163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1" t="s">
        <v>27</v>
      </c>
      <c r="E18" s="1631"/>
      <c r="F18" s="163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1" t="s">
        <v>30</v>
      </c>
      <c r="E19" s="1631" t="s">
        <v>31</v>
      </c>
      <c r="F19" s="163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1" t="s">
        <v>27</v>
      </c>
      <c r="E20" s="1631" t="s">
        <v>33</v>
      </c>
      <c r="F20" s="163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1" t="s">
        <v>36</v>
      </c>
      <c r="E21" s="1631" t="s">
        <v>37</v>
      </c>
      <c r="F21" s="163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1" t="s">
        <v>40</v>
      </c>
      <c r="E22" s="1631" t="s">
        <v>41</v>
      </c>
      <c r="F22" s="163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1" t="s">
        <v>44</v>
      </c>
      <c r="E23" s="1631" t="s">
        <v>45</v>
      </c>
      <c r="F23" s="163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1" t="s">
        <v>49</v>
      </c>
      <c r="E24" s="1631" t="s">
        <v>50</v>
      </c>
      <c r="F24" s="163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1" t="s">
        <v>53</v>
      </c>
      <c r="E25" s="1631" t="s">
        <v>54</v>
      </c>
      <c r="F25" s="163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1" t="s">
        <v>56</v>
      </c>
      <c r="E26" s="1631" t="s">
        <v>57</v>
      </c>
      <c r="F26" s="163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1" t="s">
        <v>53</v>
      </c>
      <c r="E27" s="1631" t="s">
        <v>60</v>
      </c>
      <c r="F27" s="163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1" t="s">
        <v>63</v>
      </c>
      <c r="E28" s="1631" t="s">
        <v>64</v>
      </c>
      <c r="F28" s="163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1" t="s">
        <v>67</v>
      </c>
      <c r="E29" s="1631" t="s">
        <v>68</v>
      </c>
      <c r="F29" s="163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1" t="s">
        <v>71</v>
      </c>
      <c r="E30" s="1631" t="s">
        <v>72</v>
      </c>
      <c r="F30" s="163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1" t="s">
        <v>75</v>
      </c>
      <c r="E31" s="1631" t="s">
        <v>76</v>
      </c>
      <c r="F31" s="163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1" t="s">
        <v>78</v>
      </c>
      <c r="E32" s="1631" t="s">
        <v>79</v>
      </c>
      <c r="F32" s="163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1" t="s">
        <v>82</v>
      </c>
      <c r="E33" s="1631" t="s">
        <v>83</v>
      </c>
      <c r="F33" s="163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1" t="s">
        <v>85</v>
      </c>
      <c r="E34" s="1631" t="s">
        <v>86</v>
      </c>
      <c r="F34" s="163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1" t="s">
        <v>89</v>
      </c>
      <c r="E35" s="1631" t="s">
        <v>90</v>
      </c>
      <c r="F35" s="163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1" t="s">
        <v>92</v>
      </c>
      <c r="E36" s="1631" t="s">
        <v>93</v>
      </c>
      <c r="F36" s="163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1" t="s">
        <v>71</v>
      </c>
      <c r="E37" s="1631" t="s">
        <v>95</v>
      </c>
      <c r="F37" s="163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1" t="s">
        <v>97</v>
      </c>
      <c r="E38" s="1631" t="s">
        <v>98</v>
      </c>
      <c r="F38" s="163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1" t="s">
        <v>92</v>
      </c>
      <c r="E39" s="1631" t="s">
        <v>100</v>
      </c>
      <c r="F39" s="163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1" t="s">
        <v>102</v>
      </c>
      <c r="E40" s="1631" t="s">
        <v>103</v>
      </c>
      <c r="F40" s="163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1" t="s">
        <v>105</v>
      </c>
      <c r="E41" s="1631" t="s">
        <v>106</v>
      </c>
      <c r="F41" s="163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1" t="s">
        <v>105</v>
      </c>
      <c r="E42" s="1631" t="s">
        <v>108</v>
      </c>
      <c r="F42" s="163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1" t="s">
        <v>105</v>
      </c>
      <c r="E43" s="1631" t="s">
        <v>110</v>
      </c>
      <c r="F43" s="163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1" t="s">
        <v>112</v>
      </c>
      <c r="E44" s="1631" t="s">
        <v>113</v>
      </c>
      <c r="F44" s="163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1" t="s">
        <v>78</v>
      </c>
      <c r="E45" s="1631" t="s">
        <v>115</v>
      </c>
      <c r="F45" s="163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1" t="s">
        <v>117</v>
      </c>
      <c r="E46" s="1631" t="s">
        <v>118</v>
      </c>
      <c r="F46" s="163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1" t="s">
        <v>120</v>
      </c>
      <c r="E47" s="1631" t="s">
        <v>121</v>
      </c>
      <c r="F47" s="163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1" t="s">
        <v>49</v>
      </c>
      <c r="E48" s="1631" t="s">
        <v>123</v>
      </c>
      <c r="F48" s="163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1" t="s">
        <v>125</v>
      </c>
      <c r="E49" s="1631" t="s">
        <v>126</v>
      </c>
      <c r="F49" s="163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1" t="s">
        <v>105</v>
      </c>
      <c r="E50" s="1631" t="s">
        <v>128</v>
      </c>
      <c r="F50" s="163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1" t="s">
        <v>102</v>
      </c>
      <c r="E51" s="1631" t="s">
        <v>130</v>
      </c>
      <c r="F51" s="163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1" t="s">
        <v>132</v>
      </c>
      <c r="E52" s="1631" t="s">
        <v>133</v>
      </c>
      <c r="F52" s="163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1" t="s">
        <v>117</v>
      </c>
      <c r="E53" s="1631" t="s">
        <v>135</v>
      </c>
      <c r="F53" s="163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1" t="s">
        <v>85</v>
      </c>
      <c r="E54" s="1631" t="s">
        <v>137</v>
      </c>
      <c r="F54" s="163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1" t="s">
        <v>139</v>
      </c>
      <c r="E55" s="1631" t="s">
        <v>140</v>
      </c>
      <c r="F55" s="163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1" t="s">
        <v>142</v>
      </c>
      <c r="E56" s="1631" t="s">
        <v>143</v>
      </c>
      <c r="F56" s="1631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631" t="s">
        <v>145</v>
      </c>
      <c r="E57" s="1631" t="s">
        <v>146</v>
      </c>
      <c r="F57" s="163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631" t="s">
        <v>148</v>
      </c>
      <c r="E58" s="1631" t="s">
        <v>149</v>
      </c>
      <c r="F58" s="163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1" t="s">
        <v>151</v>
      </c>
      <c r="E59" s="1631" t="s">
        <v>152</v>
      </c>
      <c r="F59" s="163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1" t="s">
        <v>154</v>
      </c>
      <c r="E60" s="1631" t="s">
        <v>155</v>
      </c>
      <c r="F60" s="1631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631" t="s">
        <v>157</v>
      </c>
      <c r="E61" s="1631" t="s">
        <v>158</v>
      </c>
      <c r="F61" s="163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1" t="s">
        <v>160</v>
      </c>
      <c r="E62" s="1631" t="s">
        <v>161</v>
      </c>
      <c r="F62" s="163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1" t="s">
        <v>163</v>
      </c>
      <c r="E63" s="1631" t="s">
        <v>164</v>
      </c>
      <c r="F63" s="163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1" t="s">
        <v>92</v>
      </c>
      <c r="E65" s="1631" t="s">
        <v>168</v>
      </c>
      <c r="F65" s="163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1" t="s">
        <v>105</v>
      </c>
      <c r="E66" s="1631" t="s">
        <v>170</v>
      </c>
      <c r="F66" s="163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1" t="s">
        <v>40</v>
      </c>
      <c r="E67" s="1631" t="s">
        <v>172</v>
      </c>
      <c r="F67" s="163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1" t="s">
        <v>92</v>
      </c>
      <c r="E70" s="1631" t="s">
        <v>176</v>
      </c>
      <c r="F70" s="163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1" t="s">
        <v>178</v>
      </c>
      <c r="E71" s="1631" t="s">
        <v>179</v>
      </c>
      <c r="F71" s="163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1" t="s">
        <v>181</v>
      </c>
      <c r="E72" s="1631" t="s">
        <v>182</v>
      </c>
      <c r="F72" s="163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1" t="s">
        <v>184</v>
      </c>
      <c r="E73" s="1631" t="s">
        <v>185</v>
      </c>
      <c r="F73" s="163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1" t="s">
        <v>187</v>
      </c>
      <c r="E74" s="1631" t="s">
        <v>188</v>
      </c>
      <c r="F74" s="163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631" t="s">
        <v>190</v>
      </c>
      <c r="E78" s="1631" t="s">
        <v>191</v>
      </c>
      <c r="F78" s="1631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630" t="s">
        <v>92</v>
      </c>
      <c r="E79" s="1630" t="s">
        <v>193</v>
      </c>
      <c r="F79" s="1630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628" t="s">
        <v>194</v>
      </c>
      <c r="C80" s="1628"/>
      <c r="D80" s="1628"/>
      <c r="E80" s="1628"/>
      <c r="F80" s="1628"/>
      <c r="G80" s="1628"/>
      <c r="H80" s="46"/>
      <c r="I80" s="1629">
        <v>0</v>
      </c>
      <c r="J80" s="1626">
        <v>2194967.5</v>
      </c>
      <c r="K80" s="1626">
        <v>62995.59</v>
      </c>
      <c r="L80" s="1626">
        <v>90857.31</v>
      </c>
      <c r="M80" s="1626">
        <v>66727.009999999995</v>
      </c>
      <c r="N80" s="1626">
        <v>44686.89</v>
      </c>
      <c r="O80" s="1626">
        <v>265266.8</v>
      </c>
      <c r="P80" s="1627">
        <v>1929700.7</v>
      </c>
    </row>
    <row r="81" spans="2:16" x14ac:dyDescent="0.25">
      <c r="B81" s="1628"/>
      <c r="C81" s="1628"/>
      <c r="D81" s="1628"/>
      <c r="E81" s="1628"/>
      <c r="F81" s="1628"/>
      <c r="G81" s="1628"/>
      <c r="H81" s="47">
        <f>SUM(H17:H80)</f>
        <v>2194967.5</v>
      </c>
      <c r="I81" s="1629"/>
      <c r="J81" s="1626"/>
      <c r="K81" s="1626"/>
      <c r="L81" s="1626"/>
      <c r="M81" s="1626"/>
      <c r="N81" s="1626"/>
      <c r="O81" s="1626"/>
      <c r="P81" s="1627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25" t="s">
        <v>196</v>
      </c>
      <c r="N84" s="1625"/>
      <c r="O84" s="162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24" t="s">
        <v>198</v>
      </c>
      <c r="N87" s="1624"/>
      <c r="O87" s="162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25" t="s">
        <v>253</v>
      </c>
      <c r="N88" s="1625"/>
      <c r="O88" s="1625"/>
    </row>
    <row r="89" spans="2:16" x14ac:dyDescent="0.25">
      <c r="B89" s="25" t="s">
        <v>201</v>
      </c>
      <c r="C89" s="25"/>
      <c r="D89" t="s">
        <v>254</v>
      </c>
      <c r="M89" s="1624" t="s">
        <v>202</v>
      </c>
      <c r="N89" s="1624"/>
      <c r="O89" s="1624"/>
    </row>
    <row r="92" spans="2:16" x14ac:dyDescent="0.25">
      <c r="B92" s="1625"/>
      <c r="C92" s="1625"/>
      <c r="D92" s="1625"/>
      <c r="E92" s="1625"/>
      <c r="F92" s="1625"/>
      <c r="G92" s="1625"/>
      <c r="H92" s="1625"/>
      <c r="I92" s="1625"/>
      <c r="J92" s="1625"/>
      <c r="K92" s="1625"/>
      <c r="L92" s="1625"/>
      <c r="M92" s="1625"/>
      <c r="N92" s="1625"/>
      <c r="O92" s="1625"/>
    </row>
    <row r="95" spans="2:16" x14ac:dyDescent="0.25">
      <c r="B95" s="1624"/>
      <c r="C95" s="1624"/>
      <c r="D95" s="1624"/>
      <c r="E95" s="1624"/>
      <c r="F95" s="1624"/>
      <c r="G95" s="1624"/>
      <c r="H95" s="1624"/>
      <c r="I95" s="1624"/>
      <c r="J95" s="1624"/>
      <c r="K95" s="1624"/>
      <c r="L95" s="1624"/>
      <c r="M95" s="1624"/>
      <c r="N95" s="1624"/>
      <c r="O95" s="1624"/>
    </row>
    <row r="96" spans="2:16" x14ac:dyDescent="0.25">
      <c r="B96" s="1625"/>
      <c r="C96" s="1625"/>
      <c r="D96" s="1625"/>
      <c r="E96" s="1625"/>
      <c r="F96" s="1625"/>
      <c r="G96" s="1625"/>
      <c r="H96" s="1625"/>
      <c r="I96" s="1625"/>
      <c r="J96" s="1625"/>
      <c r="K96" s="1625"/>
      <c r="L96" s="1625"/>
      <c r="M96" s="1625"/>
      <c r="N96" s="1625"/>
      <c r="O96" s="1625"/>
    </row>
    <row r="97" spans="2:15" x14ac:dyDescent="0.25">
      <c r="B97" s="1624"/>
      <c r="C97" s="1624"/>
      <c r="D97" s="1624"/>
      <c r="E97" s="1624"/>
      <c r="F97" s="1624"/>
      <c r="G97" s="1624"/>
      <c r="H97" s="1624"/>
      <c r="I97" s="1624"/>
      <c r="J97" s="1624"/>
      <c r="K97" s="1624"/>
      <c r="L97" s="1624"/>
      <c r="M97" s="1624"/>
      <c r="N97" s="1624"/>
      <c r="O97" s="1624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</row>
    <row r="9" spans="1:16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25" t="s">
        <v>255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</row>
    <row r="13" spans="1:16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1632" t="s">
        <v>208</v>
      </c>
      <c r="G15" s="1632" t="s">
        <v>209</v>
      </c>
      <c r="H15" s="3" t="s">
        <v>12</v>
      </c>
      <c r="I15" s="1635" t="s">
        <v>13</v>
      </c>
      <c r="J15" s="1632" t="s">
        <v>14</v>
      </c>
      <c r="K15" s="1632" t="s">
        <v>15</v>
      </c>
      <c r="L15" s="1632" t="s">
        <v>16</v>
      </c>
      <c r="M15" s="1632" t="s">
        <v>17</v>
      </c>
      <c r="N15" s="1632" t="s">
        <v>18</v>
      </c>
      <c r="O15" s="1632" t="s">
        <v>19</v>
      </c>
      <c r="P15" s="1633" t="s">
        <v>20</v>
      </c>
    </row>
    <row r="16" spans="1:16" x14ac:dyDescent="0.25">
      <c r="A16" s="1637"/>
      <c r="B16" s="1632"/>
      <c r="C16" s="1632"/>
      <c r="D16" s="1632"/>
      <c r="E16" s="1636"/>
      <c r="F16" s="1632"/>
      <c r="G16" s="1632"/>
      <c r="H16" s="4" t="s">
        <v>21</v>
      </c>
      <c r="I16" s="1635"/>
      <c r="J16" s="1632"/>
      <c r="K16" s="1632"/>
      <c r="L16" s="1632"/>
      <c r="M16" s="1632"/>
      <c r="N16" s="1632"/>
      <c r="O16" s="1632"/>
      <c r="P16" s="163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28" t="s">
        <v>194</v>
      </c>
      <c r="C29" s="1628"/>
      <c r="D29" s="1628"/>
      <c r="E29" s="1628"/>
      <c r="F29" s="1628"/>
      <c r="G29" s="1628"/>
      <c r="H29" s="1626">
        <f t="shared" ref="H29:P29" si="0">SUM(H18:H28)</f>
        <v>332000</v>
      </c>
      <c r="I29" s="1629">
        <f t="shared" si="0"/>
        <v>0</v>
      </c>
      <c r="J29" s="1626">
        <f t="shared" si="0"/>
        <v>332000</v>
      </c>
      <c r="K29" s="1626">
        <f t="shared" si="0"/>
        <v>9528.41</v>
      </c>
      <c r="L29" s="1626">
        <f t="shared" si="0"/>
        <v>7416.01</v>
      </c>
      <c r="M29" s="1626">
        <f t="shared" si="0"/>
        <v>10092.799999999999</v>
      </c>
      <c r="N29" s="1626">
        <f t="shared" si="0"/>
        <v>1495</v>
      </c>
      <c r="O29" s="1626">
        <f t="shared" si="0"/>
        <v>28532.22</v>
      </c>
      <c r="P29" s="1627">
        <f t="shared" si="0"/>
        <v>303467.78000000003</v>
      </c>
    </row>
    <row r="30" spans="1:16" x14ac:dyDescent="0.25">
      <c r="B30" s="1628"/>
      <c r="C30" s="1628"/>
      <c r="D30" s="1628"/>
      <c r="E30" s="1628"/>
      <c r="F30" s="1628"/>
      <c r="G30" s="1628"/>
      <c r="H30" s="1626"/>
      <c r="I30" s="1629"/>
      <c r="J30" s="1626"/>
      <c r="K30" s="1626"/>
      <c r="L30" s="1626"/>
      <c r="M30" s="1626"/>
      <c r="N30" s="1626"/>
      <c r="O30" s="1626"/>
      <c r="P30" s="1627"/>
    </row>
    <row r="33" spans="2:15" x14ac:dyDescent="0.25">
      <c r="B33" s="24" t="s">
        <v>195</v>
      </c>
      <c r="C33" s="24"/>
      <c r="D33" s="5" t="s">
        <v>250</v>
      </c>
      <c r="M33" s="1625" t="s">
        <v>196</v>
      </c>
      <c r="N33" s="1625"/>
      <c r="O33" s="162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24" t="s">
        <v>198</v>
      </c>
      <c r="N36" s="1624"/>
      <c r="O36" s="162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25" t="s">
        <v>253</v>
      </c>
      <c r="N37" s="1625"/>
      <c r="O37" s="1625"/>
    </row>
    <row r="38" spans="2:15" x14ac:dyDescent="0.25">
      <c r="B38" s="25" t="s">
        <v>201</v>
      </c>
      <c r="C38" s="25"/>
      <c r="D38" t="s">
        <v>254</v>
      </c>
      <c r="M38" s="1624" t="s">
        <v>202</v>
      </c>
      <c r="N38" s="1624"/>
      <c r="O38" s="1624"/>
    </row>
    <row r="41" spans="2:15" x14ac:dyDescent="0.25">
      <c r="B41" s="1625"/>
      <c r="C41" s="1625"/>
      <c r="D41" s="1625"/>
      <c r="E41" s="1625"/>
      <c r="F41" s="1625"/>
      <c r="G41" s="1625"/>
      <c r="H41" s="1625"/>
      <c r="I41" s="1625"/>
      <c r="J41" s="1625"/>
      <c r="K41" s="1625"/>
      <c r="L41" s="1625"/>
      <c r="M41" s="1625"/>
      <c r="N41" s="1625"/>
      <c r="O41" s="1625"/>
    </row>
    <row r="44" spans="2:15" x14ac:dyDescent="0.25">
      <c r="B44" s="1624"/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</row>
    <row r="45" spans="2:15" x14ac:dyDescent="0.25">
      <c r="B45" s="1625"/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</row>
    <row r="46" spans="2:15" x14ac:dyDescent="0.25">
      <c r="B46" s="1624"/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  <c r="O46" s="162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256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28" t="s">
        <v>194</v>
      </c>
      <c r="C20" s="1628"/>
      <c r="D20" s="1628"/>
      <c r="E20" s="1628"/>
      <c r="F20" s="1626">
        <v>35000</v>
      </c>
      <c r="G20" s="1629">
        <v>0</v>
      </c>
      <c r="H20" s="1626">
        <v>35000</v>
      </c>
      <c r="I20" s="1629">
        <v>0</v>
      </c>
      <c r="J20" s="1629">
        <v>0</v>
      </c>
      <c r="K20" s="1629">
        <v>0</v>
      </c>
      <c r="L20" s="1629">
        <v>0</v>
      </c>
      <c r="M20" s="1629">
        <v>0</v>
      </c>
      <c r="N20" s="1627">
        <v>35000</v>
      </c>
    </row>
    <row r="21" spans="1:14" x14ac:dyDescent="0.25">
      <c r="B21" s="1628"/>
      <c r="C21" s="1628"/>
      <c r="D21" s="1628"/>
      <c r="E21" s="1628"/>
      <c r="F21" s="1626"/>
      <c r="G21" s="1629"/>
      <c r="H21" s="1626"/>
      <c r="I21" s="1629"/>
      <c r="J21" s="1629"/>
      <c r="K21" s="1629"/>
      <c r="L21" s="1629"/>
      <c r="M21" s="1629"/>
      <c r="N21" s="1627"/>
    </row>
    <row r="24" spans="1:14" x14ac:dyDescent="0.25">
      <c r="A24" s="24" t="s">
        <v>257</v>
      </c>
      <c r="B24" s="24"/>
      <c r="C24" s="5" t="s">
        <v>258</v>
      </c>
      <c r="L24" s="1625" t="s">
        <v>196</v>
      </c>
      <c r="M24" s="1625"/>
      <c r="N24" s="1625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624" t="s">
        <v>198</v>
      </c>
      <c r="M27" s="1624"/>
      <c r="N27" s="1624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625" t="s">
        <v>253</v>
      </c>
      <c r="M28" s="1625"/>
      <c r="N28" s="1625"/>
    </row>
    <row r="29" spans="1:14" x14ac:dyDescent="0.25">
      <c r="A29" s="25" t="s">
        <v>263</v>
      </c>
      <c r="B29" s="25"/>
      <c r="C29" t="s">
        <v>264</v>
      </c>
      <c r="L29" s="1624" t="s">
        <v>202</v>
      </c>
      <c r="M29" s="1624"/>
      <c r="N29" s="1624"/>
    </row>
    <row r="34" spans="1:14" x14ac:dyDescent="0.25">
      <c r="A34" s="1624"/>
      <c r="B34" s="1624"/>
      <c r="C34" s="1624"/>
      <c r="D34" s="1624"/>
      <c r="E34" s="1624"/>
      <c r="F34" s="1624"/>
      <c r="G34" s="1624"/>
      <c r="H34" s="1624"/>
      <c r="I34" s="1624"/>
      <c r="J34" s="1624"/>
      <c r="K34" s="1624"/>
      <c r="L34" s="1624"/>
      <c r="M34" s="1624"/>
      <c r="N34" s="1624"/>
    </row>
    <row r="35" spans="1:14" x14ac:dyDescent="0.25">
      <c r="A35" s="1625"/>
      <c r="B35" s="1625"/>
      <c r="C35" s="1625"/>
      <c r="D35" s="1625"/>
      <c r="E35" s="1625"/>
      <c r="F35" s="1625"/>
      <c r="G35" s="1625"/>
      <c r="H35" s="1625"/>
      <c r="I35" s="1625"/>
      <c r="J35" s="1625"/>
      <c r="K35" s="1625"/>
      <c r="L35" s="1625"/>
      <c r="M35" s="1625"/>
      <c r="N35" s="1625"/>
    </row>
    <row r="36" spans="1:14" x14ac:dyDescent="0.25">
      <c r="A36" s="1624"/>
      <c r="B36" s="1624"/>
      <c r="C36" s="1624"/>
      <c r="D36" s="1624"/>
      <c r="E36" s="1624"/>
      <c r="F36" s="1624"/>
      <c r="G36" s="1624"/>
      <c r="H36" s="1624"/>
      <c r="I36" s="1624"/>
      <c r="J36" s="1624"/>
      <c r="K36" s="1624"/>
      <c r="L36" s="1624"/>
      <c r="M36" s="1624"/>
      <c r="N36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5" t="s">
        <v>0</v>
      </c>
      <c r="C6" s="1625"/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</row>
    <row r="7" spans="1:16" x14ac:dyDescent="0.25">
      <c r="B7" s="1625" t="s">
        <v>1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39" t="s">
        <v>2</v>
      </c>
      <c r="C8" s="1639"/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5" t="s">
        <v>3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</row>
    <row r="11" spans="1:16" x14ac:dyDescent="0.25">
      <c r="B11" s="1625" t="s">
        <v>265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38" t="s">
        <v>5</v>
      </c>
      <c r="C12" s="1638"/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</row>
    <row r="14" spans="1:16" x14ac:dyDescent="0.25">
      <c r="A14" s="1637" t="s">
        <v>6</v>
      </c>
      <c r="B14" s="1632" t="s">
        <v>7</v>
      </c>
      <c r="C14" s="1632" t="s">
        <v>8</v>
      </c>
      <c r="D14" s="1632" t="s">
        <v>9</v>
      </c>
      <c r="E14" s="1632" t="s">
        <v>10</v>
      </c>
      <c r="F14" s="1636" t="s">
        <v>11</v>
      </c>
      <c r="G14" s="1632" t="s">
        <v>11</v>
      </c>
      <c r="H14" s="3" t="s">
        <v>12</v>
      </c>
      <c r="I14" s="1635" t="s">
        <v>13</v>
      </c>
      <c r="J14" s="1632" t="s">
        <v>14</v>
      </c>
      <c r="K14" s="1632" t="s">
        <v>15</v>
      </c>
      <c r="L14" s="1632" t="s">
        <v>16</v>
      </c>
      <c r="M14" s="1632" t="s">
        <v>17</v>
      </c>
      <c r="N14" s="1632" t="s">
        <v>18</v>
      </c>
      <c r="O14" s="1632" t="s">
        <v>19</v>
      </c>
      <c r="P14" s="1633" t="s">
        <v>20</v>
      </c>
    </row>
    <row r="15" spans="1:16" x14ac:dyDescent="0.25">
      <c r="A15" s="1637"/>
      <c r="B15" s="1632"/>
      <c r="C15" s="1632"/>
      <c r="D15" s="1632"/>
      <c r="E15" s="1632"/>
      <c r="F15" s="1636"/>
      <c r="G15" s="1632"/>
      <c r="H15" s="4" t="s">
        <v>21</v>
      </c>
      <c r="I15" s="1635"/>
      <c r="J15" s="1632"/>
      <c r="K15" s="1632"/>
      <c r="L15" s="1632"/>
      <c r="M15" s="1632"/>
      <c r="N15" s="1632"/>
      <c r="O15" s="1632"/>
      <c r="P15" s="1633"/>
    </row>
    <row r="17" spans="1:16" x14ac:dyDescent="0.25">
      <c r="A17" s="6">
        <v>1</v>
      </c>
      <c r="B17" s="7" t="s">
        <v>22</v>
      </c>
      <c r="C17" s="7" t="s">
        <v>23</v>
      </c>
      <c r="D17" s="1634" t="s">
        <v>24</v>
      </c>
      <c r="E17" s="1634"/>
      <c r="F17" s="163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1" t="s">
        <v>27</v>
      </c>
      <c r="E18" s="1631"/>
      <c r="F18" s="163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1" t="s">
        <v>30</v>
      </c>
      <c r="E19" s="1631" t="s">
        <v>31</v>
      </c>
      <c r="F19" s="163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1" t="s">
        <v>27</v>
      </c>
      <c r="E20" s="1631" t="s">
        <v>33</v>
      </c>
      <c r="F20" s="163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1" t="s">
        <v>36</v>
      </c>
      <c r="E21" s="1631" t="s">
        <v>37</v>
      </c>
      <c r="F21" s="163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1" t="s">
        <v>40</v>
      </c>
      <c r="E22" s="1631" t="s">
        <v>41</v>
      </c>
      <c r="F22" s="163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1" t="s">
        <v>44</v>
      </c>
      <c r="E23" s="1631" t="s">
        <v>45</v>
      </c>
      <c r="F23" s="163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1" t="s">
        <v>49</v>
      </c>
      <c r="E24" s="1631" t="s">
        <v>50</v>
      </c>
      <c r="F24" s="163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1" t="s">
        <v>53</v>
      </c>
      <c r="E25" s="1631" t="s">
        <v>54</v>
      </c>
      <c r="F25" s="163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1" t="s">
        <v>56</v>
      </c>
      <c r="E26" s="1631" t="s">
        <v>57</v>
      </c>
      <c r="F26" s="163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1" t="s">
        <v>53</v>
      </c>
      <c r="E27" s="1631" t="s">
        <v>60</v>
      </c>
      <c r="F27" s="163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1" t="s">
        <v>63</v>
      </c>
      <c r="E28" s="1631" t="s">
        <v>64</v>
      </c>
      <c r="F28" s="163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1" t="s">
        <v>67</v>
      </c>
      <c r="E29" s="1631" t="s">
        <v>68</v>
      </c>
      <c r="F29" s="163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1" t="s">
        <v>71</v>
      </c>
      <c r="E30" s="1631" t="s">
        <v>72</v>
      </c>
      <c r="F30" s="163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1" t="s">
        <v>75</v>
      </c>
      <c r="E31" s="1631" t="s">
        <v>76</v>
      </c>
      <c r="F31" s="163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1" t="s">
        <v>78</v>
      </c>
      <c r="E32" s="1631" t="s">
        <v>79</v>
      </c>
      <c r="F32" s="163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1" t="s">
        <v>82</v>
      </c>
      <c r="E33" s="1631" t="s">
        <v>83</v>
      </c>
      <c r="F33" s="163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1" t="s">
        <v>85</v>
      </c>
      <c r="E34" s="1631" t="s">
        <v>86</v>
      </c>
      <c r="F34" s="163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1" t="s">
        <v>89</v>
      </c>
      <c r="E35" s="1631" t="s">
        <v>90</v>
      </c>
      <c r="F35" s="163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1" t="s">
        <v>92</v>
      </c>
      <c r="E36" s="1631" t="s">
        <v>93</v>
      </c>
      <c r="F36" s="163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1" t="s">
        <v>71</v>
      </c>
      <c r="E37" s="1631" t="s">
        <v>95</v>
      </c>
      <c r="F37" s="163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1" t="s">
        <v>97</v>
      </c>
      <c r="E38" s="1631" t="s">
        <v>98</v>
      </c>
      <c r="F38" s="163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1" t="s">
        <v>92</v>
      </c>
      <c r="E39" s="1631" t="s">
        <v>100</v>
      </c>
      <c r="F39" s="163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1" t="s">
        <v>102</v>
      </c>
      <c r="E40" s="1631" t="s">
        <v>103</v>
      </c>
      <c r="F40" s="163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1" t="s">
        <v>105</v>
      </c>
      <c r="E41" s="1631" t="s">
        <v>106</v>
      </c>
      <c r="F41" s="163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1" t="s">
        <v>105</v>
      </c>
      <c r="E42" s="1631" t="s">
        <v>108</v>
      </c>
      <c r="F42" s="163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1" t="s">
        <v>105</v>
      </c>
      <c r="E43" s="1631" t="s">
        <v>110</v>
      </c>
      <c r="F43" s="163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631" t="s">
        <v>78</v>
      </c>
      <c r="E44" s="1631" t="s">
        <v>115</v>
      </c>
      <c r="F44" s="1631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631" t="s">
        <v>117</v>
      </c>
      <c r="E45" s="1631" t="s">
        <v>118</v>
      </c>
      <c r="F45" s="1631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631" t="s">
        <v>120</v>
      </c>
      <c r="E46" s="1631" t="s">
        <v>121</v>
      </c>
      <c r="F46" s="1631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631" t="s">
        <v>49</v>
      </c>
      <c r="E47" s="1631" t="s">
        <v>123</v>
      </c>
      <c r="F47" s="1631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631" t="s">
        <v>125</v>
      </c>
      <c r="E48" s="1631" t="s">
        <v>126</v>
      </c>
      <c r="F48" s="1631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631" t="s">
        <v>105</v>
      </c>
      <c r="E49" s="1631" t="s">
        <v>128</v>
      </c>
      <c r="F49" s="1631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631" t="s">
        <v>102</v>
      </c>
      <c r="E50" s="1631" t="s">
        <v>130</v>
      </c>
      <c r="F50" s="1631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631" t="s">
        <v>132</v>
      </c>
      <c r="E51" s="1631" t="s">
        <v>133</v>
      </c>
      <c r="F51" s="1631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631" t="s">
        <v>117</v>
      </c>
      <c r="E52" s="1631" t="s">
        <v>135</v>
      </c>
      <c r="F52" s="1631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631" t="s">
        <v>85</v>
      </c>
      <c r="E53" s="1631" t="s">
        <v>137</v>
      </c>
      <c r="F53" s="1631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631" t="s">
        <v>139</v>
      </c>
      <c r="E54" s="1631" t="s">
        <v>140</v>
      </c>
      <c r="F54" s="1631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631" t="s">
        <v>148</v>
      </c>
      <c r="E55" s="1631" t="s">
        <v>149</v>
      </c>
      <c r="F55" s="1631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631" t="s">
        <v>151</v>
      </c>
      <c r="E56" s="1631" t="s">
        <v>152</v>
      </c>
      <c r="F56" s="1631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631" t="s">
        <v>157</v>
      </c>
      <c r="E57" s="1631" t="s">
        <v>158</v>
      </c>
      <c r="F57" s="1631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631" t="s">
        <v>160</v>
      </c>
      <c r="E58" s="1631" t="s">
        <v>161</v>
      </c>
      <c r="F58" s="1631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631" t="s">
        <v>163</v>
      </c>
      <c r="E59" s="1631" t="s">
        <v>164</v>
      </c>
      <c r="F59" s="1631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631" t="s">
        <v>92</v>
      </c>
      <c r="E61" s="1631" t="s">
        <v>168</v>
      </c>
      <c r="F61" s="1631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631" t="s">
        <v>105</v>
      </c>
      <c r="E62" s="1631" t="s">
        <v>170</v>
      </c>
      <c r="F62" s="1631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631" t="s">
        <v>40</v>
      </c>
      <c r="E63" s="1631" t="s">
        <v>172</v>
      </c>
      <c r="F63" s="1631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631" t="s">
        <v>92</v>
      </c>
      <c r="E66" s="1631" t="s">
        <v>176</v>
      </c>
      <c r="F66" s="1631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631" t="s">
        <v>178</v>
      </c>
      <c r="E67" s="1631" t="s">
        <v>179</v>
      </c>
      <c r="F67" s="1631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631" t="s">
        <v>181</v>
      </c>
      <c r="E68" s="1631" t="s">
        <v>182</v>
      </c>
      <c r="F68" s="1631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630" t="s">
        <v>92</v>
      </c>
      <c r="E72" s="1630" t="s">
        <v>193</v>
      </c>
      <c r="F72" s="1630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630" t="s">
        <v>276</v>
      </c>
      <c r="E79" s="1630"/>
      <c r="F79" s="1630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628" t="s">
        <v>194</v>
      </c>
      <c r="C80" s="1628"/>
      <c r="D80" s="1628"/>
      <c r="E80" s="1628"/>
      <c r="F80" s="1628"/>
      <c r="G80" s="1628"/>
      <c r="H80" s="46"/>
      <c r="I80" s="1629">
        <v>0</v>
      </c>
      <c r="J80" s="1626">
        <v>2156717.5</v>
      </c>
      <c r="K80" s="1626">
        <v>61897.81</v>
      </c>
      <c r="L80" s="1626">
        <v>82205.539999999994</v>
      </c>
      <c r="M80" s="1626">
        <v>65564.210000000006</v>
      </c>
      <c r="N80" s="1626">
        <v>43904.03</v>
      </c>
      <c r="O80" s="1626">
        <v>253571.59</v>
      </c>
      <c r="P80" s="1627">
        <v>1903145.91</v>
      </c>
    </row>
    <row r="81" spans="2:16" x14ac:dyDescent="0.25">
      <c r="B81" s="1628"/>
      <c r="C81" s="1628"/>
      <c r="D81" s="1628"/>
      <c r="E81" s="1628"/>
      <c r="F81" s="1628"/>
      <c r="G81" s="1628"/>
      <c r="H81" s="47">
        <f>SUM(H17:H80)</f>
        <v>2156717.5</v>
      </c>
      <c r="I81" s="1629"/>
      <c r="J81" s="1626"/>
      <c r="K81" s="1626"/>
      <c r="L81" s="1626"/>
      <c r="M81" s="1626"/>
      <c r="N81" s="1626"/>
      <c r="O81" s="1626"/>
      <c r="P81" s="1627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25" t="s">
        <v>196</v>
      </c>
      <c r="N84" s="1625"/>
      <c r="O84" s="162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24" t="s">
        <v>198</v>
      </c>
      <c r="N87" s="1624"/>
      <c r="O87" s="162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25" t="s">
        <v>253</v>
      </c>
      <c r="N88" s="1625"/>
      <c r="O88" s="1625"/>
    </row>
    <row r="89" spans="2:16" x14ac:dyDescent="0.25">
      <c r="B89" s="25" t="s">
        <v>201</v>
      </c>
      <c r="C89" s="25"/>
      <c r="D89" t="s">
        <v>254</v>
      </c>
      <c r="M89" s="1624" t="s">
        <v>202</v>
      </c>
      <c r="N89" s="1624"/>
      <c r="O89" s="1624"/>
    </row>
    <row r="92" spans="2:16" x14ac:dyDescent="0.25">
      <c r="B92" s="1625"/>
      <c r="C92" s="1625"/>
      <c r="D92" s="1625"/>
      <c r="E92" s="1625"/>
      <c r="F92" s="1625"/>
      <c r="G92" s="1625"/>
      <c r="H92" s="1625"/>
      <c r="I92" s="1625"/>
      <c r="J92" s="1625"/>
      <c r="K92" s="1625"/>
      <c r="L92" s="1625"/>
      <c r="M92" s="1625"/>
      <c r="N92" s="1625"/>
      <c r="O92" s="1625"/>
    </row>
    <row r="95" spans="2:16" x14ac:dyDescent="0.25">
      <c r="B95" s="1624"/>
      <c r="C95" s="1624"/>
      <c r="D95" s="1624"/>
      <c r="E95" s="1624"/>
      <c r="F95" s="1624"/>
      <c r="G95" s="1624"/>
      <c r="H95" s="1624"/>
      <c r="I95" s="1624"/>
      <c r="J95" s="1624"/>
      <c r="K95" s="1624"/>
      <c r="L95" s="1624"/>
      <c r="M95" s="1624"/>
      <c r="N95" s="1624"/>
      <c r="O95" s="1624"/>
    </row>
    <row r="96" spans="2:16" x14ac:dyDescent="0.25">
      <c r="B96" s="1625"/>
      <c r="C96" s="1625"/>
      <c r="D96" s="1625"/>
      <c r="E96" s="1625"/>
      <c r="F96" s="1625"/>
      <c r="G96" s="1625"/>
      <c r="H96" s="1625"/>
      <c r="I96" s="1625"/>
      <c r="J96" s="1625"/>
      <c r="K96" s="1625"/>
      <c r="L96" s="1625"/>
      <c r="M96" s="1625"/>
      <c r="N96" s="1625"/>
      <c r="O96" s="1625"/>
    </row>
    <row r="97" spans="2:15" x14ac:dyDescent="0.25">
      <c r="B97" s="1624"/>
      <c r="C97" s="1624"/>
      <c r="D97" s="1624"/>
      <c r="E97" s="1624"/>
      <c r="F97" s="1624"/>
      <c r="G97" s="1624"/>
      <c r="H97" s="1624"/>
      <c r="I97" s="1624"/>
      <c r="J97" s="1624"/>
      <c r="K97" s="1624"/>
      <c r="L97" s="1624"/>
      <c r="M97" s="1624"/>
      <c r="N97" s="1624"/>
      <c r="O97" s="1624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277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28" t="s">
        <v>194</v>
      </c>
      <c r="C22" s="1628"/>
      <c r="D22" s="1628"/>
      <c r="E22" s="1628"/>
      <c r="F22" s="1626">
        <v>55000</v>
      </c>
      <c r="G22" s="1629">
        <v>0</v>
      </c>
      <c r="H22" s="1626">
        <v>55000</v>
      </c>
      <c r="I22" s="1629">
        <v>0</v>
      </c>
      <c r="J22" s="1629">
        <v>0</v>
      </c>
      <c r="K22" s="1629">
        <v>0</v>
      </c>
      <c r="L22" s="1629">
        <v>0</v>
      </c>
      <c r="M22" s="1629">
        <v>0</v>
      </c>
      <c r="N22" s="1627">
        <v>55000</v>
      </c>
    </row>
    <row r="23" spans="1:14" x14ac:dyDescent="0.25">
      <c r="B23" s="1628"/>
      <c r="C23" s="1628"/>
      <c r="D23" s="1628"/>
      <c r="E23" s="1628"/>
      <c r="F23" s="1626"/>
      <c r="G23" s="1629"/>
      <c r="H23" s="1626"/>
      <c r="I23" s="1629"/>
      <c r="J23" s="1629"/>
      <c r="K23" s="1629"/>
      <c r="L23" s="1629"/>
      <c r="M23" s="1629"/>
      <c r="N23" s="1627"/>
    </row>
    <row r="26" spans="1:14" x14ac:dyDescent="0.25">
      <c r="A26" s="24" t="s">
        <v>257</v>
      </c>
      <c r="B26" s="24"/>
      <c r="C26" s="5" t="s">
        <v>258</v>
      </c>
      <c r="L26" s="1625" t="s">
        <v>196</v>
      </c>
      <c r="M26" s="1625"/>
      <c r="N26" s="162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24" t="s">
        <v>198</v>
      </c>
      <c r="M29" s="1624"/>
      <c r="N29" s="162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25" t="s">
        <v>253</v>
      </c>
      <c r="M30" s="1625"/>
      <c r="N30" s="1625"/>
    </row>
    <row r="31" spans="1:14" x14ac:dyDescent="0.25">
      <c r="A31" s="25" t="s">
        <v>263</v>
      </c>
      <c r="B31" s="25"/>
      <c r="C31" t="s">
        <v>264</v>
      </c>
      <c r="L31" s="1624" t="s">
        <v>202</v>
      </c>
      <c r="M31" s="1624"/>
      <c r="N31" s="1624"/>
    </row>
    <row r="36" spans="1:14" x14ac:dyDescent="0.25">
      <c r="A36" s="1624"/>
      <c r="B36" s="1624"/>
      <c r="C36" s="1624"/>
      <c r="D36" s="1624"/>
      <c r="E36" s="1624"/>
      <c r="F36" s="1624"/>
      <c r="G36" s="1624"/>
      <c r="H36" s="1624"/>
      <c r="I36" s="1624"/>
      <c r="J36" s="1624"/>
      <c r="K36" s="1624"/>
      <c r="L36" s="1624"/>
      <c r="M36" s="1624"/>
      <c r="N36" s="1624"/>
    </row>
    <row r="37" spans="1:14" x14ac:dyDescent="0.25">
      <c r="A37" s="1625"/>
      <c r="B37" s="1625"/>
      <c r="C37" s="1625"/>
      <c r="D37" s="1625"/>
      <c r="E37" s="1625"/>
      <c r="F37" s="1625"/>
      <c r="G37" s="1625"/>
      <c r="H37" s="1625"/>
      <c r="I37" s="1625"/>
      <c r="J37" s="1625"/>
      <c r="K37" s="1625"/>
      <c r="L37" s="1625"/>
      <c r="M37" s="1625"/>
      <c r="N37" s="1625"/>
    </row>
    <row r="38" spans="1:14" x14ac:dyDescent="0.25">
      <c r="A38" s="1624"/>
      <c r="B38" s="1624"/>
      <c r="C38" s="1624"/>
      <c r="D38" s="1624"/>
      <c r="E38" s="1624"/>
      <c r="F38" s="1624"/>
      <c r="G38" s="1624"/>
      <c r="H38" s="1624"/>
      <c r="I38" s="1624"/>
      <c r="J38" s="1624"/>
      <c r="K38" s="1624"/>
      <c r="L38" s="1624"/>
      <c r="M38" s="1624"/>
      <c r="N38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</row>
    <row r="8" spans="1:16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</row>
    <row r="9" spans="1:16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</row>
    <row r="12" spans="1:16" x14ac:dyDescent="0.25">
      <c r="B12" s="1625" t="s">
        <v>280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</row>
    <row r="13" spans="1:16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1632" t="s">
        <v>208</v>
      </c>
      <c r="G15" s="1632" t="s">
        <v>209</v>
      </c>
      <c r="H15" s="3" t="s">
        <v>12</v>
      </c>
      <c r="I15" s="1635" t="s">
        <v>13</v>
      </c>
      <c r="J15" s="1632" t="s">
        <v>14</v>
      </c>
      <c r="K15" s="1632" t="s">
        <v>15</v>
      </c>
      <c r="L15" s="1632" t="s">
        <v>16</v>
      </c>
      <c r="M15" s="1632" t="s">
        <v>17</v>
      </c>
      <c r="N15" s="1632" t="s">
        <v>18</v>
      </c>
      <c r="O15" s="1632" t="s">
        <v>19</v>
      </c>
      <c r="P15" s="1633" t="s">
        <v>20</v>
      </c>
    </row>
    <row r="16" spans="1:16" x14ac:dyDescent="0.25">
      <c r="A16" s="1637"/>
      <c r="B16" s="1632"/>
      <c r="C16" s="1632"/>
      <c r="D16" s="1632"/>
      <c r="E16" s="1636"/>
      <c r="F16" s="1632"/>
      <c r="G16" s="1632"/>
      <c r="H16" s="4" t="s">
        <v>21</v>
      </c>
      <c r="I16" s="1635"/>
      <c r="J16" s="1632"/>
      <c r="K16" s="1632"/>
      <c r="L16" s="1632"/>
      <c r="M16" s="1632"/>
      <c r="N16" s="1632"/>
      <c r="O16" s="1632"/>
      <c r="P16" s="163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28" t="s">
        <v>194</v>
      </c>
      <c r="C29" s="1628"/>
      <c r="D29" s="1628"/>
      <c r="E29" s="1628"/>
      <c r="F29" s="1628"/>
      <c r="G29" s="1628"/>
      <c r="H29" s="1626">
        <f t="shared" ref="H29:P29" si="0">SUM(H18:H28)</f>
        <v>355500</v>
      </c>
      <c r="I29" s="1629">
        <f t="shared" si="0"/>
        <v>0</v>
      </c>
      <c r="J29" s="1626">
        <f t="shared" si="0"/>
        <v>355500</v>
      </c>
      <c r="K29" s="1626">
        <f t="shared" si="0"/>
        <v>10202.859999999997</v>
      </c>
      <c r="L29" s="1626">
        <f t="shared" si="0"/>
        <v>7858.66</v>
      </c>
      <c r="M29" s="1626">
        <f t="shared" si="0"/>
        <v>10807.2</v>
      </c>
      <c r="N29" s="1626">
        <f t="shared" si="0"/>
        <v>1495</v>
      </c>
      <c r="O29" s="1626">
        <f t="shared" si="0"/>
        <v>30363.720000000005</v>
      </c>
      <c r="P29" s="1627">
        <f t="shared" si="0"/>
        <v>325136.28000000003</v>
      </c>
    </row>
    <row r="30" spans="1:16" x14ac:dyDescent="0.25">
      <c r="B30" s="1628"/>
      <c r="C30" s="1628"/>
      <c r="D30" s="1628"/>
      <c r="E30" s="1628"/>
      <c r="F30" s="1628"/>
      <c r="G30" s="1628"/>
      <c r="H30" s="1626"/>
      <c r="I30" s="1629"/>
      <c r="J30" s="1626"/>
      <c r="K30" s="1626"/>
      <c r="L30" s="1626"/>
      <c r="M30" s="1626"/>
      <c r="N30" s="1626"/>
      <c r="O30" s="1626"/>
      <c r="P30" s="1627"/>
    </row>
    <row r="33" spans="2:15" x14ac:dyDescent="0.25">
      <c r="B33" s="24" t="s">
        <v>195</v>
      </c>
      <c r="C33" s="24"/>
      <c r="D33" s="5" t="s">
        <v>250</v>
      </c>
      <c r="M33" s="1625" t="s">
        <v>196</v>
      </c>
      <c r="N33" s="1625"/>
      <c r="O33" s="162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24" t="s">
        <v>198</v>
      </c>
      <c r="N36" s="1624"/>
      <c r="O36" s="162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25" t="s">
        <v>253</v>
      </c>
      <c r="N37" s="1625"/>
      <c r="O37" s="1625"/>
    </row>
    <row r="38" spans="2:15" x14ac:dyDescent="0.25">
      <c r="B38" s="25" t="s">
        <v>201</v>
      </c>
      <c r="C38" s="25"/>
      <c r="D38" t="s">
        <v>254</v>
      </c>
      <c r="M38" s="1624" t="s">
        <v>202</v>
      </c>
      <c r="N38" s="1624"/>
      <c r="O38" s="1624"/>
    </row>
    <row r="41" spans="2:15" x14ac:dyDescent="0.25">
      <c r="B41" s="1625"/>
      <c r="C41" s="1625"/>
      <c r="D41" s="1625"/>
      <c r="E41" s="1625"/>
      <c r="F41" s="1625"/>
      <c r="G41" s="1625"/>
      <c r="H41" s="1625"/>
      <c r="I41" s="1625"/>
      <c r="J41" s="1625"/>
      <c r="K41" s="1625"/>
      <c r="L41" s="1625"/>
      <c r="M41" s="1625"/>
      <c r="N41" s="1625"/>
      <c r="O41" s="1625"/>
    </row>
    <row r="44" spans="2:15" x14ac:dyDescent="0.25">
      <c r="B44" s="1624"/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</row>
    <row r="45" spans="2:15" x14ac:dyDescent="0.25">
      <c r="B45" s="1625"/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</row>
    <row r="46" spans="2:15" x14ac:dyDescent="0.25">
      <c r="B46" s="1624"/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  <c r="O46" s="162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283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5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631" t="s">
        <v>40</v>
      </c>
      <c r="F20" s="1631" t="s">
        <v>41</v>
      </c>
      <c r="G20" s="163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631" t="s">
        <v>44</v>
      </c>
      <c r="F21" s="1631" t="s">
        <v>45</v>
      </c>
      <c r="G21" s="163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631" t="s">
        <v>49</v>
      </c>
      <c r="F22" s="1631" t="s">
        <v>50</v>
      </c>
      <c r="G22" s="163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631" t="s">
        <v>53</v>
      </c>
      <c r="F23" s="1631" t="s">
        <v>54</v>
      </c>
      <c r="G23" s="163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631" t="s">
        <v>56</v>
      </c>
      <c r="F24" s="1631" t="s">
        <v>57</v>
      </c>
      <c r="G24" s="163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631" t="s">
        <v>53</v>
      </c>
      <c r="F25" s="1631" t="s">
        <v>60</v>
      </c>
      <c r="G25" s="163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631" t="s">
        <v>63</v>
      </c>
      <c r="F26" s="1631" t="s">
        <v>64</v>
      </c>
      <c r="G26" s="163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631" t="s">
        <v>67</v>
      </c>
      <c r="F27" s="1631" t="s">
        <v>68</v>
      </c>
      <c r="G27" s="163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631" t="s">
        <v>71</v>
      </c>
      <c r="F28" s="1631" t="s">
        <v>72</v>
      </c>
      <c r="G28" s="163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631" t="s">
        <v>75</v>
      </c>
      <c r="F29" s="1631" t="s">
        <v>76</v>
      </c>
      <c r="G29" s="163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631" t="s">
        <v>78</v>
      </c>
      <c r="F30" s="1631" t="s">
        <v>79</v>
      </c>
      <c r="G30" s="163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631" t="s">
        <v>82</v>
      </c>
      <c r="F31" s="1631" t="s">
        <v>83</v>
      </c>
      <c r="G31" s="163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631" t="s">
        <v>85</v>
      </c>
      <c r="F32" s="1631" t="s">
        <v>86</v>
      </c>
      <c r="G32" s="163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631" t="s">
        <v>89</v>
      </c>
      <c r="F33" s="1631" t="s">
        <v>90</v>
      </c>
      <c r="G33" s="163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631" t="s">
        <v>92</v>
      </c>
      <c r="F34" s="1631" t="s">
        <v>93</v>
      </c>
      <c r="G34" s="163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631" t="s">
        <v>71</v>
      </c>
      <c r="F35" s="1631" t="s">
        <v>95</v>
      </c>
      <c r="G35" s="163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631" t="s">
        <v>97</v>
      </c>
      <c r="F36" s="1631" t="s">
        <v>98</v>
      </c>
      <c r="G36" s="163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631" t="s">
        <v>92</v>
      </c>
      <c r="F37" s="1631" t="s">
        <v>100</v>
      </c>
      <c r="G37" s="163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631" t="s">
        <v>102</v>
      </c>
      <c r="F38" s="1631" t="s">
        <v>103</v>
      </c>
      <c r="G38" s="163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631" t="s">
        <v>105</v>
      </c>
      <c r="F39" s="1631" t="s">
        <v>106</v>
      </c>
      <c r="G39" s="163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631" t="s">
        <v>105</v>
      </c>
      <c r="F40" s="1631" t="s">
        <v>108</v>
      </c>
      <c r="G40" s="163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631" t="s">
        <v>105</v>
      </c>
      <c r="F41" s="1631" t="s">
        <v>110</v>
      </c>
      <c r="G41" s="163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631" t="s">
        <v>78</v>
      </c>
      <c r="F42" s="1631" t="s">
        <v>115</v>
      </c>
      <c r="G42" s="163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631" t="s">
        <v>117</v>
      </c>
      <c r="F43" s="1631" t="s">
        <v>118</v>
      </c>
      <c r="G43" s="163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631" t="s">
        <v>120</v>
      </c>
      <c r="F44" s="1631" t="s">
        <v>121</v>
      </c>
      <c r="G44" s="163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631" t="s">
        <v>49</v>
      </c>
      <c r="F45" s="1631" t="s">
        <v>123</v>
      </c>
      <c r="G45" s="163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631" t="s">
        <v>125</v>
      </c>
      <c r="F46" s="1631" t="s">
        <v>126</v>
      </c>
      <c r="G46" s="163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631" t="s">
        <v>105</v>
      </c>
      <c r="F47" s="1631" t="s">
        <v>128</v>
      </c>
      <c r="G47" s="163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631" t="s">
        <v>102</v>
      </c>
      <c r="F48" s="1631" t="s">
        <v>130</v>
      </c>
      <c r="G48" s="163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631" t="s">
        <v>132</v>
      </c>
      <c r="F49" s="1631" t="s">
        <v>133</v>
      </c>
      <c r="G49" s="163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631" t="s">
        <v>117</v>
      </c>
      <c r="F50" s="1631" t="s">
        <v>135</v>
      </c>
      <c r="G50" s="163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631" t="s">
        <v>85</v>
      </c>
      <c r="F51" s="1631" t="s">
        <v>137</v>
      </c>
      <c r="G51" s="163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631" t="s">
        <v>139</v>
      </c>
      <c r="F52" s="1631" t="s">
        <v>140</v>
      </c>
      <c r="G52" s="163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631" t="s">
        <v>148</v>
      </c>
      <c r="F53" s="1631" t="s">
        <v>149</v>
      </c>
      <c r="G53" s="163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631" t="s">
        <v>151</v>
      </c>
      <c r="F54" s="1631" t="s">
        <v>152</v>
      </c>
      <c r="G54" s="163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631" t="s">
        <v>157</v>
      </c>
      <c r="F55" s="1631" t="s">
        <v>158</v>
      </c>
      <c r="G55" s="163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631" t="s">
        <v>160</v>
      </c>
      <c r="F56" s="1631" t="s">
        <v>161</v>
      </c>
      <c r="G56" s="1631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631" t="s">
        <v>163</v>
      </c>
      <c r="F57" s="1631" t="s">
        <v>164</v>
      </c>
      <c r="G57" s="1631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631" t="s">
        <v>92</v>
      </c>
      <c r="F60" s="1631" t="s">
        <v>168</v>
      </c>
      <c r="G60" s="1631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631" t="s">
        <v>105</v>
      </c>
      <c r="F61" s="1631" t="s">
        <v>170</v>
      </c>
      <c r="G61" s="1631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631" t="s">
        <v>40</v>
      </c>
      <c r="F64" s="1631" t="s">
        <v>172</v>
      </c>
      <c r="G64" s="163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631" t="s">
        <v>92</v>
      </c>
      <c r="F69" s="1631"/>
      <c r="G69" s="1631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631" t="s">
        <v>276</v>
      </c>
      <c r="F74" s="1631"/>
      <c r="G74" s="1631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631" t="s">
        <v>30</v>
      </c>
      <c r="F75" s="1631" t="s">
        <v>31</v>
      </c>
      <c r="G75" s="1631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631" t="s">
        <v>30</v>
      </c>
      <c r="F76" s="1631" t="s">
        <v>31</v>
      </c>
      <c r="G76" s="1631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631" t="s">
        <v>30</v>
      </c>
      <c r="F77" s="1631" t="s">
        <v>31</v>
      </c>
      <c r="G77" s="163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631" t="s">
        <v>92</v>
      </c>
      <c r="F78" s="1631" t="s">
        <v>176</v>
      </c>
      <c r="G78" s="1631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631" t="s">
        <v>178</v>
      </c>
      <c r="F79" s="1631" t="s">
        <v>179</v>
      </c>
      <c r="G79" s="1631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640" t="s">
        <v>92</v>
      </c>
      <c r="F80" s="1640" t="s">
        <v>193</v>
      </c>
      <c r="G80" s="1640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641" t="s">
        <v>288</v>
      </c>
      <c r="D81" s="1641"/>
      <c r="E81" s="1641"/>
      <c r="F81" s="1641"/>
      <c r="G81" s="1641"/>
      <c r="H81" s="1641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625" t="s">
        <v>196</v>
      </c>
      <c r="O84" s="1625"/>
      <c r="P84" s="1625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624" t="s">
        <v>198</v>
      </c>
      <c r="O87" s="1624"/>
      <c r="P87" s="1624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625" t="s">
        <v>253</v>
      </c>
      <c r="O88" s="1625"/>
      <c r="P88" s="1625"/>
    </row>
    <row r="89" spans="3:17" x14ac:dyDescent="0.25">
      <c r="C89" s="25" t="s">
        <v>201</v>
      </c>
      <c r="D89" s="25"/>
      <c r="E89" t="s">
        <v>254</v>
      </c>
      <c r="N89" s="1624" t="s">
        <v>202</v>
      </c>
      <c r="O89" s="1624"/>
      <c r="P89" s="1624"/>
    </row>
    <row r="92" spans="3:17" x14ac:dyDescent="0.25">
      <c r="C92" s="1625"/>
      <c r="D92" s="1625"/>
      <c r="E92" s="1625"/>
      <c r="F92" s="1625"/>
      <c r="G92" s="1625"/>
      <c r="H92" s="1625"/>
      <c r="I92" s="1625"/>
      <c r="J92" s="1625"/>
      <c r="K92" s="1625"/>
      <c r="L92" s="1625"/>
      <c r="M92" s="1625"/>
      <c r="N92" s="1625"/>
      <c r="O92" s="1625"/>
      <c r="P92" s="1625"/>
    </row>
    <row r="95" spans="3:17" x14ac:dyDescent="0.25">
      <c r="C95" s="1624"/>
      <c r="D95" s="1624"/>
      <c r="E95" s="1624"/>
      <c r="F95" s="1624"/>
      <c r="G95" s="1624"/>
      <c r="H95" s="1624"/>
      <c r="I95" s="1624"/>
      <c r="J95" s="1624"/>
      <c r="K95" s="1624"/>
      <c r="L95" s="1624"/>
      <c r="M95" s="1624"/>
      <c r="N95" s="1624"/>
      <c r="O95" s="1624"/>
      <c r="P95" s="1624"/>
    </row>
    <row r="96" spans="3:17" x14ac:dyDescent="0.25">
      <c r="C96" s="1625"/>
      <c r="D96" s="1625"/>
      <c r="E96" s="1625"/>
      <c r="F96" s="1625"/>
      <c r="G96" s="1625"/>
      <c r="H96" s="1625"/>
      <c r="I96" s="1625"/>
      <c r="J96" s="1625"/>
      <c r="K96" s="1625"/>
      <c r="L96" s="1625"/>
      <c r="M96" s="1625"/>
      <c r="N96" s="1625"/>
      <c r="O96" s="1625"/>
      <c r="P96" s="1625"/>
    </row>
    <row r="97" spans="3:16" x14ac:dyDescent="0.25">
      <c r="C97" s="1624"/>
      <c r="D97" s="1624"/>
      <c r="E97" s="1624"/>
      <c r="F97" s="1624"/>
      <c r="G97" s="1624"/>
      <c r="H97" s="1624"/>
      <c r="I97" s="1624"/>
      <c r="J97" s="1624"/>
      <c r="K97" s="1624"/>
      <c r="L97" s="1624"/>
      <c r="M97" s="1624"/>
      <c r="N97" s="1624"/>
      <c r="O97" s="1624"/>
      <c r="P97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289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5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648" t="s">
        <v>194</v>
      </c>
      <c r="D34" s="1648"/>
      <c r="E34" s="1648"/>
      <c r="F34" s="1648"/>
      <c r="G34" s="1648"/>
      <c r="H34" s="1648"/>
      <c r="I34" s="1647">
        <f t="shared" ref="I34:Q34" si="0">SUM(I18:I33)</f>
        <v>620500</v>
      </c>
      <c r="J34" s="1649">
        <f t="shared" si="0"/>
        <v>0</v>
      </c>
      <c r="K34" s="1647">
        <f t="shared" si="0"/>
        <v>620500</v>
      </c>
      <c r="L34" s="1647">
        <f t="shared" si="0"/>
        <v>17808.36</v>
      </c>
      <c r="M34" s="1647">
        <f t="shared" si="0"/>
        <v>26951.29</v>
      </c>
      <c r="N34" s="1647">
        <f t="shared" si="0"/>
        <v>18863.2</v>
      </c>
      <c r="O34" s="1647">
        <f t="shared" si="0"/>
        <v>1620</v>
      </c>
      <c r="P34" s="1647">
        <f t="shared" si="0"/>
        <v>65242.850000000006</v>
      </c>
      <c r="Q34" s="1650">
        <f t="shared" si="0"/>
        <v>555257.15</v>
      </c>
    </row>
    <row r="35" spans="2:17" x14ac:dyDescent="0.25">
      <c r="C35" s="1648"/>
      <c r="D35" s="1648"/>
      <c r="E35" s="1648"/>
      <c r="F35" s="1648"/>
      <c r="G35" s="1648"/>
      <c r="H35" s="1648"/>
      <c r="I35" s="1647"/>
      <c r="J35" s="1649"/>
      <c r="K35" s="1647"/>
      <c r="L35" s="1647"/>
      <c r="M35" s="1647"/>
      <c r="N35" s="1647"/>
      <c r="O35" s="1647"/>
      <c r="P35" s="1647"/>
      <c r="Q35" s="1650"/>
    </row>
    <row r="38" spans="2:17" x14ac:dyDescent="0.25">
      <c r="C38" s="24" t="s">
        <v>195</v>
      </c>
      <c r="D38" s="24"/>
      <c r="E38" s="5" t="s">
        <v>250</v>
      </c>
      <c r="N38" s="1625" t="s">
        <v>196</v>
      </c>
      <c r="O38" s="1625"/>
      <c r="P38" s="1625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624" t="s">
        <v>198</v>
      </c>
      <c r="O41" s="1624"/>
      <c r="P41" s="1624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625" t="s">
        <v>253</v>
      </c>
      <c r="O42" s="1625"/>
      <c r="P42" s="1625"/>
    </row>
    <row r="43" spans="2:17" x14ac:dyDescent="0.25">
      <c r="C43" s="25" t="s">
        <v>201</v>
      </c>
      <c r="D43" s="25"/>
      <c r="E43" t="s">
        <v>254</v>
      </c>
      <c r="N43" s="1624" t="s">
        <v>202</v>
      </c>
      <c r="O43" s="1624"/>
      <c r="P43" s="1624"/>
    </row>
    <row r="46" spans="2:17" x14ac:dyDescent="0.25">
      <c r="C46" s="1625"/>
      <c r="D46" s="1625"/>
      <c r="E46" s="1625"/>
      <c r="F46" s="1625"/>
      <c r="G46" s="1625"/>
      <c r="H46" s="1625"/>
      <c r="I46" s="1625"/>
      <c r="J46" s="1625"/>
      <c r="K46" s="1625"/>
      <c r="L46" s="1625"/>
      <c r="M46" s="1625"/>
      <c r="N46" s="1625"/>
      <c r="O46" s="1625"/>
      <c r="P46" s="1625"/>
    </row>
    <row r="49" spans="3:16" x14ac:dyDescent="0.25">
      <c r="C49" s="1624"/>
      <c r="D49" s="1624"/>
      <c r="E49" s="1624"/>
      <c r="F49" s="1624"/>
      <c r="G49" s="1624"/>
      <c r="H49" s="1624"/>
      <c r="I49" s="1624"/>
      <c r="J49" s="1624"/>
      <c r="K49" s="1624"/>
      <c r="L49" s="1624"/>
      <c r="M49" s="1624"/>
      <c r="N49" s="1624"/>
      <c r="O49" s="1624"/>
      <c r="P49" s="1624"/>
    </row>
    <row r="50" spans="3:16" x14ac:dyDescent="0.25">
      <c r="C50" s="1625"/>
      <c r="D50" s="1625"/>
      <c r="E50" s="1625"/>
      <c r="F50" s="1625"/>
      <c r="G50" s="1625"/>
      <c r="H50" s="1625"/>
      <c r="I50" s="1625"/>
      <c r="J50" s="1625"/>
      <c r="K50" s="1625"/>
      <c r="L50" s="1625"/>
      <c r="M50" s="1625"/>
      <c r="N50" s="1625"/>
      <c r="O50" s="1625"/>
      <c r="P50" s="1625"/>
    </row>
    <row r="51" spans="3:16" x14ac:dyDescent="0.25">
      <c r="C51" s="1624"/>
      <c r="D51" s="1624"/>
      <c r="E51" s="1624"/>
      <c r="F51" s="1624"/>
      <c r="G51" s="1624"/>
      <c r="H51" s="1624"/>
      <c r="I51" s="1624"/>
      <c r="J51" s="1624"/>
      <c r="K51" s="1624"/>
      <c r="L51" s="1624"/>
      <c r="M51" s="1624"/>
      <c r="N51" s="1624"/>
      <c r="O51" s="1624"/>
      <c r="P51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302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28" t="s">
        <v>194</v>
      </c>
      <c r="C22" s="1628"/>
      <c r="D22" s="1628"/>
      <c r="E22" s="1628"/>
      <c r="F22" s="1626">
        <v>55000</v>
      </c>
      <c r="G22" s="1629">
        <v>0</v>
      </c>
      <c r="H22" s="1626">
        <v>55000</v>
      </c>
      <c r="I22" s="1629">
        <v>0</v>
      </c>
      <c r="J22" s="1629">
        <v>0</v>
      </c>
      <c r="K22" s="1629">
        <v>0</v>
      </c>
      <c r="L22" s="1629">
        <v>0</v>
      </c>
      <c r="M22" s="1629">
        <v>0</v>
      </c>
      <c r="N22" s="1627">
        <v>55000</v>
      </c>
    </row>
    <row r="23" spans="1:14" x14ac:dyDescent="0.25">
      <c r="B23" s="1628"/>
      <c r="C23" s="1628"/>
      <c r="D23" s="1628"/>
      <c r="E23" s="1628"/>
      <c r="F23" s="1626"/>
      <c r="G23" s="1629"/>
      <c r="H23" s="1626"/>
      <c r="I23" s="1629"/>
      <c r="J23" s="1629"/>
      <c r="K23" s="1629"/>
      <c r="L23" s="1629"/>
      <c r="M23" s="1629"/>
      <c r="N23" s="1627"/>
    </row>
    <row r="26" spans="1:14" x14ac:dyDescent="0.25">
      <c r="A26" s="24" t="s">
        <v>257</v>
      </c>
      <c r="B26" s="24"/>
      <c r="C26" s="5" t="s">
        <v>258</v>
      </c>
      <c r="L26" s="1625" t="s">
        <v>196</v>
      </c>
      <c r="M26" s="1625"/>
      <c r="N26" s="162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24" t="s">
        <v>198</v>
      </c>
      <c r="M29" s="1624"/>
      <c r="N29" s="162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25" t="s">
        <v>253</v>
      </c>
      <c r="M30" s="1625"/>
      <c r="N30" s="1625"/>
    </row>
    <row r="31" spans="1:14" x14ac:dyDescent="0.25">
      <c r="A31" s="25" t="s">
        <v>263</v>
      </c>
      <c r="B31" s="25"/>
      <c r="C31" t="s">
        <v>264</v>
      </c>
      <c r="L31" s="1624" t="s">
        <v>202</v>
      </c>
      <c r="M31" s="1624"/>
      <c r="N31" s="1624"/>
    </row>
    <row r="36" spans="1:14" x14ac:dyDescent="0.25">
      <c r="A36" s="1624"/>
      <c r="B36" s="1624"/>
      <c r="C36" s="1624"/>
      <c r="D36" s="1624"/>
      <c r="E36" s="1624"/>
      <c r="F36" s="1624"/>
      <c r="G36" s="1624"/>
      <c r="H36" s="1624"/>
      <c r="I36" s="1624"/>
      <c r="J36" s="1624"/>
      <c r="K36" s="1624"/>
      <c r="L36" s="1624"/>
      <c r="M36" s="1624"/>
      <c r="N36" s="1624"/>
    </row>
    <row r="37" spans="1:14" x14ac:dyDescent="0.25">
      <c r="A37" s="1625"/>
      <c r="B37" s="1625"/>
      <c r="C37" s="1625"/>
      <c r="D37" s="1625"/>
      <c r="E37" s="1625"/>
      <c r="F37" s="1625"/>
      <c r="G37" s="1625"/>
      <c r="H37" s="1625"/>
      <c r="I37" s="1625"/>
      <c r="J37" s="1625"/>
      <c r="K37" s="1625"/>
      <c r="L37" s="1625"/>
      <c r="M37" s="1625"/>
      <c r="N37" s="1625"/>
    </row>
    <row r="38" spans="1:14" x14ac:dyDescent="0.25">
      <c r="A38" s="1624"/>
      <c r="B38" s="1624"/>
      <c r="C38" s="1624"/>
      <c r="D38" s="1624"/>
      <c r="E38" s="1624"/>
      <c r="F38" s="1624"/>
      <c r="G38" s="1624"/>
      <c r="H38" s="1624"/>
      <c r="I38" s="1624"/>
      <c r="J38" s="1624"/>
      <c r="K38" s="1624"/>
      <c r="L38" s="1624"/>
      <c r="M38" s="1624"/>
      <c r="N38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303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5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1" t="s">
        <v>40</v>
      </c>
      <c r="F20" s="1631" t="s">
        <v>41</v>
      </c>
      <c r="G20" s="163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1" t="s">
        <v>44</v>
      </c>
      <c r="F21" s="1631" t="s">
        <v>45</v>
      </c>
      <c r="G21" s="163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1" t="s">
        <v>49</v>
      </c>
      <c r="F22" s="1631" t="s">
        <v>50</v>
      </c>
      <c r="G22" s="163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1" t="s">
        <v>53</v>
      </c>
      <c r="F23" s="1631" t="s">
        <v>54</v>
      </c>
      <c r="G23" s="163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1" t="s">
        <v>56</v>
      </c>
      <c r="F24" s="1631" t="s">
        <v>57</v>
      </c>
      <c r="G24" s="163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1" t="s">
        <v>53</v>
      </c>
      <c r="F25" s="1631" t="s">
        <v>60</v>
      </c>
      <c r="G25" s="163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1" t="s">
        <v>63</v>
      </c>
      <c r="F26" s="1631" t="s">
        <v>64</v>
      </c>
      <c r="G26" s="163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1" t="s">
        <v>67</v>
      </c>
      <c r="F27" s="1631" t="s">
        <v>68</v>
      </c>
      <c r="G27" s="163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1" t="s">
        <v>71</v>
      </c>
      <c r="F28" s="1631" t="s">
        <v>72</v>
      </c>
      <c r="G28" s="163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1" t="s">
        <v>75</v>
      </c>
      <c r="F29" s="1631" t="s">
        <v>76</v>
      </c>
      <c r="G29" s="163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1" t="s">
        <v>78</v>
      </c>
      <c r="F30" s="1631" t="s">
        <v>79</v>
      </c>
      <c r="G30" s="163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1" t="s">
        <v>82</v>
      </c>
      <c r="F31" s="1631" t="s">
        <v>83</v>
      </c>
      <c r="G31" s="163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1" t="s">
        <v>85</v>
      </c>
      <c r="F32" s="1631" t="s">
        <v>86</v>
      </c>
      <c r="G32" s="163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1" t="s">
        <v>89</v>
      </c>
      <c r="F33" s="1631" t="s">
        <v>90</v>
      </c>
      <c r="G33" s="163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1" t="s">
        <v>92</v>
      </c>
      <c r="F34" s="1631" t="s">
        <v>93</v>
      </c>
      <c r="G34" s="163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1" t="s">
        <v>71</v>
      </c>
      <c r="F35" s="1631" t="s">
        <v>95</v>
      </c>
      <c r="G35" s="163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1" t="s">
        <v>97</v>
      </c>
      <c r="F36" s="1631" t="s">
        <v>98</v>
      </c>
      <c r="G36" s="163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1" t="s">
        <v>92</v>
      </c>
      <c r="F37" s="1631" t="s">
        <v>100</v>
      </c>
      <c r="G37" s="163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1" t="s">
        <v>102</v>
      </c>
      <c r="F38" s="1631" t="s">
        <v>103</v>
      </c>
      <c r="G38" s="163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1" t="s">
        <v>105</v>
      </c>
      <c r="F39" s="1631" t="s">
        <v>106</v>
      </c>
      <c r="G39" s="163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1" t="s">
        <v>105</v>
      </c>
      <c r="F40" s="1631" t="s">
        <v>108</v>
      </c>
      <c r="G40" s="163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1" t="s">
        <v>105</v>
      </c>
      <c r="F41" s="1631" t="s">
        <v>110</v>
      </c>
      <c r="G41" s="163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1" t="s">
        <v>78</v>
      </c>
      <c r="F42" s="1631" t="s">
        <v>115</v>
      </c>
      <c r="G42" s="163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1" t="s">
        <v>117</v>
      </c>
      <c r="F43" s="1631" t="s">
        <v>118</v>
      </c>
      <c r="G43" s="163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1" t="s">
        <v>120</v>
      </c>
      <c r="F44" s="1631" t="s">
        <v>121</v>
      </c>
      <c r="G44" s="163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1" t="s">
        <v>49</v>
      </c>
      <c r="F45" s="1631" t="s">
        <v>123</v>
      </c>
      <c r="G45" s="163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1" t="s">
        <v>125</v>
      </c>
      <c r="F46" s="1631" t="s">
        <v>126</v>
      </c>
      <c r="G46" s="163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1" t="s">
        <v>105</v>
      </c>
      <c r="F47" s="1631" t="s">
        <v>128</v>
      </c>
      <c r="G47" s="163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1" t="s">
        <v>102</v>
      </c>
      <c r="F48" s="1631" t="s">
        <v>130</v>
      </c>
      <c r="G48" s="163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1" t="s">
        <v>132</v>
      </c>
      <c r="F49" s="1631" t="s">
        <v>133</v>
      </c>
      <c r="G49" s="163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1" t="s">
        <v>117</v>
      </c>
      <c r="F50" s="1631" t="s">
        <v>135</v>
      </c>
      <c r="G50" s="163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1" t="s">
        <v>85</v>
      </c>
      <c r="F51" s="1631" t="s">
        <v>137</v>
      </c>
      <c r="G51" s="163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1" t="s">
        <v>139</v>
      </c>
      <c r="F52" s="1631" t="s">
        <v>140</v>
      </c>
      <c r="G52" s="163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1" t="s">
        <v>148</v>
      </c>
      <c r="F53" s="1631" t="s">
        <v>149</v>
      </c>
      <c r="G53" s="163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1" t="s">
        <v>151</v>
      </c>
      <c r="F54" s="1631" t="s">
        <v>152</v>
      </c>
      <c r="G54" s="163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1" t="s">
        <v>157</v>
      </c>
      <c r="F55" s="1631" t="s">
        <v>158</v>
      </c>
      <c r="G55" s="163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1" t="s">
        <v>160</v>
      </c>
      <c r="F57" s="1631" t="s">
        <v>161</v>
      </c>
      <c r="G57" s="163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1" t="s">
        <v>163</v>
      </c>
      <c r="F58" s="1631" t="s">
        <v>164</v>
      </c>
      <c r="G58" s="163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1" t="s">
        <v>92</v>
      </c>
      <c r="F61" s="1631" t="s">
        <v>168</v>
      </c>
      <c r="G61" s="163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1" t="s">
        <v>105</v>
      </c>
      <c r="F62" s="1631" t="s">
        <v>170</v>
      </c>
      <c r="G62" s="163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1" t="s">
        <v>40</v>
      </c>
      <c r="F66" s="1631" t="s">
        <v>172</v>
      </c>
      <c r="G66" s="163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1" t="s">
        <v>92</v>
      </c>
      <c r="F71" s="1631"/>
      <c r="G71" s="163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1" t="s">
        <v>276</v>
      </c>
      <c r="F76" s="1631"/>
      <c r="G76" s="163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1" t="s">
        <v>30</v>
      </c>
      <c r="F77" s="1631" t="s">
        <v>31</v>
      </c>
      <c r="G77" s="163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1" t="s">
        <v>30</v>
      </c>
      <c r="F78" s="1631" t="s">
        <v>31</v>
      </c>
      <c r="G78" s="163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1" t="s">
        <v>92</v>
      </c>
      <c r="F86" s="1631" t="s">
        <v>176</v>
      </c>
      <c r="G86" s="163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1" t="s">
        <v>178</v>
      </c>
      <c r="F87" s="1631" t="s">
        <v>179</v>
      </c>
      <c r="G87" s="163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0" t="s">
        <v>92</v>
      </c>
      <c r="F88" s="1640" t="s">
        <v>193</v>
      </c>
      <c r="G88" s="164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41" t="s">
        <v>288</v>
      </c>
      <c r="D116" s="1641"/>
      <c r="E116" s="1641"/>
      <c r="F116" s="1641"/>
      <c r="G116" s="1641"/>
      <c r="H116" s="164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25" t="s">
        <v>196</v>
      </c>
      <c r="O119" s="1625"/>
      <c r="P119" s="162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24" t="s">
        <v>198</v>
      </c>
      <c r="O122" s="1624"/>
      <c r="P122" s="162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25" t="s">
        <v>253</v>
      </c>
      <c r="O123" s="1625"/>
      <c r="P123" s="1625"/>
    </row>
    <row r="124" spans="2:17" x14ac:dyDescent="0.25">
      <c r="C124" s="25" t="s">
        <v>201</v>
      </c>
      <c r="D124" s="25"/>
      <c r="E124" t="s">
        <v>254</v>
      </c>
      <c r="N124" s="1624" t="s">
        <v>202</v>
      </c>
      <c r="O124" s="1624"/>
      <c r="P124" s="1624"/>
    </row>
    <row r="127" spans="2:17" x14ac:dyDescent="0.25">
      <c r="C127" s="1625"/>
      <c r="D127" s="1625"/>
      <c r="E127" s="1625"/>
      <c r="F127" s="1625"/>
      <c r="G127" s="1625"/>
      <c r="H127" s="1625"/>
      <c r="I127" s="1625"/>
      <c r="J127" s="1625"/>
      <c r="K127" s="1625"/>
      <c r="L127" s="1625"/>
      <c r="M127" s="1625"/>
      <c r="N127" s="1625"/>
      <c r="O127" s="1625"/>
      <c r="P127" s="1625"/>
    </row>
    <row r="130" spans="3:16" x14ac:dyDescent="0.25">
      <c r="C130" s="1624"/>
      <c r="D130" s="1624"/>
      <c r="E130" s="1624"/>
      <c r="F130" s="1624"/>
      <c r="G130" s="1624"/>
      <c r="H130" s="1624"/>
      <c r="I130" s="1624"/>
      <c r="J130" s="1624"/>
      <c r="K130" s="1624"/>
      <c r="L130" s="1624"/>
      <c r="M130" s="1624"/>
      <c r="N130" s="1624"/>
      <c r="O130" s="1624"/>
      <c r="P130" s="1624"/>
    </row>
    <row r="131" spans="3:16" x14ac:dyDescent="0.25">
      <c r="C131" s="1625"/>
      <c r="D131" s="1625"/>
      <c r="E131" s="1625"/>
      <c r="F131" s="1625"/>
      <c r="G131" s="1625"/>
      <c r="H131" s="1625"/>
      <c r="I131" s="1625"/>
      <c r="J131" s="1625"/>
      <c r="K131" s="1625"/>
      <c r="L131" s="1625"/>
      <c r="M131" s="1625"/>
      <c r="N131" s="1625"/>
      <c r="O131" s="1625"/>
      <c r="P131" s="1625"/>
    </row>
    <row r="132" spans="3:16" x14ac:dyDescent="0.25">
      <c r="C132" s="1624"/>
      <c r="D132" s="1624"/>
      <c r="E132" s="1624"/>
      <c r="F132" s="1624"/>
      <c r="G132" s="1624"/>
      <c r="H132" s="1624"/>
      <c r="I132" s="1624"/>
      <c r="J132" s="1624"/>
      <c r="K132" s="1624"/>
      <c r="L132" s="1624"/>
      <c r="M132" s="1624"/>
      <c r="N132" s="1624"/>
      <c r="O132" s="1624"/>
      <c r="P132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352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5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648" t="s">
        <v>194</v>
      </c>
      <c r="D49" s="1648"/>
      <c r="E49" s="1648"/>
      <c r="F49" s="1648"/>
      <c r="G49" s="1648"/>
      <c r="H49" s="1648"/>
      <c r="I49" s="1647">
        <f t="shared" ref="I49:O49" si="0">SUM(I18:I48)</f>
        <v>1162000</v>
      </c>
      <c r="J49" s="1649">
        <f t="shared" si="0"/>
        <v>0</v>
      </c>
      <c r="K49" s="1647">
        <f t="shared" si="0"/>
        <v>1162000</v>
      </c>
      <c r="L49" s="1647">
        <f t="shared" si="0"/>
        <v>33349.410000000003</v>
      </c>
      <c r="M49" s="1647">
        <f t="shared" si="0"/>
        <v>35738.051824000009</v>
      </c>
      <c r="N49" s="1647">
        <f t="shared" si="0"/>
        <v>35324.800000000003</v>
      </c>
      <c r="O49" s="1647">
        <f t="shared" si="0"/>
        <v>2065.12</v>
      </c>
      <c r="P49" s="1647">
        <v>106477.38</v>
      </c>
      <c r="Q49" s="1650">
        <f>SUM(Q18:Q48)</f>
        <v>1055522.6199999996</v>
      </c>
    </row>
    <row r="50" spans="3:17" x14ac:dyDescent="0.25">
      <c r="C50" s="1648"/>
      <c r="D50" s="1648"/>
      <c r="E50" s="1648"/>
      <c r="F50" s="1648"/>
      <c r="G50" s="1648"/>
      <c r="H50" s="1648"/>
      <c r="I50" s="1647"/>
      <c r="J50" s="1649"/>
      <c r="K50" s="1647"/>
      <c r="L50" s="1647"/>
      <c r="M50" s="1647"/>
      <c r="N50" s="1647"/>
      <c r="O50" s="1647"/>
      <c r="P50" s="1647"/>
      <c r="Q50" s="1650"/>
    </row>
    <row r="53" spans="3:17" x14ac:dyDescent="0.25">
      <c r="C53" s="24" t="s">
        <v>195</v>
      </c>
      <c r="D53" s="24"/>
      <c r="E53" s="5" t="s">
        <v>250</v>
      </c>
      <c r="N53" s="1625" t="s">
        <v>196</v>
      </c>
      <c r="O53" s="1625"/>
      <c r="P53" s="1625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624" t="s">
        <v>198</v>
      </c>
      <c r="O56" s="1624"/>
      <c r="P56" s="1624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625" t="s">
        <v>253</v>
      </c>
      <c r="O57" s="1625"/>
      <c r="P57" s="1625"/>
    </row>
    <row r="58" spans="3:17" x14ac:dyDescent="0.25">
      <c r="C58" s="25" t="s">
        <v>201</v>
      </c>
      <c r="D58" s="25"/>
      <c r="E58" t="s">
        <v>254</v>
      </c>
      <c r="N58" s="1624" t="s">
        <v>202</v>
      </c>
      <c r="O58" s="1624"/>
      <c r="P58" s="1624"/>
    </row>
    <row r="61" spans="3:17" x14ac:dyDescent="0.25">
      <c r="C61" s="1625"/>
      <c r="D61" s="1625"/>
      <c r="E61" s="1625"/>
      <c r="F61" s="1625"/>
      <c r="G61" s="1625"/>
      <c r="H61" s="1625"/>
      <c r="I61" s="1625"/>
      <c r="J61" s="1625"/>
      <c r="K61" s="1625"/>
      <c r="L61" s="1625"/>
      <c r="M61" s="1625"/>
      <c r="N61" s="1625"/>
      <c r="O61" s="1625"/>
      <c r="P61" s="1625"/>
    </row>
    <row r="64" spans="3:17" x14ac:dyDescent="0.25">
      <c r="C64" s="1624"/>
      <c r="D64" s="1624"/>
      <c r="E64" s="1624"/>
      <c r="F64" s="1624"/>
      <c r="G64" s="1624"/>
      <c r="H64" s="1624"/>
      <c r="I64" s="1624"/>
      <c r="J64" s="1624"/>
      <c r="K64" s="1624"/>
      <c r="L64" s="1624"/>
      <c r="M64" s="1624"/>
      <c r="N64" s="1624"/>
      <c r="O64" s="1624"/>
      <c r="P64" s="1624"/>
    </row>
    <row r="65" spans="3:16" x14ac:dyDescent="0.25">
      <c r="C65" s="1625"/>
      <c r="D65" s="1625"/>
      <c r="E65" s="1625"/>
      <c r="F65" s="1625"/>
      <c r="G65" s="1625"/>
      <c r="H65" s="1625"/>
      <c r="I65" s="1625"/>
      <c r="J65" s="1625"/>
      <c r="K65" s="1625"/>
      <c r="L65" s="1625"/>
      <c r="M65" s="1625"/>
      <c r="N65" s="1625"/>
      <c r="O65" s="1625"/>
      <c r="P65" s="1625"/>
    </row>
    <row r="66" spans="3:16" x14ac:dyDescent="0.25">
      <c r="C66" s="1624"/>
      <c r="D66" s="1624"/>
      <c r="E66" s="1624"/>
      <c r="F66" s="1624"/>
      <c r="G66" s="1624"/>
      <c r="H66" s="1624"/>
      <c r="I66" s="1624"/>
      <c r="J66" s="1624"/>
      <c r="K66" s="1624"/>
      <c r="L66" s="1624"/>
      <c r="M66" s="1624"/>
      <c r="N66" s="1624"/>
      <c r="O66" s="1624"/>
      <c r="P66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393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628" t="s">
        <v>194</v>
      </c>
      <c r="C30" s="1628"/>
      <c r="D30" s="1628"/>
      <c r="E30" s="1628"/>
      <c r="F30" s="1651">
        <v>122000</v>
      </c>
      <c r="G30" s="1629">
        <v>0</v>
      </c>
      <c r="H30" s="1651">
        <v>122000</v>
      </c>
      <c r="I30" s="1629">
        <v>0</v>
      </c>
      <c r="J30" s="1629">
        <v>0</v>
      </c>
      <c r="K30" s="1629">
        <v>0</v>
      </c>
      <c r="L30" s="1629">
        <v>0</v>
      </c>
      <c r="M30" s="1652">
        <v>0</v>
      </c>
      <c r="N30" s="1651">
        <v>122000</v>
      </c>
    </row>
    <row r="31" spans="1:14" x14ac:dyDescent="0.25">
      <c r="B31" s="1628"/>
      <c r="C31" s="1628"/>
      <c r="D31" s="1628"/>
      <c r="E31" s="1628"/>
      <c r="F31" s="1651"/>
      <c r="G31" s="1629"/>
      <c r="H31" s="1651"/>
      <c r="I31" s="1629"/>
      <c r="J31" s="1629"/>
      <c r="K31" s="1629"/>
      <c r="L31" s="1629"/>
      <c r="M31" s="1652"/>
      <c r="N31" s="1651"/>
    </row>
    <row r="34" spans="1:14" x14ac:dyDescent="0.25">
      <c r="A34" s="24" t="s">
        <v>257</v>
      </c>
      <c r="B34" s="24"/>
      <c r="C34" s="5" t="s">
        <v>258</v>
      </c>
      <c r="L34" s="1625" t="s">
        <v>196</v>
      </c>
      <c r="M34" s="1625"/>
      <c r="N34" s="1625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624" t="s">
        <v>198</v>
      </c>
      <c r="M37" s="1624"/>
      <c r="N37" s="1624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625" t="s">
        <v>253</v>
      </c>
      <c r="M38" s="1625"/>
      <c r="N38" s="1625"/>
    </row>
    <row r="39" spans="1:14" x14ac:dyDescent="0.25">
      <c r="A39" s="25" t="s">
        <v>263</v>
      </c>
      <c r="B39" s="25"/>
      <c r="C39" t="s">
        <v>264</v>
      </c>
      <c r="L39" s="1624" t="s">
        <v>202</v>
      </c>
      <c r="M39" s="1624"/>
      <c r="N39" s="1624"/>
    </row>
    <row r="44" spans="1:14" x14ac:dyDescent="0.25">
      <c r="A44" s="1624"/>
      <c r="B44" s="1624"/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</row>
    <row r="45" spans="1:14" x14ac:dyDescent="0.25">
      <c r="A45" s="1625"/>
      <c r="B45" s="1625"/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</row>
    <row r="46" spans="1:14" x14ac:dyDescent="0.25">
      <c r="A46" s="1624"/>
      <c r="B46" s="1624"/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403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1" t="s">
        <v>40</v>
      </c>
      <c r="F20" s="1631" t="s">
        <v>41</v>
      </c>
      <c r="G20" s="163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1" t="s">
        <v>44</v>
      </c>
      <c r="F21" s="1631" t="s">
        <v>45</v>
      </c>
      <c r="G21" s="163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1" t="s">
        <v>49</v>
      </c>
      <c r="F22" s="1631" t="s">
        <v>50</v>
      </c>
      <c r="G22" s="163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1" t="s">
        <v>53</v>
      </c>
      <c r="F23" s="1631" t="s">
        <v>54</v>
      </c>
      <c r="G23" s="163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1" t="s">
        <v>56</v>
      </c>
      <c r="F24" s="1631" t="s">
        <v>57</v>
      </c>
      <c r="G24" s="163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1" t="s">
        <v>53</v>
      </c>
      <c r="F25" s="1631" t="s">
        <v>60</v>
      </c>
      <c r="G25" s="163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1" t="s">
        <v>63</v>
      </c>
      <c r="F26" s="1631" t="s">
        <v>64</v>
      </c>
      <c r="G26" s="163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1" t="s">
        <v>67</v>
      </c>
      <c r="F27" s="1631" t="s">
        <v>68</v>
      </c>
      <c r="G27" s="163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1" t="s">
        <v>71</v>
      </c>
      <c r="F28" s="1631" t="s">
        <v>72</v>
      </c>
      <c r="G28" s="163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1" t="s">
        <v>75</v>
      </c>
      <c r="F29" s="1631" t="s">
        <v>76</v>
      </c>
      <c r="G29" s="163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1" t="s">
        <v>78</v>
      </c>
      <c r="F30" s="1631" t="s">
        <v>79</v>
      </c>
      <c r="G30" s="163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1" t="s">
        <v>82</v>
      </c>
      <c r="F31" s="1631" t="s">
        <v>83</v>
      </c>
      <c r="G31" s="163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1" t="s">
        <v>85</v>
      </c>
      <c r="F32" s="1631" t="s">
        <v>86</v>
      </c>
      <c r="G32" s="163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1" t="s">
        <v>89</v>
      </c>
      <c r="F33" s="1631" t="s">
        <v>90</v>
      </c>
      <c r="G33" s="163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1" t="s">
        <v>92</v>
      </c>
      <c r="F34" s="1631" t="s">
        <v>93</v>
      </c>
      <c r="G34" s="163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1" t="s">
        <v>71</v>
      </c>
      <c r="F35" s="1631" t="s">
        <v>95</v>
      </c>
      <c r="G35" s="163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1" t="s">
        <v>97</v>
      </c>
      <c r="F36" s="1631" t="s">
        <v>98</v>
      </c>
      <c r="G36" s="163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1" t="s">
        <v>92</v>
      </c>
      <c r="F37" s="1631" t="s">
        <v>100</v>
      </c>
      <c r="G37" s="163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1" t="s">
        <v>102</v>
      </c>
      <c r="F38" s="1631" t="s">
        <v>103</v>
      </c>
      <c r="G38" s="163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1" t="s">
        <v>105</v>
      </c>
      <c r="F39" s="1631" t="s">
        <v>106</v>
      </c>
      <c r="G39" s="163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1" t="s">
        <v>105</v>
      </c>
      <c r="F40" s="1631" t="s">
        <v>108</v>
      </c>
      <c r="G40" s="163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1" t="s">
        <v>105</v>
      </c>
      <c r="F41" s="1631" t="s">
        <v>110</v>
      </c>
      <c r="G41" s="163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1" t="s">
        <v>78</v>
      </c>
      <c r="F42" s="1631" t="s">
        <v>115</v>
      </c>
      <c r="G42" s="163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1" t="s">
        <v>117</v>
      </c>
      <c r="F43" s="1631" t="s">
        <v>118</v>
      </c>
      <c r="G43" s="163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1" t="s">
        <v>120</v>
      </c>
      <c r="F44" s="1631" t="s">
        <v>121</v>
      </c>
      <c r="G44" s="163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1" t="s">
        <v>49</v>
      </c>
      <c r="F45" s="1631" t="s">
        <v>123</v>
      </c>
      <c r="G45" s="163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1" t="s">
        <v>125</v>
      </c>
      <c r="F46" s="1631" t="s">
        <v>126</v>
      </c>
      <c r="G46" s="163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1" t="s">
        <v>105</v>
      </c>
      <c r="F47" s="1631" t="s">
        <v>128</v>
      </c>
      <c r="G47" s="163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1" t="s">
        <v>102</v>
      </c>
      <c r="F48" s="1631" t="s">
        <v>130</v>
      </c>
      <c r="G48" s="163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1" t="s">
        <v>132</v>
      </c>
      <c r="F49" s="1631" t="s">
        <v>133</v>
      </c>
      <c r="G49" s="163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1" t="s">
        <v>117</v>
      </c>
      <c r="F50" s="1631" t="s">
        <v>135</v>
      </c>
      <c r="G50" s="163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1" t="s">
        <v>85</v>
      </c>
      <c r="F51" s="1631" t="s">
        <v>137</v>
      </c>
      <c r="G51" s="163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1" t="s">
        <v>139</v>
      </c>
      <c r="F52" s="1631" t="s">
        <v>140</v>
      </c>
      <c r="G52" s="163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1" t="s">
        <v>148</v>
      </c>
      <c r="F53" s="1631" t="s">
        <v>149</v>
      </c>
      <c r="G53" s="163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1" t="s">
        <v>151</v>
      </c>
      <c r="F54" s="1631" t="s">
        <v>152</v>
      </c>
      <c r="G54" s="163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1" t="s">
        <v>157</v>
      </c>
      <c r="F55" s="1631" t="s">
        <v>158</v>
      </c>
      <c r="G55" s="163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1" t="s">
        <v>160</v>
      </c>
      <c r="F57" s="1631" t="s">
        <v>161</v>
      </c>
      <c r="G57" s="163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1" t="s">
        <v>163</v>
      </c>
      <c r="F58" s="1631" t="s">
        <v>164</v>
      </c>
      <c r="G58" s="163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1" t="s">
        <v>92</v>
      </c>
      <c r="F61" s="1631" t="s">
        <v>168</v>
      </c>
      <c r="G61" s="163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1" t="s">
        <v>105</v>
      </c>
      <c r="F62" s="1631" t="s">
        <v>170</v>
      </c>
      <c r="G62" s="163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1" t="s">
        <v>40</v>
      </c>
      <c r="F66" s="1631" t="s">
        <v>172</v>
      </c>
      <c r="G66" s="163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1" t="s">
        <v>92</v>
      </c>
      <c r="F71" s="1631"/>
      <c r="G71" s="163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1" t="s">
        <v>276</v>
      </c>
      <c r="F76" s="1631"/>
      <c r="G76" s="163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1" t="s">
        <v>30</v>
      </c>
      <c r="F77" s="1631" t="s">
        <v>31</v>
      </c>
      <c r="G77" s="163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1" t="s">
        <v>30</v>
      </c>
      <c r="F78" s="1631" t="s">
        <v>31</v>
      </c>
      <c r="G78" s="163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1" t="s">
        <v>92</v>
      </c>
      <c r="F86" s="1631" t="s">
        <v>176</v>
      </c>
      <c r="G86" s="163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1" t="s">
        <v>178</v>
      </c>
      <c r="F87" s="1631" t="s">
        <v>179</v>
      </c>
      <c r="G87" s="163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0" t="s">
        <v>92</v>
      </c>
      <c r="F88" s="1640" t="s">
        <v>193</v>
      </c>
      <c r="G88" s="164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41" t="s">
        <v>288</v>
      </c>
      <c r="D116" s="1641"/>
      <c r="E116" s="1641"/>
      <c r="F116" s="1641"/>
      <c r="G116" s="1641"/>
      <c r="H116" s="164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25" t="s">
        <v>196</v>
      </c>
      <c r="O119" s="1625"/>
      <c r="P119" s="162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24" t="s">
        <v>198</v>
      </c>
      <c r="O122" s="1624"/>
      <c r="P122" s="162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25" t="s">
        <v>253</v>
      </c>
      <c r="O123" s="1625"/>
      <c r="P123" s="1625"/>
    </row>
    <row r="124" spans="2:17" x14ac:dyDescent="0.25">
      <c r="C124" s="25" t="s">
        <v>201</v>
      </c>
      <c r="D124" s="25"/>
      <c r="E124" t="s">
        <v>254</v>
      </c>
      <c r="N124" s="1624" t="s">
        <v>202</v>
      </c>
      <c r="O124" s="1624"/>
      <c r="P124" s="1624"/>
    </row>
    <row r="127" spans="2:17" x14ac:dyDescent="0.25">
      <c r="C127" s="1625"/>
      <c r="D127" s="1625"/>
      <c r="E127" s="1625"/>
      <c r="F127" s="1625"/>
      <c r="G127" s="1625"/>
      <c r="H127" s="1625"/>
      <c r="I127" s="1625"/>
      <c r="J127" s="1625"/>
      <c r="K127" s="1625"/>
      <c r="L127" s="1625"/>
      <c r="M127" s="1625"/>
      <c r="N127" s="1625"/>
      <c r="O127" s="1625"/>
      <c r="P127" s="1625"/>
    </row>
    <row r="130" spans="3:16" x14ac:dyDescent="0.25">
      <c r="C130" s="1624"/>
      <c r="D130" s="1624"/>
      <c r="E130" s="1624"/>
      <c r="F130" s="1624"/>
      <c r="G130" s="1624"/>
      <c r="H130" s="1624"/>
      <c r="I130" s="1624"/>
      <c r="J130" s="1624"/>
      <c r="K130" s="1624"/>
      <c r="L130" s="1624"/>
      <c r="M130" s="1624"/>
      <c r="N130" s="1624"/>
      <c r="O130" s="1624"/>
      <c r="P130" s="1624"/>
    </row>
    <row r="131" spans="3:16" x14ac:dyDescent="0.25">
      <c r="C131" s="1625"/>
      <c r="D131" s="1625"/>
      <c r="E131" s="1625"/>
      <c r="F131" s="1625"/>
      <c r="G131" s="1625"/>
      <c r="H131" s="1625"/>
      <c r="I131" s="1625"/>
      <c r="J131" s="1625"/>
      <c r="K131" s="1625"/>
      <c r="L131" s="1625"/>
      <c r="M131" s="1625"/>
      <c r="N131" s="1625"/>
      <c r="O131" s="1625"/>
      <c r="P131" s="1625"/>
    </row>
    <row r="132" spans="3:16" x14ac:dyDescent="0.25">
      <c r="C132" s="1624"/>
      <c r="D132" s="1624"/>
      <c r="E132" s="1624"/>
      <c r="F132" s="1624"/>
      <c r="G132" s="1624"/>
      <c r="H132" s="1624"/>
      <c r="I132" s="1624"/>
      <c r="J132" s="1624"/>
      <c r="K132" s="1624"/>
      <c r="L132" s="1624"/>
      <c r="M132" s="1624"/>
      <c r="N132" s="1624"/>
      <c r="O132" s="1624"/>
      <c r="P132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405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648" t="s">
        <v>194</v>
      </c>
      <c r="D44" s="1648"/>
      <c r="E44" s="1648"/>
      <c r="F44" s="1648"/>
      <c r="G44" s="1648"/>
      <c r="H44" s="1648"/>
      <c r="I44" s="1647">
        <f>SUM(I18:I41)</f>
        <v>981500</v>
      </c>
      <c r="J44" s="1649">
        <f>SUM(J18:J41)</f>
        <v>0</v>
      </c>
      <c r="K44" s="1647">
        <v>1038000</v>
      </c>
      <c r="L44" s="1647">
        <f>SUM(L18:L41)</f>
        <v>28169.05</v>
      </c>
      <c r="M44" s="1647">
        <v>35295.4</v>
      </c>
      <c r="N44" s="1647">
        <f>SUM(N18:N41)</f>
        <v>29837.599999999999</v>
      </c>
      <c r="O44" s="1647">
        <f>SUM(O18:O41)</f>
        <v>1890.12</v>
      </c>
      <c r="P44" s="1647">
        <v>98606.32</v>
      </c>
      <c r="Q44" s="1650">
        <f>SUM(Q18:Q41)</f>
        <v>886307.82999999984</v>
      </c>
    </row>
    <row r="45" spans="2:17" x14ac:dyDescent="0.25">
      <c r="C45" s="1648"/>
      <c r="D45" s="1648"/>
      <c r="E45" s="1648"/>
      <c r="F45" s="1648"/>
      <c r="G45" s="1648"/>
      <c r="H45" s="1648"/>
      <c r="I45" s="1647"/>
      <c r="J45" s="1649"/>
      <c r="K45" s="1647"/>
      <c r="L45" s="1647"/>
      <c r="M45" s="1647"/>
      <c r="N45" s="1647"/>
      <c r="O45" s="1647"/>
      <c r="P45" s="1647"/>
      <c r="Q45" s="1650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625" t="s">
        <v>196</v>
      </c>
      <c r="O48" s="1625"/>
      <c r="P48" s="1625"/>
    </row>
    <row r="51" spans="3:16" x14ac:dyDescent="0.25">
      <c r="C51" s="25" t="s">
        <v>197</v>
      </c>
      <c r="D51" s="25"/>
      <c r="E51" t="s">
        <v>251</v>
      </c>
      <c r="N51" s="1624" t="s">
        <v>198</v>
      </c>
      <c r="O51" s="1624"/>
      <c r="P51" s="1624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625" t="s">
        <v>253</v>
      </c>
      <c r="O52" s="1625"/>
      <c r="P52" s="1625"/>
    </row>
    <row r="53" spans="3:16" x14ac:dyDescent="0.25">
      <c r="C53" s="25" t="s">
        <v>201</v>
      </c>
      <c r="D53" s="25"/>
      <c r="E53" t="s">
        <v>254</v>
      </c>
      <c r="N53" s="1624" t="s">
        <v>202</v>
      </c>
      <c r="O53" s="1624"/>
      <c r="P53" s="1624"/>
    </row>
    <row r="56" spans="3:16" x14ac:dyDescent="0.25">
      <c r="C56" s="1625"/>
      <c r="D56" s="1625"/>
      <c r="E56" s="1625"/>
      <c r="F56" s="1625"/>
      <c r="G56" s="1625"/>
      <c r="H56" s="1625"/>
      <c r="I56" s="1625"/>
      <c r="J56" s="1625"/>
      <c r="K56" s="1625"/>
      <c r="L56" s="1625"/>
      <c r="M56" s="1625"/>
      <c r="N56" s="1625"/>
      <c r="O56" s="1625"/>
      <c r="P56" s="1625"/>
    </row>
    <row r="59" spans="3:16" x14ac:dyDescent="0.25">
      <c r="C59" s="1624"/>
      <c r="D59" s="1624"/>
      <c r="E59" s="1624"/>
      <c r="F59" s="1624"/>
      <c r="G59" s="1624"/>
      <c r="H59" s="1624"/>
      <c r="I59" s="1624"/>
      <c r="J59" s="1624"/>
      <c r="K59" s="1624"/>
      <c r="L59" s="1624"/>
      <c r="M59" s="1624"/>
      <c r="N59" s="1624"/>
      <c r="O59" s="1624"/>
      <c r="P59" s="1624"/>
    </row>
    <row r="60" spans="3:16" x14ac:dyDescent="0.25">
      <c r="C60" s="1625"/>
      <c r="D60" s="1625"/>
      <c r="E60" s="1625"/>
      <c r="F60" s="1625"/>
      <c r="G60" s="1625"/>
      <c r="H60" s="1625"/>
      <c r="I60" s="1625"/>
      <c r="J60" s="1625"/>
      <c r="K60" s="1625"/>
      <c r="L60" s="1625"/>
      <c r="M60" s="1625"/>
      <c r="N60" s="1625"/>
      <c r="O60" s="1625"/>
      <c r="P60" s="1625"/>
    </row>
    <row r="61" spans="3:16" x14ac:dyDescent="0.25">
      <c r="C61" s="1624"/>
      <c r="D61" s="1624"/>
      <c r="E61" s="1624"/>
      <c r="F61" s="1624"/>
      <c r="G61" s="1624"/>
      <c r="H61" s="1624"/>
      <c r="I61" s="1624"/>
      <c r="J61" s="1624"/>
      <c r="K61" s="1624"/>
      <c r="L61" s="1624"/>
      <c r="M61" s="1624"/>
      <c r="N61" s="1624"/>
      <c r="O61" s="1624"/>
      <c r="P61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402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410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3" t="s">
        <v>194</v>
      </c>
      <c r="C30" s="1653"/>
      <c r="D30" s="1653"/>
      <c r="E30" s="1653"/>
      <c r="F30" s="1651">
        <v>122000</v>
      </c>
      <c r="G30" s="1652">
        <v>0</v>
      </c>
      <c r="H30" s="1651">
        <v>122000</v>
      </c>
      <c r="I30" s="1652">
        <v>0</v>
      </c>
      <c r="J30" s="1652">
        <v>0</v>
      </c>
      <c r="K30" s="1652">
        <v>0</v>
      </c>
      <c r="L30" s="1652">
        <v>0</v>
      </c>
      <c r="M30" s="1652">
        <v>0</v>
      </c>
      <c r="N30" s="1651">
        <v>122000</v>
      </c>
    </row>
    <row r="31" spans="1:14" x14ac:dyDescent="0.25">
      <c r="B31" s="1653"/>
      <c r="C31" s="1653"/>
      <c r="D31" s="1653"/>
      <c r="E31" s="1653"/>
      <c r="F31" s="1651"/>
      <c r="G31" s="1652"/>
      <c r="H31" s="1651"/>
      <c r="I31" s="1652"/>
      <c r="J31" s="1652"/>
      <c r="K31" s="1652"/>
      <c r="L31" s="1652"/>
      <c r="M31" s="1652"/>
      <c r="N31" s="1651"/>
    </row>
    <row r="36" spans="1:14" x14ac:dyDescent="0.25">
      <c r="A36" s="24" t="s">
        <v>257</v>
      </c>
      <c r="B36" s="24"/>
      <c r="C36" s="5" t="s">
        <v>258</v>
      </c>
      <c r="L36" s="1625" t="s">
        <v>196</v>
      </c>
      <c r="M36" s="1625"/>
      <c r="N36" s="162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24" t="s">
        <v>198</v>
      </c>
      <c r="M39" s="1624"/>
      <c r="N39" s="162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25" t="s">
        <v>253</v>
      </c>
      <c r="M40" s="1625"/>
      <c r="N40" s="1625"/>
    </row>
    <row r="41" spans="1:14" x14ac:dyDescent="0.25">
      <c r="A41" s="25" t="s">
        <v>263</v>
      </c>
      <c r="B41" s="25"/>
      <c r="C41" t="s">
        <v>264</v>
      </c>
      <c r="L41" s="1624" t="s">
        <v>202</v>
      </c>
      <c r="M41" s="1624"/>
      <c r="N41" s="1624"/>
    </row>
    <row r="46" spans="1:14" x14ac:dyDescent="0.25">
      <c r="A46" s="1624"/>
      <c r="B46" s="1624"/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</row>
    <row r="47" spans="1:14" x14ac:dyDescent="0.25">
      <c r="A47" s="1625"/>
      <c r="B47" s="1625"/>
      <c r="C47" s="1625"/>
      <c r="D47" s="1625"/>
      <c r="E47" s="1625"/>
      <c r="F47" s="1625"/>
      <c r="G47" s="1625"/>
      <c r="H47" s="1625"/>
      <c r="I47" s="1625"/>
      <c r="J47" s="1625"/>
      <c r="K47" s="1625"/>
      <c r="L47" s="1625"/>
      <c r="M47" s="1625"/>
      <c r="N47" s="1625"/>
    </row>
    <row r="48" spans="1:14" x14ac:dyDescent="0.25">
      <c r="A48" s="1624"/>
      <c r="B48" s="1624"/>
      <c r="C48" s="1624"/>
      <c r="D48" s="1624"/>
      <c r="E48" s="1624"/>
      <c r="F48" s="1624"/>
      <c r="G48" s="1624"/>
      <c r="H48" s="1624"/>
      <c r="I48" s="1624"/>
      <c r="J48" s="1624"/>
      <c r="K48" s="1624"/>
      <c r="L48" s="1624"/>
      <c r="M48" s="1624"/>
      <c r="N48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411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412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48" t="s">
        <v>194</v>
      </c>
      <c r="D24" s="1648"/>
      <c r="E24" s="1648"/>
      <c r="F24" s="1648"/>
      <c r="G24" s="1648"/>
      <c r="H24" s="1648"/>
      <c r="I24" s="1647">
        <f t="shared" ref="I24:Q24" si="0">SUM(I18:I23)</f>
        <v>220000</v>
      </c>
      <c r="J24" s="1649">
        <f t="shared" si="0"/>
        <v>0</v>
      </c>
      <c r="K24" s="1647">
        <f t="shared" si="0"/>
        <v>220000</v>
      </c>
      <c r="L24" s="1647">
        <f t="shared" si="0"/>
        <v>6314</v>
      </c>
      <c r="M24" s="1647">
        <f t="shared" si="0"/>
        <v>5783.34</v>
      </c>
      <c r="N24" s="1647">
        <f t="shared" si="0"/>
        <v>6688</v>
      </c>
      <c r="O24" s="1647">
        <f t="shared" si="0"/>
        <v>825</v>
      </c>
      <c r="P24" s="1647">
        <f t="shared" si="0"/>
        <v>19610.34</v>
      </c>
      <c r="Q24" s="1650">
        <f t="shared" si="0"/>
        <v>200389.65999999997</v>
      </c>
    </row>
    <row r="25" spans="2:17" x14ac:dyDescent="0.25">
      <c r="C25" s="1648"/>
      <c r="D25" s="1648"/>
      <c r="E25" s="1648"/>
      <c r="F25" s="1648"/>
      <c r="G25" s="1648"/>
      <c r="H25" s="1648"/>
      <c r="I25" s="1647"/>
      <c r="J25" s="1649"/>
      <c r="K25" s="1647"/>
      <c r="L25" s="1647"/>
      <c r="M25" s="1647"/>
      <c r="N25" s="1647"/>
      <c r="O25" s="1647"/>
      <c r="P25" s="1647"/>
      <c r="Q25" s="1650"/>
    </row>
    <row r="38" spans="3:16" x14ac:dyDescent="0.25">
      <c r="C38" s="24" t="s">
        <v>195</v>
      </c>
      <c r="D38" s="24"/>
      <c r="E38" s="5" t="s">
        <v>250</v>
      </c>
      <c r="N38" s="1625" t="s">
        <v>196</v>
      </c>
      <c r="O38" s="1625"/>
      <c r="P38" s="162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4" t="s">
        <v>198</v>
      </c>
      <c r="O41" s="1624"/>
      <c r="P41" s="162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5" t="s">
        <v>253</v>
      </c>
      <c r="O42" s="1625"/>
      <c r="P42" s="1625"/>
    </row>
    <row r="43" spans="3:16" x14ac:dyDescent="0.25">
      <c r="C43" s="25" t="s">
        <v>201</v>
      </c>
      <c r="D43" s="25"/>
      <c r="E43" t="s">
        <v>254</v>
      </c>
      <c r="N43" s="1624" t="s">
        <v>202</v>
      </c>
      <c r="O43" s="1624"/>
      <c r="P43" s="1624"/>
    </row>
    <row r="46" spans="3:16" x14ac:dyDescent="0.25">
      <c r="C46" s="1625"/>
      <c r="D46" s="1625"/>
      <c r="E46" s="1625"/>
      <c r="F46" s="1625"/>
      <c r="G46" s="1625"/>
      <c r="H46" s="1625"/>
      <c r="I46" s="1625"/>
      <c r="J46" s="1625"/>
      <c r="K46" s="1625"/>
      <c r="L46" s="1625"/>
      <c r="M46" s="1625"/>
      <c r="N46" s="1625"/>
      <c r="O46" s="1625"/>
      <c r="P46" s="1625"/>
    </row>
    <row r="49" spans="3:16" x14ac:dyDescent="0.25">
      <c r="C49" s="1624"/>
      <c r="D49" s="1624"/>
      <c r="E49" s="1624"/>
      <c r="F49" s="1624"/>
      <c r="G49" s="1624"/>
      <c r="H49" s="1624"/>
      <c r="I49" s="1624"/>
      <c r="J49" s="1624"/>
      <c r="K49" s="1624"/>
      <c r="L49" s="1624"/>
      <c r="M49" s="1624"/>
      <c r="N49" s="1624"/>
      <c r="O49" s="1624"/>
      <c r="P49" s="1624"/>
    </row>
    <row r="50" spans="3:16" x14ac:dyDescent="0.25">
      <c r="C50" s="1625"/>
      <c r="D50" s="1625"/>
      <c r="E50" s="1625"/>
      <c r="F50" s="1625"/>
      <c r="G50" s="1625"/>
      <c r="H50" s="1625"/>
      <c r="I50" s="1625"/>
      <c r="J50" s="1625"/>
      <c r="K50" s="1625"/>
      <c r="L50" s="1625"/>
      <c r="M50" s="1625"/>
      <c r="N50" s="1625"/>
      <c r="O50" s="1625"/>
      <c r="P50" s="1625"/>
    </row>
    <row r="51" spans="3:16" x14ac:dyDescent="0.25">
      <c r="C51" s="1624"/>
      <c r="D51" s="1624"/>
      <c r="E51" s="1624"/>
      <c r="F51" s="1624"/>
      <c r="G51" s="1624"/>
      <c r="H51" s="1624"/>
      <c r="I51" s="1624"/>
      <c r="J51" s="1624"/>
      <c r="K51" s="1624"/>
      <c r="L51" s="1624"/>
      <c r="M51" s="1624"/>
      <c r="N51" s="1624"/>
      <c r="O51" s="1624"/>
      <c r="P51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423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1" t="s">
        <v>105</v>
      </c>
      <c r="F43" s="1631" t="s">
        <v>110</v>
      </c>
      <c r="G43" s="163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1" t="s">
        <v>78</v>
      </c>
      <c r="F44" s="1631" t="s">
        <v>115</v>
      </c>
      <c r="G44" s="163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1" t="s">
        <v>117</v>
      </c>
      <c r="F45" s="1631" t="s">
        <v>118</v>
      </c>
      <c r="G45" s="163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1" t="s">
        <v>120</v>
      </c>
      <c r="F46" s="1631" t="s">
        <v>121</v>
      </c>
      <c r="G46" s="163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1" t="s">
        <v>49</v>
      </c>
      <c r="F47" s="1631" t="s">
        <v>123</v>
      </c>
      <c r="G47" s="163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1" t="s">
        <v>125</v>
      </c>
      <c r="F48" s="1631" t="s">
        <v>126</v>
      </c>
      <c r="G48" s="163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1" t="s">
        <v>105</v>
      </c>
      <c r="F49" s="1631" t="s">
        <v>128</v>
      </c>
      <c r="G49" s="163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1" t="s">
        <v>102</v>
      </c>
      <c r="F50" s="1631" t="s">
        <v>130</v>
      </c>
      <c r="G50" s="163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1" t="s">
        <v>132</v>
      </c>
      <c r="F51" s="1631" t="s">
        <v>133</v>
      </c>
      <c r="G51" s="163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1" t="s">
        <v>117</v>
      </c>
      <c r="F52" s="1631" t="s">
        <v>135</v>
      </c>
      <c r="G52" s="163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1" t="s">
        <v>85</v>
      </c>
      <c r="F53" s="1631" t="s">
        <v>137</v>
      </c>
      <c r="G53" s="163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1" t="s">
        <v>139</v>
      </c>
      <c r="F54" s="1631" t="s">
        <v>140</v>
      </c>
      <c r="G54" s="163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1" t="s">
        <v>148</v>
      </c>
      <c r="F55" s="1631" t="s">
        <v>149</v>
      </c>
      <c r="G55" s="163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1" t="s">
        <v>151</v>
      </c>
      <c r="F56" s="1631" t="s">
        <v>152</v>
      </c>
      <c r="G56" s="163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1" t="s">
        <v>157</v>
      </c>
      <c r="F57" s="1631" t="s">
        <v>158</v>
      </c>
      <c r="G57" s="163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1" t="s">
        <v>160</v>
      </c>
      <c r="F59" s="1631" t="s">
        <v>161</v>
      </c>
      <c r="G59" s="163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1" t="s">
        <v>163</v>
      </c>
      <c r="F60" s="1631" t="s">
        <v>164</v>
      </c>
      <c r="G60" s="163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1" t="s">
        <v>92</v>
      </c>
      <c r="F63" s="1631" t="s">
        <v>168</v>
      </c>
      <c r="G63" s="163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1" t="s">
        <v>276</v>
      </c>
      <c r="F64" s="1631" t="s">
        <v>170</v>
      </c>
      <c r="G64" s="163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1" t="s">
        <v>40</v>
      </c>
      <c r="F68" s="1631" t="s">
        <v>172</v>
      </c>
      <c r="G68" s="163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1" t="s">
        <v>92</v>
      </c>
      <c r="F73" s="1631"/>
      <c r="G73" s="163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1" t="s">
        <v>276</v>
      </c>
      <c r="F78" s="1631"/>
      <c r="G78" s="163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1" t="s">
        <v>30</v>
      </c>
      <c r="F80" s="1631" t="s">
        <v>31</v>
      </c>
      <c r="G80" s="163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1" t="s">
        <v>30</v>
      </c>
      <c r="F81" s="1631" t="s">
        <v>31</v>
      </c>
      <c r="G81" s="163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1" t="s">
        <v>92</v>
      </c>
      <c r="F88" s="1631" t="s">
        <v>176</v>
      </c>
      <c r="G88" s="163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1" t="s">
        <v>178</v>
      </c>
      <c r="F89" s="1631" t="s">
        <v>179</v>
      </c>
      <c r="G89" s="163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0" t="s">
        <v>92</v>
      </c>
      <c r="F90" s="1640" t="s">
        <v>193</v>
      </c>
      <c r="G90" s="164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41" t="s">
        <v>288</v>
      </c>
      <c r="D128" s="1641"/>
      <c r="E128" s="1641"/>
      <c r="F128" s="1641"/>
      <c r="G128" s="1641"/>
      <c r="H128" s="164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625" t="s">
        <v>196</v>
      </c>
      <c r="O131" s="1625"/>
      <c r="P131" s="162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24" t="s">
        <v>198</v>
      </c>
      <c r="O134" s="1624"/>
      <c r="P134" s="162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25" t="s">
        <v>253</v>
      </c>
      <c r="O135" s="1625"/>
      <c r="P135" s="1625"/>
    </row>
    <row r="136" spans="3:16" x14ac:dyDescent="0.25">
      <c r="C136" s="25" t="s">
        <v>201</v>
      </c>
      <c r="D136" s="25"/>
      <c r="E136" t="s">
        <v>254</v>
      </c>
      <c r="N136" s="1624" t="s">
        <v>202</v>
      </c>
      <c r="O136" s="1624"/>
      <c r="P136" s="1624"/>
    </row>
    <row r="139" spans="3:16" x14ac:dyDescent="0.25">
      <c r="C139" s="1625"/>
      <c r="D139" s="1625"/>
      <c r="E139" s="1625"/>
      <c r="F139" s="1625"/>
      <c r="G139" s="1625"/>
      <c r="H139" s="1625"/>
      <c r="I139" s="1625"/>
      <c r="J139" s="1625"/>
      <c r="K139" s="1625"/>
      <c r="L139" s="1625"/>
      <c r="M139" s="1625"/>
      <c r="N139" s="1625"/>
      <c r="O139" s="1625"/>
      <c r="P139" s="1625"/>
    </row>
    <row r="142" spans="3:16" x14ac:dyDescent="0.25">
      <c r="C142" s="1624"/>
      <c r="D142" s="1624"/>
      <c r="E142" s="1624"/>
      <c r="F142" s="1624"/>
      <c r="G142" s="1624"/>
      <c r="H142" s="1624"/>
      <c r="I142" s="1624"/>
      <c r="J142" s="1624"/>
      <c r="K142" s="1624"/>
      <c r="L142" s="1624"/>
      <c r="M142" s="1624"/>
      <c r="N142" s="1624"/>
      <c r="O142" s="1624"/>
      <c r="P142" s="1624"/>
    </row>
    <row r="143" spans="3:16" x14ac:dyDescent="0.25">
      <c r="C143" s="1625"/>
      <c r="D143" s="1625"/>
      <c r="E143" s="1625"/>
      <c r="F143" s="1625"/>
      <c r="G143" s="1625"/>
      <c r="H143" s="1625"/>
      <c r="I143" s="1625"/>
      <c r="J143" s="1625"/>
      <c r="K143" s="1625"/>
      <c r="L143" s="1625"/>
      <c r="M143" s="1625"/>
      <c r="N143" s="1625"/>
      <c r="O143" s="1625"/>
      <c r="P143" s="1625"/>
    </row>
    <row r="144" spans="3:16" x14ac:dyDescent="0.25">
      <c r="C144" s="1624"/>
      <c r="D144" s="1624"/>
      <c r="E144" s="1624"/>
      <c r="F144" s="1624"/>
      <c r="G144" s="1624"/>
      <c r="H144" s="1624"/>
      <c r="I144" s="1624"/>
      <c r="J144" s="1624"/>
      <c r="K144" s="1624"/>
      <c r="L144" s="1624"/>
      <c r="M144" s="1624"/>
      <c r="N144" s="1624"/>
      <c r="O144" s="1624"/>
      <c r="P144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439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48" t="s">
        <v>194</v>
      </c>
      <c r="D42" s="1648"/>
      <c r="E42" s="1648"/>
      <c r="F42" s="1648"/>
      <c r="G42" s="1648"/>
      <c r="H42" s="1648"/>
      <c r="I42" s="1647">
        <f>SUM(I18:I41)</f>
        <v>981500</v>
      </c>
      <c r="J42" s="1649">
        <f>SUM(J18:J41)</f>
        <v>0</v>
      </c>
      <c r="K42" s="1647">
        <v>1038000</v>
      </c>
      <c r="L42" s="1647">
        <f>SUM(L18:L41)</f>
        <v>28169.05</v>
      </c>
      <c r="M42" s="1647">
        <v>35295.4</v>
      </c>
      <c r="N42" s="1647">
        <f>SUM(N18:N41)</f>
        <v>29837.599999999999</v>
      </c>
      <c r="O42" s="1647">
        <f>SUM(O18:O41)</f>
        <v>1890.12</v>
      </c>
      <c r="P42" s="1647">
        <v>98606.32</v>
      </c>
      <c r="Q42" s="1650">
        <f>SUM(Q18:Q41)</f>
        <v>886307.82999999984</v>
      </c>
    </row>
    <row r="43" spans="2:17" x14ac:dyDescent="0.25">
      <c r="C43" s="1648"/>
      <c r="D43" s="1648"/>
      <c r="E43" s="1648"/>
      <c r="F43" s="1648"/>
      <c r="G43" s="1648"/>
      <c r="H43" s="1648"/>
      <c r="I43" s="1647"/>
      <c r="J43" s="1649"/>
      <c r="K43" s="1647"/>
      <c r="L43" s="1647"/>
      <c r="M43" s="1647"/>
      <c r="N43" s="1647"/>
      <c r="O43" s="1647"/>
      <c r="P43" s="1647"/>
      <c r="Q43" s="1650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625" t="s">
        <v>196</v>
      </c>
      <c r="O46" s="1625"/>
      <c r="P46" s="1625"/>
    </row>
    <row r="49" spans="3:16" x14ac:dyDescent="0.25">
      <c r="C49" s="25" t="s">
        <v>197</v>
      </c>
      <c r="D49" s="25"/>
      <c r="E49" t="s">
        <v>251</v>
      </c>
      <c r="N49" s="1624" t="s">
        <v>198</v>
      </c>
      <c r="O49" s="1624"/>
      <c r="P49" s="162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25" t="s">
        <v>253</v>
      </c>
      <c r="O50" s="1625"/>
      <c r="P50" s="1625"/>
    </row>
    <row r="51" spans="3:16" x14ac:dyDescent="0.25">
      <c r="C51" s="25" t="s">
        <v>201</v>
      </c>
      <c r="D51" s="25"/>
      <c r="E51" t="s">
        <v>254</v>
      </c>
      <c r="N51" s="1624" t="s">
        <v>202</v>
      </c>
      <c r="O51" s="1624"/>
      <c r="P51" s="1624"/>
    </row>
    <row r="54" spans="3:16" x14ac:dyDescent="0.25">
      <c r="C54" s="1625"/>
      <c r="D54" s="1625"/>
      <c r="E54" s="1625"/>
      <c r="F54" s="1625"/>
      <c r="G54" s="1625"/>
      <c r="H54" s="1625"/>
      <c r="I54" s="1625"/>
      <c r="J54" s="1625"/>
      <c r="K54" s="1625"/>
      <c r="L54" s="1625"/>
      <c r="M54" s="1625"/>
      <c r="N54" s="1625"/>
      <c r="O54" s="1625"/>
      <c r="P54" s="1625"/>
    </row>
    <row r="57" spans="3:16" x14ac:dyDescent="0.25">
      <c r="C57" s="1624"/>
      <c r="D57" s="1624"/>
      <c r="E57" s="1624"/>
      <c r="F57" s="1624"/>
      <c r="G57" s="1624"/>
      <c r="H57" s="1624"/>
      <c r="I57" s="1624"/>
      <c r="J57" s="1624"/>
      <c r="K57" s="1624"/>
      <c r="L57" s="1624"/>
      <c r="M57" s="1624"/>
      <c r="N57" s="1624"/>
      <c r="O57" s="1624"/>
      <c r="P57" s="1624"/>
    </row>
    <row r="58" spans="3:16" x14ac:dyDescent="0.25">
      <c r="C58" s="1625"/>
      <c r="D58" s="1625"/>
      <c r="E58" s="1625"/>
      <c r="F58" s="1625"/>
      <c r="G58" s="1625"/>
      <c r="H58" s="1625"/>
      <c r="I58" s="1625"/>
      <c r="J58" s="1625"/>
      <c r="K58" s="1625"/>
      <c r="L58" s="1625"/>
      <c r="M58" s="1625"/>
      <c r="N58" s="1625"/>
      <c r="O58" s="1625"/>
      <c r="P58" s="1625"/>
    </row>
    <row r="59" spans="3:16" x14ac:dyDescent="0.25">
      <c r="C59" s="1624"/>
      <c r="D59" s="1624"/>
      <c r="E59" s="1624"/>
      <c r="F59" s="1624"/>
      <c r="G59" s="1624"/>
      <c r="H59" s="1624"/>
      <c r="I59" s="1624"/>
      <c r="J59" s="1624"/>
      <c r="K59" s="1624"/>
      <c r="L59" s="1624"/>
      <c r="M59" s="1624"/>
      <c r="N59" s="1624"/>
      <c r="O59" s="1624"/>
      <c r="P59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440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648" t="s">
        <v>194</v>
      </c>
      <c r="D20" s="1648"/>
      <c r="E20" s="1648"/>
      <c r="F20" s="1648"/>
      <c r="G20" s="1648"/>
      <c r="H20" s="1648"/>
      <c r="I20" s="1647">
        <f>SUM(I18:I19)</f>
        <v>110000</v>
      </c>
      <c r="J20" s="1649">
        <f>SUM(J18:J19)</f>
        <v>0</v>
      </c>
      <c r="K20" s="1647">
        <v>110000</v>
      </c>
      <c r="L20" s="1647">
        <f>SUM(L18:L19)</f>
        <v>3157</v>
      </c>
      <c r="M20" s="1647">
        <v>7400.87</v>
      </c>
      <c r="N20" s="1647">
        <v>3344</v>
      </c>
      <c r="O20" s="1647">
        <f>SUM(O18:O19)</f>
        <v>50</v>
      </c>
      <c r="P20" s="1647">
        <v>13951.87</v>
      </c>
      <c r="Q20" s="1650">
        <f>SUM(Q18:Q19)</f>
        <v>96048.13</v>
      </c>
    </row>
    <row r="21" spans="2:17" x14ac:dyDescent="0.25">
      <c r="C21" s="1648"/>
      <c r="D21" s="1648"/>
      <c r="E21" s="1648"/>
      <c r="F21" s="1648"/>
      <c r="G21" s="1648"/>
      <c r="H21" s="1648"/>
      <c r="I21" s="1647"/>
      <c r="J21" s="1649"/>
      <c r="K21" s="1647"/>
      <c r="L21" s="1647"/>
      <c r="M21" s="1647"/>
      <c r="N21" s="1647"/>
      <c r="O21" s="1647"/>
      <c r="P21" s="1647"/>
      <c r="Q21" s="1650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625" t="s">
        <v>196</v>
      </c>
      <c r="O31" s="1625"/>
      <c r="P31" s="1625"/>
    </row>
    <row r="34" spans="3:16" x14ac:dyDescent="0.25">
      <c r="C34" s="25" t="s">
        <v>197</v>
      </c>
      <c r="D34" s="25"/>
      <c r="E34" t="s">
        <v>251</v>
      </c>
      <c r="N34" s="1624" t="s">
        <v>198</v>
      </c>
      <c r="O34" s="1624"/>
      <c r="P34" s="1624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625" t="s">
        <v>253</v>
      </c>
      <c r="O35" s="1625"/>
      <c r="P35" s="1625"/>
    </row>
    <row r="36" spans="3:16" x14ac:dyDescent="0.25">
      <c r="C36" s="25" t="s">
        <v>201</v>
      </c>
      <c r="D36" s="25"/>
      <c r="E36" t="s">
        <v>254</v>
      </c>
      <c r="N36" s="1624" t="s">
        <v>202</v>
      </c>
      <c r="O36" s="1624"/>
      <c r="P36" s="1624"/>
    </row>
    <row r="39" spans="3:16" x14ac:dyDescent="0.25">
      <c r="C39" s="1625"/>
      <c r="D39" s="1625"/>
      <c r="E39" s="1625"/>
      <c r="F39" s="1625"/>
      <c r="G39" s="1625"/>
      <c r="H39" s="1625"/>
      <c r="I39" s="1625"/>
      <c r="J39" s="1625"/>
      <c r="K39" s="1625"/>
      <c r="L39" s="1625"/>
      <c r="M39" s="1625"/>
      <c r="N39" s="1625"/>
      <c r="O39" s="1625"/>
      <c r="P39" s="1625"/>
    </row>
    <row r="42" spans="3:16" x14ac:dyDescent="0.25">
      <c r="C42" s="1624"/>
      <c r="D42" s="1624"/>
      <c r="E42" s="1624"/>
      <c r="F42" s="1624"/>
      <c r="G42" s="1624"/>
      <c r="H42" s="1624"/>
      <c r="I42" s="1624"/>
      <c r="J42" s="1624"/>
      <c r="K42" s="1624"/>
      <c r="L42" s="1624"/>
      <c r="M42" s="1624"/>
      <c r="N42" s="1624"/>
      <c r="O42" s="1624"/>
      <c r="P42" s="1624"/>
    </row>
    <row r="43" spans="3:16" x14ac:dyDescent="0.25">
      <c r="C43" s="1625"/>
      <c r="D43" s="1625"/>
      <c r="E43" s="1625"/>
      <c r="F43" s="1625"/>
      <c r="G43" s="1625"/>
      <c r="H43" s="1625"/>
      <c r="I43" s="1625"/>
      <c r="J43" s="1625"/>
      <c r="K43" s="1625"/>
      <c r="L43" s="1625"/>
      <c r="M43" s="1625"/>
      <c r="N43" s="1625"/>
      <c r="O43" s="1625"/>
      <c r="P43" s="1625"/>
    </row>
    <row r="44" spans="3:16" x14ac:dyDescent="0.25"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  <c r="P44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402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446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3" t="s">
        <v>194</v>
      </c>
      <c r="C30" s="1653"/>
      <c r="D30" s="1653"/>
      <c r="E30" s="1653"/>
      <c r="F30" s="1651">
        <v>122000</v>
      </c>
      <c r="G30" s="1652">
        <v>0</v>
      </c>
      <c r="H30" s="1651">
        <v>122000</v>
      </c>
      <c r="I30" s="1652">
        <v>0</v>
      </c>
      <c r="J30" s="1652">
        <v>0</v>
      </c>
      <c r="K30" s="1652">
        <v>0</v>
      </c>
      <c r="L30" s="1652">
        <v>0</v>
      </c>
      <c r="M30" s="1652">
        <v>0</v>
      </c>
      <c r="N30" s="1651">
        <v>122000</v>
      </c>
    </row>
    <row r="31" spans="1:14" x14ac:dyDescent="0.25">
      <c r="B31" s="1653"/>
      <c r="C31" s="1653"/>
      <c r="D31" s="1653"/>
      <c r="E31" s="1653"/>
      <c r="F31" s="1651"/>
      <c r="G31" s="1652"/>
      <c r="H31" s="1651"/>
      <c r="I31" s="1652"/>
      <c r="J31" s="1652"/>
      <c r="K31" s="1652"/>
      <c r="L31" s="1652"/>
      <c r="M31" s="1652"/>
      <c r="N31" s="1651"/>
    </row>
    <row r="36" spans="1:14" x14ac:dyDescent="0.25">
      <c r="A36" s="24" t="s">
        <v>257</v>
      </c>
      <c r="B36" s="24"/>
      <c r="C36" s="5" t="s">
        <v>258</v>
      </c>
      <c r="L36" s="1625" t="s">
        <v>196</v>
      </c>
      <c r="M36" s="1625"/>
      <c r="N36" s="162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24" t="s">
        <v>198</v>
      </c>
      <c r="M39" s="1624"/>
      <c r="N39" s="162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25" t="s">
        <v>253</v>
      </c>
      <c r="M40" s="1625"/>
      <c r="N40" s="1625"/>
    </row>
    <row r="41" spans="1:14" x14ac:dyDescent="0.25">
      <c r="A41" s="25" t="s">
        <v>263</v>
      </c>
      <c r="B41" s="25"/>
      <c r="C41" t="s">
        <v>264</v>
      </c>
      <c r="L41" s="1624" t="s">
        <v>202</v>
      </c>
      <c r="M41" s="1624"/>
      <c r="N41" s="1624"/>
    </row>
    <row r="46" spans="1:14" x14ac:dyDescent="0.25">
      <c r="A46" s="1624"/>
      <c r="B46" s="1624"/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</row>
    <row r="47" spans="1:14" x14ac:dyDescent="0.25">
      <c r="A47" s="1625"/>
      <c r="B47" s="1625"/>
      <c r="C47" s="1625"/>
      <c r="D47" s="1625"/>
      <c r="E47" s="1625"/>
      <c r="F47" s="1625"/>
      <c r="G47" s="1625"/>
      <c r="H47" s="1625"/>
      <c r="I47" s="1625"/>
      <c r="J47" s="1625"/>
      <c r="K47" s="1625"/>
      <c r="L47" s="1625"/>
      <c r="M47" s="1625"/>
      <c r="N47" s="1625"/>
    </row>
    <row r="48" spans="1:14" x14ac:dyDescent="0.25">
      <c r="A48" s="1624"/>
      <c r="B48" s="1624"/>
      <c r="C48" s="1624"/>
      <c r="D48" s="1624"/>
      <c r="E48" s="1624"/>
      <c r="F48" s="1624"/>
      <c r="G48" s="1624"/>
      <c r="H48" s="1624"/>
      <c r="I48" s="1624"/>
      <c r="J48" s="1624"/>
      <c r="K48" s="1624"/>
      <c r="L48" s="1624"/>
      <c r="M48" s="1624"/>
      <c r="N48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447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48" t="s">
        <v>194</v>
      </c>
      <c r="D22" s="1648"/>
      <c r="E22" s="1648"/>
      <c r="F22" s="1648"/>
      <c r="G22" s="1648"/>
      <c r="H22" s="1648"/>
      <c r="I22" s="1647">
        <f>SUM(I18:I21)</f>
        <v>155000</v>
      </c>
      <c r="J22" s="1649">
        <f>SUM(J18:J21)</f>
        <v>0</v>
      </c>
      <c r="K22" s="1647">
        <v>155000</v>
      </c>
      <c r="L22" s="1647">
        <f>SUM(L18:L21)</f>
        <v>4446.2</v>
      </c>
      <c r="M22" s="1647">
        <v>7400.87</v>
      </c>
      <c r="N22" s="1647">
        <v>4448.5</v>
      </c>
      <c r="O22" s="1647">
        <f>SUM(O18:O21)</f>
        <v>100</v>
      </c>
      <c r="P22" s="1647">
        <v>16661.37</v>
      </c>
      <c r="Q22" s="1650">
        <f>SUM(Q18:Q21)</f>
        <v>138338.63</v>
      </c>
    </row>
    <row r="23" spans="2:17" x14ac:dyDescent="0.25">
      <c r="C23" s="1648"/>
      <c r="D23" s="1648"/>
      <c r="E23" s="1648"/>
      <c r="F23" s="1648"/>
      <c r="G23" s="1648"/>
      <c r="H23" s="1648"/>
      <c r="I23" s="1647"/>
      <c r="J23" s="1649"/>
      <c r="K23" s="1647"/>
      <c r="L23" s="1647"/>
      <c r="M23" s="1647"/>
      <c r="N23" s="1647"/>
      <c r="O23" s="1647"/>
      <c r="P23" s="1647"/>
      <c r="Q23" s="1650"/>
    </row>
    <row r="33" spans="3:16" x14ac:dyDescent="0.25">
      <c r="C33" s="24" t="s">
        <v>195</v>
      </c>
      <c r="D33" s="24"/>
      <c r="E33" s="5" t="s">
        <v>250</v>
      </c>
      <c r="N33" s="1625" t="s">
        <v>196</v>
      </c>
      <c r="O33" s="1625"/>
      <c r="P33" s="162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24" t="s">
        <v>198</v>
      </c>
      <c r="O36" s="1624"/>
      <c r="P36" s="162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25" t="s">
        <v>253</v>
      </c>
      <c r="O37" s="1625"/>
      <c r="P37" s="1625"/>
    </row>
    <row r="38" spans="3:16" x14ac:dyDescent="0.25">
      <c r="C38" s="25" t="s">
        <v>201</v>
      </c>
      <c r="D38" s="25"/>
      <c r="E38" t="s">
        <v>254</v>
      </c>
      <c r="N38" s="1624" t="s">
        <v>202</v>
      </c>
      <c r="O38" s="1624"/>
      <c r="P38" s="1624"/>
    </row>
    <row r="41" spans="3:16" x14ac:dyDescent="0.25">
      <c r="C41" s="1625"/>
      <c r="D41" s="1625"/>
      <c r="E41" s="1625"/>
      <c r="F41" s="1625"/>
      <c r="G41" s="1625"/>
      <c r="H41" s="1625"/>
      <c r="I41" s="1625"/>
      <c r="J41" s="1625"/>
      <c r="K41" s="1625"/>
      <c r="L41" s="1625"/>
      <c r="M41" s="1625"/>
      <c r="N41" s="1625"/>
      <c r="O41" s="1625"/>
      <c r="P41" s="1625"/>
    </row>
    <row r="44" spans="3:16" x14ac:dyDescent="0.25"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  <c r="P44" s="1624"/>
    </row>
    <row r="45" spans="3:16" x14ac:dyDescent="0.25"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  <c r="P45" s="1625"/>
    </row>
    <row r="46" spans="3:16" x14ac:dyDescent="0.25"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  <c r="O46" s="1624"/>
      <c r="P46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451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48" t="s">
        <v>194</v>
      </c>
      <c r="D42" s="1648"/>
      <c r="E42" s="1648"/>
      <c r="F42" s="1648"/>
      <c r="G42" s="1648"/>
      <c r="H42" s="1648"/>
      <c r="I42" s="1647">
        <f>SUM(I18:I41)</f>
        <v>981500</v>
      </c>
      <c r="J42" s="1649">
        <f>SUM(J18:J41)</f>
        <v>0</v>
      </c>
      <c r="K42" s="1647">
        <v>1038000</v>
      </c>
      <c r="L42" s="1647">
        <f>SUM(L18:L41)</f>
        <v>28169.05</v>
      </c>
      <c r="M42" s="1647">
        <v>35295.4</v>
      </c>
      <c r="N42" s="1647">
        <f>SUM(N18:N41)</f>
        <v>29837.599999999999</v>
      </c>
      <c r="O42" s="1647">
        <f>SUM(O18:O41)</f>
        <v>1890.12</v>
      </c>
      <c r="P42" s="1647">
        <v>98606.32</v>
      </c>
      <c r="Q42" s="1650">
        <f>SUM(Q18:Q41)</f>
        <v>886307.82999999984</v>
      </c>
    </row>
    <row r="43" spans="2:17" x14ac:dyDescent="0.25">
      <c r="C43" s="1648"/>
      <c r="D43" s="1648"/>
      <c r="E43" s="1648"/>
      <c r="F43" s="1648"/>
      <c r="G43" s="1648"/>
      <c r="H43" s="1648"/>
      <c r="I43" s="1647"/>
      <c r="J43" s="1649"/>
      <c r="K43" s="1647"/>
      <c r="L43" s="1647"/>
      <c r="M43" s="1647"/>
      <c r="N43" s="1647"/>
      <c r="O43" s="1647"/>
      <c r="P43" s="1647"/>
      <c r="Q43" s="1650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625" t="s">
        <v>196</v>
      </c>
      <c r="O46" s="1625"/>
      <c r="P46" s="1625"/>
    </row>
    <row r="49" spans="3:16" x14ac:dyDescent="0.25">
      <c r="C49" s="25" t="s">
        <v>197</v>
      </c>
      <c r="D49" s="25"/>
      <c r="E49" t="s">
        <v>251</v>
      </c>
      <c r="N49" s="1624" t="s">
        <v>198</v>
      </c>
      <c r="O49" s="1624"/>
      <c r="P49" s="162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25" t="s">
        <v>253</v>
      </c>
      <c r="O50" s="1625"/>
      <c r="P50" s="1625"/>
    </row>
    <row r="51" spans="3:16" x14ac:dyDescent="0.25">
      <c r="C51" s="25" t="s">
        <v>201</v>
      </c>
      <c r="D51" s="25"/>
      <c r="E51" t="s">
        <v>254</v>
      </c>
      <c r="N51" s="1624" t="s">
        <v>202</v>
      </c>
      <c r="O51" s="1624"/>
      <c r="P51" s="1624"/>
    </row>
    <row r="54" spans="3:16" x14ac:dyDescent="0.25">
      <c r="C54" s="1625"/>
      <c r="D54" s="1625"/>
      <c r="E54" s="1625"/>
      <c r="F54" s="1625"/>
      <c r="G54" s="1625"/>
      <c r="H54" s="1625"/>
      <c r="I54" s="1625"/>
      <c r="J54" s="1625"/>
      <c r="K54" s="1625"/>
      <c r="L54" s="1625"/>
      <c r="M54" s="1625"/>
      <c r="N54" s="1625"/>
      <c r="O54" s="1625"/>
      <c r="P54" s="1625"/>
    </row>
    <row r="57" spans="3:16" x14ac:dyDescent="0.25">
      <c r="C57" s="1624"/>
      <c r="D57" s="1624"/>
      <c r="E57" s="1624"/>
      <c r="F57" s="1624"/>
      <c r="G57" s="1624"/>
      <c r="H57" s="1624"/>
      <c r="I57" s="1624"/>
      <c r="J57" s="1624"/>
      <c r="K57" s="1624"/>
      <c r="L57" s="1624"/>
      <c r="M57" s="1624"/>
      <c r="N57" s="1624"/>
      <c r="O57" s="1624"/>
      <c r="P57" s="1624"/>
    </row>
    <row r="58" spans="3:16" x14ac:dyDescent="0.25">
      <c r="C58" s="1625"/>
      <c r="D58" s="1625"/>
      <c r="E58" s="1625"/>
      <c r="F58" s="1625"/>
      <c r="G58" s="1625"/>
      <c r="H58" s="1625"/>
      <c r="I58" s="1625"/>
      <c r="J58" s="1625"/>
      <c r="K58" s="1625"/>
      <c r="L58" s="1625"/>
      <c r="M58" s="1625"/>
      <c r="N58" s="1625"/>
      <c r="O58" s="1625"/>
      <c r="P58" s="1625"/>
    </row>
    <row r="59" spans="3:16" x14ac:dyDescent="0.25">
      <c r="C59" s="1624"/>
      <c r="D59" s="1624"/>
      <c r="E59" s="1624"/>
      <c r="F59" s="1624"/>
      <c r="G59" s="1624"/>
      <c r="H59" s="1624"/>
      <c r="I59" s="1624"/>
      <c r="J59" s="1624"/>
      <c r="K59" s="1624"/>
      <c r="L59" s="1624"/>
      <c r="M59" s="1624"/>
      <c r="N59" s="1624"/>
      <c r="O59" s="1624"/>
      <c r="P59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453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1" t="s">
        <v>105</v>
      </c>
      <c r="F43" s="1631" t="s">
        <v>110</v>
      </c>
      <c r="G43" s="163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1" t="s">
        <v>78</v>
      </c>
      <c r="F44" s="1631" t="s">
        <v>115</v>
      </c>
      <c r="G44" s="163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1" t="s">
        <v>117</v>
      </c>
      <c r="F45" s="1631" t="s">
        <v>118</v>
      </c>
      <c r="G45" s="163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1" t="s">
        <v>120</v>
      </c>
      <c r="F46" s="1631" t="s">
        <v>121</v>
      </c>
      <c r="G46" s="163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1" t="s">
        <v>49</v>
      </c>
      <c r="F47" s="1631" t="s">
        <v>123</v>
      </c>
      <c r="G47" s="163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1" t="s">
        <v>125</v>
      </c>
      <c r="F48" s="1631" t="s">
        <v>126</v>
      </c>
      <c r="G48" s="163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1" t="s">
        <v>105</v>
      </c>
      <c r="F49" s="1631" t="s">
        <v>128</v>
      </c>
      <c r="G49" s="163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1" t="s">
        <v>102</v>
      </c>
      <c r="F50" s="1631" t="s">
        <v>130</v>
      </c>
      <c r="G50" s="163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1" t="s">
        <v>132</v>
      </c>
      <c r="F51" s="1631" t="s">
        <v>133</v>
      </c>
      <c r="G51" s="163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1" t="s">
        <v>117</v>
      </c>
      <c r="F52" s="1631" t="s">
        <v>135</v>
      </c>
      <c r="G52" s="163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1" t="s">
        <v>85</v>
      </c>
      <c r="F53" s="1631" t="s">
        <v>137</v>
      </c>
      <c r="G53" s="163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1" t="s">
        <v>139</v>
      </c>
      <c r="F54" s="1631" t="s">
        <v>140</v>
      </c>
      <c r="G54" s="163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1" t="s">
        <v>148</v>
      </c>
      <c r="F55" s="1631" t="s">
        <v>149</v>
      </c>
      <c r="G55" s="163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1" t="s">
        <v>151</v>
      </c>
      <c r="F56" s="1631" t="s">
        <v>152</v>
      </c>
      <c r="G56" s="163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1" t="s">
        <v>157</v>
      </c>
      <c r="F57" s="1631" t="s">
        <v>158</v>
      </c>
      <c r="G57" s="163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1" t="s">
        <v>160</v>
      </c>
      <c r="F59" s="1631" t="s">
        <v>161</v>
      </c>
      <c r="G59" s="163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1" t="s">
        <v>163</v>
      </c>
      <c r="F60" s="1631" t="s">
        <v>164</v>
      </c>
      <c r="G60" s="163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1" t="s">
        <v>92</v>
      </c>
      <c r="F63" s="1631" t="s">
        <v>168</v>
      </c>
      <c r="G63" s="163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1" t="s">
        <v>276</v>
      </c>
      <c r="F64" s="1631" t="s">
        <v>170</v>
      </c>
      <c r="G64" s="163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1" t="s">
        <v>40</v>
      </c>
      <c r="F68" s="1631" t="s">
        <v>172</v>
      </c>
      <c r="G68" s="163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1" t="s">
        <v>92</v>
      </c>
      <c r="F73" s="1631"/>
      <c r="G73" s="163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1" t="s">
        <v>276</v>
      </c>
      <c r="F78" s="1631"/>
      <c r="G78" s="163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1" t="s">
        <v>30</v>
      </c>
      <c r="F80" s="1631" t="s">
        <v>31</v>
      </c>
      <c r="G80" s="163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1" t="s">
        <v>30</v>
      </c>
      <c r="F81" s="1631" t="s">
        <v>31</v>
      </c>
      <c r="G81" s="163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1" t="s">
        <v>92</v>
      </c>
      <c r="F88" s="1631" t="s">
        <v>176</v>
      </c>
      <c r="G88" s="163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1" t="s">
        <v>178</v>
      </c>
      <c r="F89" s="1631" t="s">
        <v>179</v>
      </c>
      <c r="G89" s="163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0" t="s">
        <v>92</v>
      </c>
      <c r="F90" s="1640" t="s">
        <v>193</v>
      </c>
      <c r="G90" s="164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41" t="s">
        <v>288</v>
      </c>
      <c r="D128" s="1641"/>
      <c r="E128" s="1641"/>
      <c r="F128" s="1641"/>
      <c r="G128" s="1641"/>
      <c r="H128" s="164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625" t="s">
        <v>196</v>
      </c>
      <c r="O131" s="1625"/>
      <c r="P131" s="162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24" t="s">
        <v>198</v>
      </c>
      <c r="O134" s="1624"/>
      <c r="P134" s="162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25" t="s">
        <v>253</v>
      </c>
      <c r="O135" s="1625"/>
      <c r="P135" s="1625"/>
    </row>
    <row r="136" spans="3:16" x14ac:dyDescent="0.25">
      <c r="C136" s="25" t="s">
        <v>201</v>
      </c>
      <c r="D136" s="25"/>
      <c r="E136" t="s">
        <v>254</v>
      </c>
      <c r="N136" s="1624" t="s">
        <v>202</v>
      </c>
      <c r="O136" s="1624"/>
      <c r="P136" s="1624"/>
    </row>
    <row r="139" spans="3:16" x14ac:dyDescent="0.25">
      <c r="C139" s="1625"/>
      <c r="D139" s="1625"/>
      <c r="E139" s="1625"/>
      <c r="F139" s="1625"/>
      <c r="G139" s="1625"/>
      <c r="H139" s="1625"/>
      <c r="I139" s="1625"/>
      <c r="J139" s="1625"/>
      <c r="K139" s="1625"/>
      <c r="L139" s="1625"/>
      <c r="M139" s="1625"/>
      <c r="N139" s="1625"/>
      <c r="O139" s="1625"/>
      <c r="P139" s="1625"/>
    </row>
    <row r="142" spans="3:16" x14ac:dyDescent="0.25">
      <c r="C142" s="1624"/>
      <c r="D142" s="1624"/>
      <c r="E142" s="1624"/>
      <c r="F142" s="1624"/>
      <c r="G142" s="1624"/>
      <c r="H142" s="1624"/>
      <c r="I142" s="1624"/>
      <c r="J142" s="1624"/>
      <c r="K142" s="1624"/>
      <c r="L142" s="1624"/>
      <c r="M142" s="1624"/>
      <c r="N142" s="1624"/>
      <c r="O142" s="1624"/>
      <c r="P142" s="1624"/>
    </row>
    <row r="143" spans="3:16" x14ac:dyDescent="0.25">
      <c r="C143" s="1625"/>
      <c r="D143" s="1625"/>
      <c r="E143" s="1625"/>
      <c r="F143" s="1625"/>
      <c r="G143" s="1625"/>
      <c r="H143" s="1625"/>
      <c r="I143" s="1625"/>
      <c r="J143" s="1625"/>
      <c r="K143" s="1625"/>
      <c r="L143" s="1625"/>
      <c r="M143" s="1625"/>
      <c r="N143" s="1625"/>
      <c r="O143" s="1625"/>
      <c r="P143" s="1625"/>
    </row>
    <row r="144" spans="3:16" x14ac:dyDescent="0.25">
      <c r="C144" s="1624"/>
      <c r="D144" s="1624"/>
      <c r="E144" s="1624"/>
      <c r="F144" s="1624"/>
      <c r="G144" s="1624"/>
      <c r="H144" s="1624"/>
      <c r="I144" s="1624"/>
      <c r="J144" s="1624"/>
      <c r="K144" s="1624"/>
      <c r="L144" s="1624"/>
      <c r="M144" s="1624"/>
      <c r="N144" s="1624"/>
      <c r="O144" s="1624"/>
      <c r="P144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454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412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48" t="s">
        <v>194</v>
      </c>
      <c r="D24" s="1648"/>
      <c r="E24" s="1648"/>
      <c r="F24" s="1648"/>
      <c r="G24" s="1648"/>
      <c r="H24" s="1648"/>
      <c r="I24" s="1647">
        <f t="shared" ref="I24:Q24" si="0">SUM(I18:I23)</f>
        <v>220000</v>
      </c>
      <c r="J24" s="1649">
        <f t="shared" si="0"/>
        <v>0</v>
      </c>
      <c r="K24" s="1647">
        <f t="shared" si="0"/>
        <v>220000</v>
      </c>
      <c r="L24" s="1647">
        <f t="shared" si="0"/>
        <v>6314</v>
      </c>
      <c r="M24" s="1647">
        <f t="shared" si="0"/>
        <v>5783.34</v>
      </c>
      <c r="N24" s="1647">
        <f t="shared" si="0"/>
        <v>6688</v>
      </c>
      <c r="O24" s="1647">
        <f t="shared" si="0"/>
        <v>825</v>
      </c>
      <c r="P24" s="1647">
        <f t="shared" si="0"/>
        <v>19610.34</v>
      </c>
      <c r="Q24" s="1650">
        <f t="shared" si="0"/>
        <v>200389.65999999997</v>
      </c>
    </row>
    <row r="25" spans="2:17" x14ac:dyDescent="0.25">
      <c r="C25" s="1648"/>
      <c r="D25" s="1648"/>
      <c r="E25" s="1648"/>
      <c r="F25" s="1648"/>
      <c r="G25" s="1648"/>
      <c r="H25" s="1648"/>
      <c r="I25" s="1647"/>
      <c r="J25" s="1649"/>
      <c r="K25" s="1647"/>
      <c r="L25" s="1647"/>
      <c r="M25" s="1647"/>
      <c r="N25" s="1647"/>
      <c r="O25" s="1647"/>
      <c r="P25" s="1647"/>
      <c r="Q25" s="1650"/>
    </row>
    <row r="38" spans="3:16" x14ac:dyDescent="0.25">
      <c r="C38" s="24" t="s">
        <v>195</v>
      </c>
      <c r="D38" s="24"/>
      <c r="E38" s="5" t="s">
        <v>250</v>
      </c>
      <c r="N38" s="1625" t="s">
        <v>196</v>
      </c>
      <c r="O38" s="1625"/>
      <c r="P38" s="162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4" t="s">
        <v>198</v>
      </c>
      <c r="O41" s="1624"/>
      <c r="P41" s="162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5" t="s">
        <v>253</v>
      </c>
      <c r="O42" s="1625"/>
      <c r="P42" s="1625"/>
    </row>
    <row r="43" spans="3:16" x14ac:dyDescent="0.25">
      <c r="C43" s="25" t="s">
        <v>201</v>
      </c>
      <c r="D43" s="25"/>
      <c r="E43" t="s">
        <v>254</v>
      </c>
      <c r="N43" s="1624" t="s">
        <v>202</v>
      </c>
      <c r="O43" s="1624"/>
      <c r="P43" s="1624"/>
    </row>
    <row r="46" spans="3:16" x14ac:dyDescent="0.25">
      <c r="C46" s="1625"/>
      <c r="D46" s="1625"/>
      <c r="E46" s="1625"/>
      <c r="F46" s="1625"/>
      <c r="G46" s="1625"/>
      <c r="H46" s="1625"/>
      <c r="I46" s="1625"/>
      <c r="J46" s="1625"/>
      <c r="K46" s="1625"/>
      <c r="L46" s="1625"/>
      <c r="M46" s="1625"/>
      <c r="N46" s="1625"/>
      <c r="O46" s="1625"/>
      <c r="P46" s="1625"/>
    </row>
    <row r="49" spans="3:16" x14ac:dyDescent="0.25">
      <c r="C49" s="1624"/>
      <c r="D49" s="1624"/>
      <c r="E49" s="1624"/>
      <c r="F49" s="1624"/>
      <c r="G49" s="1624"/>
      <c r="H49" s="1624"/>
      <c r="I49" s="1624"/>
      <c r="J49" s="1624"/>
      <c r="K49" s="1624"/>
      <c r="L49" s="1624"/>
      <c r="M49" s="1624"/>
      <c r="N49" s="1624"/>
      <c r="O49" s="1624"/>
      <c r="P49" s="1624"/>
    </row>
    <row r="50" spans="3:16" x14ac:dyDescent="0.25">
      <c r="C50" s="1625"/>
      <c r="D50" s="1625"/>
      <c r="E50" s="1625"/>
      <c r="F50" s="1625"/>
      <c r="G50" s="1625"/>
      <c r="H50" s="1625"/>
      <c r="I50" s="1625"/>
      <c r="J50" s="1625"/>
      <c r="K50" s="1625"/>
      <c r="L50" s="1625"/>
      <c r="M50" s="1625"/>
      <c r="N50" s="1625"/>
      <c r="O50" s="1625"/>
      <c r="P50" s="1625"/>
    </row>
    <row r="51" spans="3:16" x14ac:dyDescent="0.25">
      <c r="C51" s="1624"/>
      <c r="D51" s="1624"/>
      <c r="E51" s="1624"/>
      <c r="F51" s="1624"/>
      <c r="G51" s="1624"/>
      <c r="H51" s="1624"/>
      <c r="I51" s="1624"/>
      <c r="J51" s="1624"/>
      <c r="K51" s="1624"/>
      <c r="L51" s="1624"/>
      <c r="M51" s="1624"/>
      <c r="N51" s="1624"/>
      <c r="O51" s="1624"/>
      <c r="P51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455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412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48" t="s">
        <v>194</v>
      </c>
      <c r="D24" s="1648"/>
      <c r="E24" s="1648"/>
      <c r="F24" s="1648"/>
      <c r="G24" s="1648"/>
      <c r="H24" s="1648"/>
      <c r="I24" s="1647">
        <f t="shared" ref="I24:Q24" si="0">SUM(I18:I23)</f>
        <v>220000</v>
      </c>
      <c r="J24" s="1649">
        <f t="shared" si="0"/>
        <v>0</v>
      </c>
      <c r="K24" s="1647">
        <f t="shared" si="0"/>
        <v>220000</v>
      </c>
      <c r="L24" s="1647">
        <f t="shared" si="0"/>
        <v>6314</v>
      </c>
      <c r="M24" s="1647">
        <f t="shared" si="0"/>
        <v>5783.34</v>
      </c>
      <c r="N24" s="1647">
        <f t="shared" si="0"/>
        <v>6688</v>
      </c>
      <c r="O24" s="1647">
        <f t="shared" si="0"/>
        <v>825</v>
      </c>
      <c r="P24" s="1647">
        <f t="shared" si="0"/>
        <v>19610.34</v>
      </c>
      <c r="Q24" s="1650">
        <f t="shared" si="0"/>
        <v>200389.65999999997</v>
      </c>
    </row>
    <row r="25" spans="2:17" x14ac:dyDescent="0.25">
      <c r="C25" s="1648"/>
      <c r="D25" s="1648"/>
      <c r="E25" s="1648"/>
      <c r="F25" s="1648"/>
      <c r="G25" s="1648"/>
      <c r="H25" s="1648"/>
      <c r="I25" s="1647"/>
      <c r="J25" s="1649"/>
      <c r="K25" s="1647"/>
      <c r="L25" s="1647"/>
      <c r="M25" s="1647"/>
      <c r="N25" s="1647"/>
      <c r="O25" s="1647"/>
      <c r="P25" s="1647"/>
      <c r="Q25" s="1650"/>
    </row>
    <row r="38" spans="3:16" x14ac:dyDescent="0.25">
      <c r="C38" s="24" t="s">
        <v>195</v>
      </c>
      <c r="D38" s="24"/>
      <c r="E38" s="5" t="s">
        <v>250</v>
      </c>
      <c r="N38" s="1625" t="s">
        <v>196</v>
      </c>
      <c r="O38" s="1625"/>
      <c r="P38" s="162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4" t="s">
        <v>198</v>
      </c>
      <c r="O41" s="1624"/>
      <c r="P41" s="162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5" t="s">
        <v>253</v>
      </c>
      <c r="O42" s="1625"/>
      <c r="P42" s="1625"/>
    </row>
    <row r="43" spans="3:16" x14ac:dyDescent="0.25">
      <c r="C43" s="25" t="s">
        <v>201</v>
      </c>
      <c r="D43" s="25"/>
      <c r="E43" t="s">
        <v>254</v>
      </c>
      <c r="N43" s="1624" t="s">
        <v>202</v>
      </c>
      <c r="O43" s="1624"/>
      <c r="P43" s="1624"/>
    </row>
    <row r="46" spans="3:16" x14ac:dyDescent="0.25">
      <c r="C46" s="1625"/>
      <c r="D46" s="1625"/>
      <c r="E46" s="1625"/>
      <c r="F46" s="1625"/>
      <c r="G46" s="1625"/>
      <c r="H46" s="1625"/>
      <c r="I46" s="1625"/>
      <c r="J46" s="1625"/>
      <c r="K46" s="1625"/>
      <c r="L46" s="1625"/>
      <c r="M46" s="1625"/>
      <c r="N46" s="1625"/>
      <c r="O46" s="1625"/>
      <c r="P46" s="1625"/>
    </row>
    <row r="49" spans="3:16" x14ac:dyDescent="0.25">
      <c r="C49" s="1624"/>
      <c r="D49" s="1624"/>
      <c r="E49" s="1624"/>
      <c r="F49" s="1624"/>
      <c r="G49" s="1624"/>
      <c r="H49" s="1624"/>
      <c r="I49" s="1624"/>
      <c r="J49" s="1624"/>
      <c r="K49" s="1624"/>
      <c r="L49" s="1624"/>
      <c r="M49" s="1624"/>
      <c r="N49" s="1624"/>
      <c r="O49" s="1624"/>
      <c r="P49" s="1624"/>
    </row>
    <row r="50" spans="3:16" x14ac:dyDescent="0.25">
      <c r="C50" s="1625"/>
      <c r="D50" s="1625"/>
      <c r="E50" s="1625"/>
      <c r="F50" s="1625"/>
      <c r="G50" s="1625"/>
      <c r="H50" s="1625"/>
      <c r="I50" s="1625"/>
      <c r="J50" s="1625"/>
      <c r="K50" s="1625"/>
      <c r="L50" s="1625"/>
      <c r="M50" s="1625"/>
      <c r="N50" s="1625"/>
      <c r="O50" s="1625"/>
      <c r="P50" s="1625"/>
    </row>
    <row r="51" spans="3:16" x14ac:dyDescent="0.25">
      <c r="C51" s="1624"/>
      <c r="D51" s="1624"/>
      <c r="E51" s="1624"/>
      <c r="F51" s="1624"/>
      <c r="G51" s="1624"/>
      <c r="H51" s="1624"/>
      <c r="I51" s="1624"/>
      <c r="J51" s="1624"/>
      <c r="K51" s="1624"/>
      <c r="L51" s="1624"/>
      <c r="M51" s="1624"/>
      <c r="N51" s="1624"/>
      <c r="O51" s="1624"/>
      <c r="P51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456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48" t="s">
        <v>194</v>
      </c>
      <c r="D39" s="1648"/>
      <c r="E39" s="1648"/>
      <c r="F39" s="1648"/>
      <c r="G39" s="1648"/>
      <c r="H39" s="1648"/>
      <c r="I39" s="1647">
        <f>SUM(I18:I38)</f>
        <v>891500</v>
      </c>
      <c r="J39" s="1649">
        <f>SUM(J18:J38)</f>
        <v>0</v>
      </c>
      <c r="K39" s="1647">
        <v>891500</v>
      </c>
      <c r="L39" s="1647">
        <f>SUM(L18:L38)</f>
        <v>25586.05</v>
      </c>
      <c r="M39" s="1647">
        <v>35295.4</v>
      </c>
      <c r="N39" s="1647">
        <f>SUM(N18:N38)</f>
        <v>27101.599999999999</v>
      </c>
      <c r="O39" s="1647">
        <f>SUM(O18:O38)</f>
        <v>1815.12</v>
      </c>
      <c r="P39" s="1647">
        <v>89798.17</v>
      </c>
      <c r="Q39" s="1650">
        <f>SUM(Q18:Q38)</f>
        <v>801701.82999999984</v>
      </c>
    </row>
    <row r="40" spans="2:17" x14ac:dyDescent="0.25">
      <c r="C40" s="1648"/>
      <c r="D40" s="1648"/>
      <c r="E40" s="1648"/>
      <c r="F40" s="1648"/>
      <c r="G40" s="1648"/>
      <c r="H40" s="1648"/>
      <c r="I40" s="1647"/>
      <c r="J40" s="1649"/>
      <c r="K40" s="1647"/>
      <c r="L40" s="1647"/>
      <c r="M40" s="1647"/>
      <c r="N40" s="1647"/>
      <c r="O40" s="1647"/>
      <c r="P40" s="1647"/>
      <c r="Q40" s="165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25" t="s">
        <v>196</v>
      </c>
      <c r="O43" s="1625"/>
      <c r="P43" s="162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24" t="s">
        <v>198</v>
      </c>
      <c r="O46" s="1624"/>
      <c r="P46" s="162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25" t="s">
        <v>253</v>
      </c>
      <c r="O47" s="1625"/>
      <c r="P47" s="1625"/>
    </row>
    <row r="48" spans="2:17" x14ac:dyDescent="0.25">
      <c r="C48" s="25" t="s">
        <v>201</v>
      </c>
      <c r="D48" s="25"/>
      <c r="E48" t="s">
        <v>254</v>
      </c>
      <c r="N48" s="1624" t="s">
        <v>202</v>
      </c>
      <c r="O48" s="1624"/>
      <c r="P48" s="1624"/>
    </row>
    <row r="51" spans="3:16" x14ac:dyDescent="0.25">
      <c r="C51" s="1625"/>
      <c r="D51" s="1625"/>
      <c r="E51" s="1625"/>
      <c r="F51" s="1625"/>
      <c r="G51" s="1625"/>
      <c r="H51" s="1625"/>
      <c r="I51" s="1625"/>
      <c r="J51" s="1625"/>
      <c r="K51" s="1625"/>
      <c r="L51" s="1625"/>
      <c r="M51" s="1625"/>
      <c r="N51" s="1625"/>
      <c r="O51" s="1625"/>
      <c r="P51" s="1625"/>
    </row>
    <row r="54" spans="3:16" x14ac:dyDescent="0.25">
      <c r="C54" s="1624"/>
      <c r="D54" s="1624"/>
      <c r="E54" s="1624"/>
      <c r="F54" s="1624"/>
      <c r="G54" s="1624"/>
      <c r="H54" s="1624"/>
      <c r="I54" s="1624"/>
      <c r="J54" s="1624"/>
      <c r="K54" s="1624"/>
      <c r="L54" s="1624"/>
      <c r="M54" s="1624"/>
      <c r="N54" s="1624"/>
      <c r="O54" s="1624"/>
      <c r="P54" s="1624"/>
    </row>
    <row r="55" spans="3:16" x14ac:dyDescent="0.25">
      <c r="C55" s="1625"/>
      <c r="D55" s="1625"/>
      <c r="E55" s="1625"/>
      <c r="F55" s="1625"/>
      <c r="G55" s="1625"/>
      <c r="H55" s="1625"/>
      <c r="I55" s="1625"/>
      <c r="J55" s="1625"/>
      <c r="K55" s="1625"/>
      <c r="L55" s="1625"/>
      <c r="M55" s="1625"/>
      <c r="N55" s="1625"/>
      <c r="O55" s="1625"/>
      <c r="P55" s="1625"/>
    </row>
    <row r="56" spans="3:16" x14ac:dyDescent="0.25">
      <c r="C56" s="1624"/>
      <c r="D56" s="1624"/>
      <c r="E56" s="1624"/>
      <c r="F56" s="1624"/>
      <c r="G56" s="1624"/>
      <c r="H56" s="1624"/>
      <c r="I56" s="1624"/>
      <c r="J56" s="1624"/>
      <c r="K56" s="1624"/>
      <c r="L56" s="1624"/>
      <c r="M56" s="1624"/>
      <c r="N56" s="1624"/>
      <c r="O56" s="1624"/>
      <c r="P56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402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457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3" t="s">
        <v>194</v>
      </c>
      <c r="C31" s="1653"/>
      <c r="D31" s="1653"/>
      <c r="E31" s="1653"/>
      <c r="F31" s="1651">
        <v>147000</v>
      </c>
      <c r="G31" s="1652">
        <v>0</v>
      </c>
      <c r="H31" s="1651">
        <v>147000</v>
      </c>
      <c r="I31" s="1652">
        <v>0</v>
      </c>
      <c r="J31" s="1652">
        <v>0</v>
      </c>
      <c r="K31" s="1652">
        <v>0</v>
      </c>
      <c r="L31" s="1652">
        <v>0</v>
      </c>
      <c r="M31" s="1652">
        <v>0</v>
      </c>
      <c r="N31" s="1651">
        <v>147000</v>
      </c>
    </row>
    <row r="32" spans="1:14" x14ac:dyDescent="0.25">
      <c r="B32" s="1653"/>
      <c r="C32" s="1653"/>
      <c r="D32" s="1653"/>
      <c r="E32" s="1653"/>
      <c r="F32" s="1651"/>
      <c r="G32" s="1652"/>
      <c r="H32" s="1651"/>
      <c r="I32" s="1652"/>
      <c r="J32" s="1652"/>
      <c r="K32" s="1652"/>
      <c r="L32" s="1652"/>
      <c r="M32" s="1652"/>
      <c r="N32" s="1651"/>
    </row>
    <row r="44" spans="1:14" x14ac:dyDescent="0.25">
      <c r="A44" s="24" t="s">
        <v>257</v>
      </c>
      <c r="B44" s="24"/>
      <c r="C44" s="5" t="s">
        <v>258</v>
      </c>
      <c r="L44" s="1625" t="s">
        <v>196</v>
      </c>
      <c r="M44" s="1625"/>
      <c r="N44" s="1625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624" t="s">
        <v>198</v>
      </c>
      <c r="M47" s="1624"/>
      <c r="N47" s="1624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625" t="s">
        <v>253</v>
      </c>
      <c r="M48" s="1625"/>
      <c r="N48" s="1625"/>
    </row>
    <row r="49" spans="1:14" x14ac:dyDescent="0.25">
      <c r="A49" s="25" t="s">
        <v>263</v>
      </c>
      <c r="B49" s="25"/>
      <c r="C49" t="s">
        <v>264</v>
      </c>
      <c r="L49" s="1624" t="s">
        <v>202</v>
      </c>
      <c r="M49" s="1624"/>
      <c r="N49" s="1624"/>
    </row>
    <row r="54" spans="1:14" x14ac:dyDescent="0.25">
      <c r="A54" s="1624"/>
      <c r="B54" s="1624"/>
      <c r="C54" s="1624"/>
      <c r="D54" s="1624"/>
      <c r="E54" s="1624"/>
      <c r="F54" s="1624"/>
      <c r="G54" s="1624"/>
      <c r="H54" s="1624"/>
      <c r="I54" s="1624"/>
      <c r="J54" s="1624"/>
      <c r="K54" s="1624"/>
      <c r="L54" s="1624"/>
      <c r="M54" s="1624"/>
      <c r="N54" s="1624"/>
    </row>
    <row r="55" spans="1:14" x14ac:dyDescent="0.25">
      <c r="A55" s="1625"/>
      <c r="B55" s="1625"/>
      <c r="C55" s="1625"/>
      <c r="D55" s="1625"/>
      <c r="E55" s="1625"/>
      <c r="F55" s="1625"/>
      <c r="G55" s="1625"/>
      <c r="H55" s="1625"/>
      <c r="I55" s="1625"/>
      <c r="J55" s="1625"/>
      <c r="K55" s="1625"/>
      <c r="L55" s="1625"/>
      <c r="M55" s="1625"/>
      <c r="N55" s="1625"/>
    </row>
    <row r="56" spans="1:14" x14ac:dyDescent="0.25">
      <c r="A56" s="1624"/>
      <c r="B56" s="1624"/>
      <c r="C56" s="1624"/>
      <c r="D56" s="1624"/>
      <c r="E56" s="1624"/>
      <c r="F56" s="1624"/>
      <c r="G56" s="1624"/>
      <c r="H56" s="1624"/>
      <c r="I56" s="1624"/>
      <c r="J56" s="1624"/>
      <c r="K56" s="1624"/>
      <c r="L56" s="1624"/>
      <c r="M56" s="1624"/>
      <c r="N56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460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1" t="s">
        <v>105</v>
      </c>
      <c r="F43" s="1631" t="s">
        <v>110</v>
      </c>
      <c r="G43" s="163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1" t="s">
        <v>78</v>
      </c>
      <c r="F44" s="1631" t="s">
        <v>115</v>
      </c>
      <c r="G44" s="163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1" t="s">
        <v>117</v>
      </c>
      <c r="F45" s="1631" t="s">
        <v>118</v>
      </c>
      <c r="G45" s="163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1" t="s">
        <v>120</v>
      </c>
      <c r="F46" s="1631" t="s">
        <v>121</v>
      </c>
      <c r="G46" s="163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1" t="s">
        <v>49</v>
      </c>
      <c r="F47" s="1631" t="s">
        <v>123</v>
      </c>
      <c r="G47" s="163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1" t="s">
        <v>125</v>
      </c>
      <c r="F48" s="1631" t="s">
        <v>126</v>
      </c>
      <c r="G48" s="163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1" t="s">
        <v>105</v>
      </c>
      <c r="F49" s="1631" t="s">
        <v>128</v>
      </c>
      <c r="G49" s="163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1" t="s">
        <v>102</v>
      </c>
      <c r="F50" s="1631" t="s">
        <v>130</v>
      </c>
      <c r="G50" s="163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1" t="s">
        <v>132</v>
      </c>
      <c r="F51" s="1631" t="s">
        <v>133</v>
      </c>
      <c r="G51" s="163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1" t="s">
        <v>117</v>
      </c>
      <c r="F52" s="1631" t="s">
        <v>135</v>
      </c>
      <c r="G52" s="163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1" t="s">
        <v>85</v>
      </c>
      <c r="F53" s="1631" t="s">
        <v>137</v>
      </c>
      <c r="G53" s="163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1" t="s">
        <v>139</v>
      </c>
      <c r="F54" s="1631" t="s">
        <v>140</v>
      </c>
      <c r="G54" s="163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1" t="s">
        <v>148</v>
      </c>
      <c r="F55" s="1631" t="s">
        <v>149</v>
      </c>
      <c r="G55" s="163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1" t="s">
        <v>151</v>
      </c>
      <c r="F56" s="1631" t="s">
        <v>152</v>
      </c>
      <c r="G56" s="163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1" t="s">
        <v>157</v>
      </c>
      <c r="F57" s="1631" t="s">
        <v>158</v>
      </c>
      <c r="G57" s="163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1" t="s">
        <v>160</v>
      </c>
      <c r="F59" s="1631" t="s">
        <v>161</v>
      </c>
      <c r="G59" s="163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1" t="s">
        <v>163</v>
      </c>
      <c r="F60" s="1631" t="s">
        <v>164</v>
      </c>
      <c r="G60" s="163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1" t="s">
        <v>92</v>
      </c>
      <c r="F63" s="1631" t="s">
        <v>168</v>
      </c>
      <c r="G63" s="163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1" t="s">
        <v>276</v>
      </c>
      <c r="F64" s="1631" t="s">
        <v>170</v>
      </c>
      <c r="G64" s="163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1" t="s">
        <v>40</v>
      </c>
      <c r="F68" s="1631" t="s">
        <v>172</v>
      </c>
      <c r="G68" s="163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1" t="s">
        <v>92</v>
      </c>
      <c r="F73" s="1631"/>
      <c r="G73" s="163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1" t="s">
        <v>276</v>
      </c>
      <c r="F78" s="1631"/>
      <c r="G78" s="163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1" t="s">
        <v>30</v>
      </c>
      <c r="F80" s="1631" t="s">
        <v>31</v>
      </c>
      <c r="G80" s="163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1" t="s">
        <v>30</v>
      </c>
      <c r="F81" s="1631" t="s">
        <v>31</v>
      </c>
      <c r="G81" s="163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1" t="s">
        <v>92</v>
      </c>
      <c r="F88" s="1631" t="s">
        <v>176</v>
      </c>
      <c r="G88" s="163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1" t="s">
        <v>178</v>
      </c>
      <c r="F89" s="1631" t="s">
        <v>179</v>
      </c>
      <c r="G89" s="163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0" t="s">
        <v>92</v>
      </c>
      <c r="F90" s="1640" t="s">
        <v>193</v>
      </c>
      <c r="G90" s="164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641" t="s">
        <v>288</v>
      </c>
      <c r="D131" s="1641"/>
      <c r="E131" s="1641"/>
      <c r="F131" s="1641"/>
      <c r="G131" s="1641"/>
      <c r="H131" s="1641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625" t="s">
        <v>196</v>
      </c>
      <c r="O134" s="1625"/>
      <c r="P134" s="1625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624" t="s">
        <v>198</v>
      </c>
      <c r="O137" s="1624"/>
      <c r="P137" s="1624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625" t="s">
        <v>253</v>
      </c>
      <c r="O138" s="1625"/>
      <c r="P138" s="1625"/>
    </row>
    <row r="139" spans="2:17" x14ac:dyDescent="0.25">
      <c r="C139" s="25" t="s">
        <v>201</v>
      </c>
      <c r="D139" s="25"/>
      <c r="E139" t="s">
        <v>254</v>
      </c>
      <c r="N139" s="1624" t="s">
        <v>202</v>
      </c>
      <c r="O139" s="1624"/>
      <c r="P139" s="1624"/>
    </row>
    <row r="142" spans="2:17" x14ac:dyDescent="0.25">
      <c r="C142" s="1625"/>
      <c r="D142" s="1625"/>
      <c r="E142" s="1625"/>
      <c r="F142" s="1625"/>
      <c r="G142" s="1625"/>
      <c r="H142" s="1625"/>
      <c r="I142" s="1625"/>
      <c r="J142" s="1625"/>
      <c r="K142" s="1625"/>
      <c r="L142" s="1625"/>
      <c r="M142" s="1625"/>
      <c r="N142" s="1625"/>
      <c r="O142" s="1625"/>
      <c r="P142" s="1625"/>
    </row>
    <row r="145" spans="3:16" x14ac:dyDescent="0.25">
      <c r="C145" s="1624"/>
      <c r="D145" s="1624"/>
      <c r="E145" s="1624"/>
      <c r="F145" s="1624"/>
      <c r="G145" s="1624"/>
      <c r="H145" s="1624"/>
      <c r="I145" s="1624"/>
      <c r="J145" s="1624"/>
      <c r="K145" s="1624"/>
      <c r="L145" s="1624"/>
      <c r="M145" s="1624"/>
      <c r="N145" s="1624"/>
      <c r="O145" s="1624"/>
      <c r="P145" s="1624"/>
    </row>
    <row r="146" spans="3:16" x14ac:dyDescent="0.25">
      <c r="C146" s="1625"/>
      <c r="D146" s="1625"/>
      <c r="E146" s="1625"/>
      <c r="F146" s="1625"/>
      <c r="G146" s="1625"/>
      <c r="H146" s="1625"/>
      <c r="I146" s="1625"/>
      <c r="J146" s="1625"/>
      <c r="K146" s="1625"/>
      <c r="L146" s="1625"/>
      <c r="M146" s="1625"/>
      <c r="N146" s="1625"/>
      <c r="O146" s="1625"/>
      <c r="P146" s="1625"/>
    </row>
    <row r="147" spans="3:16" x14ac:dyDescent="0.25">
      <c r="C147" s="1624"/>
      <c r="D147" s="1624"/>
      <c r="E147" s="1624"/>
      <c r="F147" s="1624"/>
      <c r="G147" s="1624"/>
      <c r="H147" s="1624"/>
      <c r="I147" s="1624"/>
      <c r="J147" s="1624"/>
      <c r="K147" s="1624"/>
      <c r="L147" s="1624"/>
      <c r="M147" s="1624"/>
      <c r="N147" s="1624"/>
      <c r="O147" s="1624"/>
      <c r="P147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463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1" t="s">
        <v>78</v>
      </c>
      <c r="F43" s="1631" t="s">
        <v>115</v>
      </c>
      <c r="G43" s="163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1" t="s">
        <v>117</v>
      </c>
      <c r="F44" s="1631" t="s">
        <v>118</v>
      </c>
      <c r="G44" s="163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1" t="s">
        <v>120</v>
      </c>
      <c r="F45" s="1631" t="s">
        <v>121</v>
      </c>
      <c r="G45" s="163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1" t="s">
        <v>49</v>
      </c>
      <c r="F46" s="1631" t="s">
        <v>123</v>
      </c>
      <c r="G46" s="163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1" t="s">
        <v>125</v>
      </c>
      <c r="F47" s="1631" t="s">
        <v>126</v>
      </c>
      <c r="G47" s="163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1" t="s">
        <v>105</v>
      </c>
      <c r="F48" s="1631" t="s">
        <v>128</v>
      </c>
      <c r="G48" s="163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1" t="s">
        <v>102</v>
      </c>
      <c r="F49" s="1631" t="s">
        <v>130</v>
      </c>
      <c r="G49" s="163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1" t="s">
        <v>132</v>
      </c>
      <c r="F50" s="1631" t="s">
        <v>133</v>
      </c>
      <c r="G50" s="163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1" t="s">
        <v>117</v>
      </c>
      <c r="F51" s="1631" t="s">
        <v>135</v>
      </c>
      <c r="G51" s="163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1" t="s">
        <v>85</v>
      </c>
      <c r="F52" s="1631" t="s">
        <v>137</v>
      </c>
      <c r="G52" s="163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1" t="s">
        <v>139</v>
      </c>
      <c r="F53" s="1631" t="s">
        <v>140</v>
      </c>
      <c r="G53" s="163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1" t="s">
        <v>148</v>
      </c>
      <c r="F54" s="1631" t="s">
        <v>149</v>
      </c>
      <c r="G54" s="163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1" t="s">
        <v>151</v>
      </c>
      <c r="F55" s="1631" t="s">
        <v>152</v>
      </c>
      <c r="G55" s="163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1" t="s">
        <v>157</v>
      </c>
      <c r="F56" s="1631" t="s">
        <v>158</v>
      </c>
      <c r="G56" s="163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1" t="s">
        <v>160</v>
      </c>
      <c r="F58" s="1631" t="s">
        <v>161</v>
      </c>
      <c r="G58" s="163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1" t="s">
        <v>163</v>
      </c>
      <c r="F59" s="1631" t="s">
        <v>164</v>
      </c>
      <c r="G59" s="163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1" t="s">
        <v>92</v>
      </c>
      <c r="F62" s="1631" t="s">
        <v>168</v>
      </c>
      <c r="G62" s="163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1" t="s">
        <v>276</v>
      </c>
      <c r="F63" s="1631" t="s">
        <v>170</v>
      </c>
      <c r="G63" s="163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1" t="s">
        <v>40</v>
      </c>
      <c r="F67" s="1631" t="s">
        <v>172</v>
      </c>
      <c r="G67" s="163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1" t="s">
        <v>92</v>
      </c>
      <c r="F72" s="1631"/>
      <c r="G72" s="163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1" t="s">
        <v>276</v>
      </c>
      <c r="F77" s="1631"/>
      <c r="G77" s="163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1" t="s">
        <v>30</v>
      </c>
      <c r="F78" s="1631" t="s">
        <v>31</v>
      </c>
      <c r="G78" s="163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1" t="s">
        <v>30</v>
      </c>
      <c r="F80" s="1631" t="s">
        <v>31</v>
      </c>
      <c r="G80" s="163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1" t="s">
        <v>92</v>
      </c>
      <c r="F87" s="1631" t="s">
        <v>176</v>
      </c>
      <c r="G87" s="163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1" t="s">
        <v>178</v>
      </c>
      <c r="F88" s="1631" t="s">
        <v>179</v>
      </c>
      <c r="G88" s="163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0" t="s">
        <v>92</v>
      </c>
      <c r="F89" s="1640" t="s">
        <v>193</v>
      </c>
      <c r="G89" s="164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41" t="s">
        <v>288</v>
      </c>
      <c r="D132" s="1641"/>
      <c r="E132" s="1641"/>
      <c r="F132" s="1641"/>
      <c r="G132" s="1641"/>
      <c r="H132" s="164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25" t="s">
        <v>196</v>
      </c>
      <c r="O135" s="1625"/>
      <c r="P135" s="162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24" t="s">
        <v>198</v>
      </c>
      <c r="O138" s="1624"/>
      <c r="P138" s="162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25" t="s">
        <v>253</v>
      </c>
      <c r="O139" s="1625"/>
      <c r="P139" s="1625"/>
    </row>
    <row r="140" spans="2:17" x14ac:dyDescent="0.25">
      <c r="C140" s="25" t="s">
        <v>201</v>
      </c>
      <c r="D140" s="25"/>
      <c r="E140" t="s">
        <v>254</v>
      </c>
      <c r="N140" s="1624" t="s">
        <v>202</v>
      </c>
      <c r="O140" s="1624"/>
      <c r="P140" s="1624"/>
    </row>
    <row r="143" spans="2:17" x14ac:dyDescent="0.25">
      <c r="C143" s="1625"/>
      <c r="D143" s="1625"/>
      <c r="E143" s="1625"/>
      <c r="F143" s="1625"/>
      <c r="G143" s="1625"/>
      <c r="H143" s="1625"/>
      <c r="I143" s="1625"/>
      <c r="J143" s="1625"/>
      <c r="K143" s="1625"/>
      <c r="L143" s="1625"/>
      <c r="M143" s="1625"/>
      <c r="N143" s="1625"/>
      <c r="O143" s="1625"/>
      <c r="P143" s="1625"/>
    </row>
    <row r="146" spans="3:16" x14ac:dyDescent="0.25">
      <c r="C146" s="1624"/>
      <c r="D146" s="1624"/>
      <c r="E146" s="1624"/>
      <c r="F146" s="1624"/>
      <c r="G146" s="1624"/>
      <c r="H146" s="1624"/>
      <c r="I146" s="1624"/>
      <c r="J146" s="1624"/>
      <c r="K146" s="1624"/>
      <c r="L146" s="1624"/>
      <c r="M146" s="1624"/>
      <c r="N146" s="1624"/>
      <c r="O146" s="1624"/>
      <c r="P146" s="1624"/>
    </row>
    <row r="147" spans="3:16" x14ac:dyDescent="0.25">
      <c r="C147" s="1625"/>
      <c r="D147" s="1625"/>
      <c r="E147" s="1625"/>
      <c r="F147" s="1625"/>
      <c r="G147" s="1625"/>
      <c r="H147" s="1625"/>
      <c r="I147" s="1625"/>
      <c r="J147" s="1625"/>
      <c r="K147" s="1625"/>
      <c r="L147" s="1625"/>
      <c r="M147" s="1625"/>
      <c r="N147" s="1625"/>
      <c r="O147" s="1625"/>
      <c r="P147" s="1625"/>
    </row>
    <row r="148" spans="3:16" x14ac:dyDescent="0.25">
      <c r="C148" s="1624"/>
      <c r="D148" s="1624"/>
      <c r="E148" s="1624"/>
      <c r="F148" s="1624"/>
      <c r="G148" s="1624"/>
      <c r="H148" s="1624"/>
      <c r="I148" s="1624"/>
      <c r="J148" s="1624"/>
      <c r="K148" s="1624"/>
      <c r="L148" s="1624"/>
      <c r="M148" s="1624"/>
      <c r="N148" s="1624"/>
      <c r="O148" s="1624"/>
      <c r="P148" s="162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402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465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3" t="s">
        <v>194</v>
      </c>
      <c r="C31" s="1653"/>
      <c r="D31" s="1653"/>
      <c r="E31" s="1653"/>
      <c r="F31" s="1651">
        <v>147000</v>
      </c>
      <c r="G31" s="1652">
        <v>0</v>
      </c>
      <c r="H31" s="1651">
        <v>147000</v>
      </c>
      <c r="I31" s="1652">
        <v>0</v>
      </c>
      <c r="J31" s="1652">
        <v>0</v>
      </c>
      <c r="K31" s="1652">
        <v>0</v>
      </c>
      <c r="L31" s="1652">
        <v>0</v>
      </c>
      <c r="M31" s="1652">
        <v>0</v>
      </c>
      <c r="N31" s="1651">
        <v>147000</v>
      </c>
    </row>
    <row r="32" spans="1:14" x14ac:dyDescent="0.25">
      <c r="B32" s="1653"/>
      <c r="C32" s="1653"/>
      <c r="D32" s="1653"/>
      <c r="E32" s="1653"/>
      <c r="F32" s="1651"/>
      <c r="G32" s="1652"/>
      <c r="H32" s="1651"/>
      <c r="I32" s="1652"/>
      <c r="J32" s="1652"/>
      <c r="K32" s="1652"/>
      <c r="L32" s="1652"/>
      <c r="M32" s="1652"/>
      <c r="N32" s="1651"/>
    </row>
    <row r="42" spans="1:14" x14ac:dyDescent="0.25">
      <c r="A42" s="24" t="s">
        <v>257</v>
      </c>
      <c r="B42" s="24"/>
      <c r="C42" s="5" t="s">
        <v>258</v>
      </c>
      <c r="L42" s="1625" t="s">
        <v>196</v>
      </c>
      <c r="M42" s="1625"/>
      <c r="N42" s="162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4" t="s">
        <v>198</v>
      </c>
      <c r="M45" s="1624"/>
      <c r="N45" s="162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5" t="s">
        <v>253</v>
      </c>
      <c r="M46" s="1625"/>
      <c r="N46" s="1625"/>
    </row>
    <row r="47" spans="1:14" x14ac:dyDescent="0.25">
      <c r="A47" s="25" t="s">
        <v>263</v>
      </c>
      <c r="B47" s="25"/>
      <c r="C47" t="s">
        <v>264</v>
      </c>
      <c r="L47" s="1624" t="s">
        <v>202</v>
      </c>
      <c r="M47" s="1624"/>
      <c r="N47" s="1624"/>
    </row>
    <row r="52" spans="1:14" x14ac:dyDescent="0.25">
      <c r="A52" s="1624"/>
      <c r="B52" s="1624"/>
      <c r="C52" s="1624"/>
      <c r="D52" s="1624"/>
      <c r="E52" s="1624"/>
      <c r="F52" s="1624"/>
      <c r="G52" s="1624"/>
      <c r="H52" s="1624"/>
      <c r="I52" s="1624"/>
      <c r="J52" s="1624"/>
      <c r="K52" s="1624"/>
      <c r="L52" s="1624"/>
      <c r="M52" s="1624"/>
      <c r="N52" s="1624"/>
    </row>
    <row r="53" spans="1:14" x14ac:dyDescent="0.25">
      <c r="A53" s="1625"/>
      <c r="B53" s="1625"/>
      <c r="C53" s="1625"/>
      <c r="D53" s="1625"/>
      <c r="E53" s="1625"/>
      <c r="F53" s="1625"/>
      <c r="G53" s="1625"/>
      <c r="H53" s="1625"/>
      <c r="I53" s="1625"/>
      <c r="J53" s="1625"/>
      <c r="K53" s="1625"/>
      <c r="L53" s="1625"/>
      <c r="M53" s="1625"/>
      <c r="N53" s="1625"/>
    </row>
    <row r="54" spans="1:14" x14ac:dyDescent="0.25">
      <c r="A54" s="1624"/>
      <c r="B54" s="1624"/>
      <c r="C54" s="1624"/>
      <c r="D54" s="1624"/>
      <c r="E54" s="1624"/>
      <c r="F54" s="1624"/>
      <c r="G54" s="1624"/>
      <c r="H54" s="1624"/>
      <c r="I54" s="1624"/>
      <c r="J54" s="1624"/>
      <c r="K54" s="1624"/>
      <c r="L54" s="1624"/>
      <c r="M54" s="1624"/>
      <c r="N54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466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48" t="s">
        <v>194</v>
      </c>
      <c r="D39" s="1648"/>
      <c r="E39" s="1648"/>
      <c r="F39" s="1648"/>
      <c r="G39" s="1648"/>
      <c r="H39" s="1648"/>
      <c r="I39" s="1647">
        <f>SUM(I18:I38)</f>
        <v>891500</v>
      </c>
      <c r="J39" s="1649">
        <f>SUM(J18:J38)</f>
        <v>0</v>
      </c>
      <c r="K39" s="1647">
        <v>891500</v>
      </c>
      <c r="L39" s="1647">
        <f>SUM(L18:L38)</f>
        <v>25586.05</v>
      </c>
      <c r="M39" s="1647">
        <v>35295.4</v>
      </c>
      <c r="N39" s="1647">
        <f>SUM(N18:N38)</f>
        <v>27101.599999999999</v>
      </c>
      <c r="O39" s="1647">
        <f>SUM(O18:O38)</f>
        <v>1815.12</v>
      </c>
      <c r="P39" s="1647">
        <v>89798.17</v>
      </c>
      <c r="Q39" s="1650">
        <f>SUM(Q18:Q38)</f>
        <v>801701.82999999984</v>
      </c>
    </row>
    <row r="40" spans="2:17" x14ac:dyDescent="0.25">
      <c r="C40" s="1648"/>
      <c r="D40" s="1648"/>
      <c r="E40" s="1648"/>
      <c r="F40" s="1648"/>
      <c r="G40" s="1648"/>
      <c r="H40" s="1648"/>
      <c r="I40" s="1647"/>
      <c r="J40" s="1649"/>
      <c r="K40" s="1647"/>
      <c r="L40" s="1647"/>
      <c r="M40" s="1647"/>
      <c r="N40" s="1647"/>
      <c r="O40" s="1647"/>
      <c r="P40" s="1647"/>
      <c r="Q40" s="165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25" t="s">
        <v>196</v>
      </c>
      <c r="O43" s="1625"/>
      <c r="P43" s="162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24" t="s">
        <v>198</v>
      </c>
      <c r="O46" s="1624"/>
      <c r="P46" s="162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25" t="s">
        <v>253</v>
      </c>
      <c r="O47" s="1625"/>
      <c r="P47" s="1625"/>
    </row>
    <row r="48" spans="2:17" x14ac:dyDescent="0.25">
      <c r="C48" s="25" t="s">
        <v>201</v>
      </c>
      <c r="D48" s="25"/>
      <c r="E48" t="s">
        <v>254</v>
      </c>
      <c r="N48" s="1624" t="s">
        <v>202</v>
      </c>
      <c r="O48" s="1624"/>
      <c r="P48" s="1624"/>
    </row>
    <row r="51" spans="3:16" x14ac:dyDescent="0.25">
      <c r="C51" s="1625"/>
      <c r="D51" s="1625"/>
      <c r="E51" s="1625"/>
      <c r="F51" s="1625"/>
      <c r="G51" s="1625"/>
      <c r="H51" s="1625"/>
      <c r="I51" s="1625"/>
      <c r="J51" s="1625"/>
      <c r="K51" s="1625"/>
      <c r="L51" s="1625"/>
      <c r="M51" s="1625"/>
      <c r="N51" s="1625"/>
      <c r="O51" s="1625"/>
      <c r="P51" s="1625"/>
    </row>
    <row r="54" spans="3:16" x14ac:dyDescent="0.25">
      <c r="C54" s="1624"/>
      <c r="D54" s="1624"/>
      <c r="E54" s="1624"/>
      <c r="F54" s="1624"/>
      <c r="G54" s="1624"/>
      <c r="H54" s="1624"/>
      <c r="I54" s="1624"/>
      <c r="J54" s="1624"/>
      <c r="K54" s="1624"/>
      <c r="L54" s="1624"/>
      <c r="M54" s="1624"/>
      <c r="N54" s="1624"/>
      <c r="O54" s="1624"/>
      <c r="P54" s="1624"/>
    </row>
    <row r="55" spans="3:16" x14ac:dyDescent="0.25">
      <c r="C55" s="1625"/>
      <c r="D55" s="1625"/>
      <c r="E55" s="1625"/>
      <c r="F55" s="1625"/>
      <c r="G55" s="1625"/>
      <c r="H55" s="1625"/>
      <c r="I55" s="1625"/>
      <c r="J55" s="1625"/>
      <c r="K55" s="1625"/>
      <c r="L55" s="1625"/>
      <c r="M55" s="1625"/>
      <c r="N55" s="1625"/>
      <c r="O55" s="1625"/>
      <c r="P55" s="1625"/>
    </row>
    <row r="56" spans="3:16" x14ac:dyDescent="0.25">
      <c r="C56" s="1624"/>
      <c r="D56" s="1624"/>
      <c r="E56" s="1624"/>
      <c r="F56" s="1624"/>
      <c r="G56" s="1624"/>
      <c r="H56" s="1624"/>
      <c r="I56" s="1624"/>
      <c r="J56" s="1624"/>
      <c r="K56" s="1624"/>
      <c r="L56" s="1624"/>
      <c r="M56" s="1624"/>
      <c r="N56" s="1624"/>
      <c r="O56" s="1624"/>
      <c r="P56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467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412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48" t="s">
        <v>194</v>
      </c>
      <c r="D23" s="1648"/>
      <c r="E23" s="1648"/>
      <c r="F23" s="1648"/>
      <c r="G23" s="1648"/>
      <c r="H23" s="1648"/>
      <c r="I23" s="1647">
        <f t="shared" ref="I23:Q23" si="0">SUM(I18:I22)</f>
        <v>203500</v>
      </c>
      <c r="J23" s="1649">
        <f t="shared" si="0"/>
        <v>0</v>
      </c>
      <c r="K23" s="1647">
        <f t="shared" si="0"/>
        <v>203500</v>
      </c>
      <c r="L23" s="1647">
        <f t="shared" si="0"/>
        <v>5840.45</v>
      </c>
      <c r="M23" s="1647">
        <f t="shared" si="0"/>
        <v>5783.34</v>
      </c>
      <c r="N23" s="1647">
        <f t="shared" si="0"/>
        <v>6186.4</v>
      </c>
      <c r="O23" s="1647">
        <f t="shared" si="0"/>
        <v>125</v>
      </c>
      <c r="P23" s="1647">
        <f t="shared" si="0"/>
        <v>17935.190000000002</v>
      </c>
      <c r="Q23" s="1650">
        <f t="shared" si="0"/>
        <v>185564.81</v>
      </c>
    </row>
    <row r="24" spans="2:17" x14ac:dyDescent="0.25">
      <c r="C24" s="1648"/>
      <c r="D24" s="1648"/>
      <c r="E24" s="1648"/>
      <c r="F24" s="1648"/>
      <c r="G24" s="1648"/>
      <c r="H24" s="1648"/>
      <c r="I24" s="1647"/>
      <c r="J24" s="1649"/>
      <c r="K24" s="1647"/>
      <c r="L24" s="1647"/>
      <c r="M24" s="1647"/>
      <c r="N24" s="1647"/>
      <c r="O24" s="1647"/>
      <c r="P24" s="1647"/>
      <c r="Q24" s="1650"/>
    </row>
    <row r="37" spans="3:16" x14ac:dyDescent="0.25">
      <c r="C37" s="24" t="s">
        <v>195</v>
      </c>
      <c r="D37" s="24"/>
      <c r="E37" s="5" t="s">
        <v>250</v>
      </c>
      <c r="N37" s="1625" t="s">
        <v>196</v>
      </c>
      <c r="O37" s="1625"/>
      <c r="P37" s="162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4" t="s">
        <v>198</v>
      </c>
      <c r="O40" s="1624"/>
      <c r="P40" s="162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5" t="s">
        <v>253</v>
      </c>
      <c r="O41" s="1625"/>
      <c r="P41" s="1625"/>
    </row>
    <row r="42" spans="3:16" x14ac:dyDescent="0.25">
      <c r="C42" s="25" t="s">
        <v>201</v>
      </c>
      <c r="D42" s="25"/>
      <c r="E42" t="s">
        <v>254</v>
      </c>
      <c r="N42" s="1624" t="s">
        <v>202</v>
      </c>
      <c r="O42" s="1624"/>
      <c r="P42" s="1624"/>
    </row>
    <row r="45" spans="3:16" x14ac:dyDescent="0.25"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  <c r="P45" s="1625"/>
    </row>
    <row r="48" spans="3:16" x14ac:dyDescent="0.25">
      <c r="C48" s="1624"/>
      <c r="D48" s="1624"/>
      <c r="E48" s="1624"/>
      <c r="F48" s="1624"/>
      <c r="G48" s="1624"/>
      <c r="H48" s="1624"/>
      <c r="I48" s="1624"/>
      <c r="J48" s="1624"/>
      <c r="K48" s="1624"/>
      <c r="L48" s="1624"/>
      <c r="M48" s="1624"/>
      <c r="N48" s="1624"/>
      <c r="O48" s="1624"/>
      <c r="P48" s="1624"/>
    </row>
    <row r="49" spans="3:16" x14ac:dyDescent="0.25">
      <c r="C49" s="1625"/>
      <c r="D49" s="1625"/>
      <c r="E49" s="1625"/>
      <c r="F49" s="1625"/>
      <c r="G49" s="1625"/>
      <c r="H49" s="1625"/>
      <c r="I49" s="1625"/>
      <c r="J49" s="1625"/>
      <c r="K49" s="1625"/>
      <c r="L49" s="1625"/>
      <c r="M49" s="1625"/>
      <c r="N49" s="1625"/>
      <c r="O49" s="1625"/>
      <c r="P49" s="1625"/>
    </row>
    <row r="50" spans="3:16" x14ac:dyDescent="0.25">
      <c r="C50" s="1624"/>
      <c r="D50" s="1624"/>
      <c r="E50" s="1624"/>
      <c r="F50" s="1624"/>
      <c r="G50" s="1624"/>
      <c r="H50" s="1624"/>
      <c r="I50" s="1624"/>
      <c r="J50" s="1624"/>
      <c r="K50" s="1624"/>
      <c r="L50" s="1624"/>
      <c r="M50" s="1624"/>
      <c r="N50" s="1624"/>
      <c r="O50" s="1624"/>
      <c r="P50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468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48" t="s">
        <v>194</v>
      </c>
      <c r="D22" s="1648"/>
      <c r="E22" s="1648"/>
      <c r="F22" s="1648"/>
      <c r="G22" s="1648"/>
      <c r="H22" s="1648"/>
      <c r="I22" s="1647">
        <f>SUM(I18:I21)</f>
        <v>155000</v>
      </c>
      <c r="J22" s="1649">
        <f>SUM(J18:J21)</f>
        <v>0</v>
      </c>
      <c r="K22" s="1647">
        <v>155000</v>
      </c>
      <c r="L22" s="1647">
        <v>4448.5</v>
      </c>
      <c r="M22" s="1647">
        <v>7400.87</v>
      </c>
      <c r="N22" s="1647">
        <v>4712</v>
      </c>
      <c r="O22" s="1647">
        <f>SUM(O18:O21)</f>
        <v>100</v>
      </c>
      <c r="P22" s="1647">
        <v>16661.37</v>
      </c>
      <c r="Q22" s="1650">
        <f>SUM(Q18:Q21)</f>
        <v>138338.63</v>
      </c>
    </row>
    <row r="23" spans="2:17" x14ac:dyDescent="0.25">
      <c r="C23" s="1648"/>
      <c r="D23" s="1648"/>
      <c r="E23" s="1648"/>
      <c r="F23" s="1648"/>
      <c r="G23" s="1648"/>
      <c r="H23" s="1648"/>
      <c r="I23" s="1647"/>
      <c r="J23" s="1649"/>
      <c r="K23" s="1647"/>
      <c r="L23" s="1647"/>
      <c r="M23" s="1647"/>
      <c r="N23" s="1647"/>
      <c r="O23" s="1647"/>
      <c r="P23" s="1647"/>
      <c r="Q23" s="1650"/>
    </row>
    <row r="33" spans="3:16" x14ac:dyDescent="0.25">
      <c r="C33" s="24" t="s">
        <v>195</v>
      </c>
      <c r="D33" s="24"/>
      <c r="E33" s="5" t="s">
        <v>250</v>
      </c>
      <c r="N33" s="1625" t="s">
        <v>196</v>
      </c>
      <c r="O33" s="1625"/>
      <c r="P33" s="162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24" t="s">
        <v>198</v>
      </c>
      <c r="O36" s="1624"/>
      <c r="P36" s="162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25" t="s">
        <v>253</v>
      </c>
      <c r="O37" s="1625"/>
      <c r="P37" s="1625"/>
    </row>
    <row r="38" spans="3:16" x14ac:dyDescent="0.25">
      <c r="C38" s="25" t="s">
        <v>201</v>
      </c>
      <c r="D38" s="25"/>
      <c r="E38" t="s">
        <v>254</v>
      </c>
      <c r="N38" s="1624" t="s">
        <v>202</v>
      </c>
      <c r="O38" s="1624"/>
      <c r="P38" s="1624"/>
    </row>
    <row r="41" spans="3:16" x14ac:dyDescent="0.25">
      <c r="C41" s="1625"/>
      <c r="D41" s="1625"/>
      <c r="E41" s="1625"/>
      <c r="F41" s="1625"/>
      <c r="G41" s="1625"/>
      <c r="H41" s="1625"/>
      <c r="I41" s="1625"/>
      <c r="J41" s="1625"/>
      <c r="K41" s="1625"/>
      <c r="L41" s="1625"/>
      <c r="M41" s="1625"/>
      <c r="N41" s="1625"/>
      <c r="O41" s="1625"/>
      <c r="P41" s="1625"/>
    </row>
    <row r="44" spans="3:16" x14ac:dyDescent="0.25"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  <c r="P44" s="1624"/>
    </row>
    <row r="45" spans="3:16" x14ac:dyDescent="0.25"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  <c r="P45" s="1625"/>
    </row>
    <row r="46" spans="3:16" x14ac:dyDescent="0.25"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  <c r="O46" s="1624"/>
      <c r="P46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469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48" t="s">
        <v>194</v>
      </c>
      <c r="D21" s="1648"/>
      <c r="E21" s="1648"/>
      <c r="F21" s="1648"/>
      <c r="G21" s="1648"/>
      <c r="H21" s="1648"/>
      <c r="I21" s="1647">
        <f>SUM(I18:I20)</f>
        <v>125000</v>
      </c>
      <c r="J21" s="1649">
        <f>SUM(J18:J20)</f>
        <v>0</v>
      </c>
      <c r="K21" s="1647">
        <v>125000</v>
      </c>
      <c r="L21" s="1647">
        <v>3587.5</v>
      </c>
      <c r="M21" s="1647">
        <v>7400.87</v>
      </c>
      <c r="N21" s="1647">
        <v>3800</v>
      </c>
      <c r="O21" s="1647">
        <f>SUM(O18:O20)</f>
        <v>75</v>
      </c>
      <c r="P21" s="1647">
        <v>14863.37</v>
      </c>
      <c r="Q21" s="1650">
        <f>SUM(Q18:Q20)</f>
        <v>110136.63</v>
      </c>
    </row>
    <row r="22" spans="2:17" x14ac:dyDescent="0.25">
      <c r="C22" s="1648"/>
      <c r="D22" s="1648"/>
      <c r="E22" s="1648"/>
      <c r="F22" s="1648"/>
      <c r="G22" s="1648"/>
      <c r="H22" s="1648"/>
      <c r="I22" s="1647"/>
      <c r="J22" s="1649"/>
      <c r="K22" s="1647"/>
      <c r="L22" s="1647"/>
      <c r="M22" s="1647"/>
      <c r="N22" s="1647"/>
      <c r="O22" s="1647"/>
      <c r="P22" s="1647"/>
      <c r="Q22" s="165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5" t="s">
        <v>196</v>
      </c>
      <c r="O32" s="1625"/>
      <c r="P32" s="1625"/>
    </row>
    <row r="35" spans="3:16" x14ac:dyDescent="0.25">
      <c r="C35" s="25" t="s">
        <v>197</v>
      </c>
      <c r="D35" s="25"/>
      <c r="E35" t="s">
        <v>251</v>
      </c>
      <c r="N35" s="1624" t="s">
        <v>198</v>
      </c>
      <c r="O35" s="1624"/>
      <c r="P35" s="162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5" t="s">
        <v>253</v>
      </c>
      <c r="O36" s="1625"/>
      <c r="P36" s="1625"/>
    </row>
    <row r="37" spans="3:16" x14ac:dyDescent="0.25">
      <c r="C37" s="25" t="s">
        <v>201</v>
      </c>
      <c r="D37" s="25"/>
      <c r="E37" t="s">
        <v>254</v>
      </c>
      <c r="N37" s="1624" t="s">
        <v>202</v>
      </c>
      <c r="O37" s="1624"/>
      <c r="P37" s="1624"/>
    </row>
    <row r="40" spans="3:16" x14ac:dyDescent="0.25">
      <c r="C40" s="1625"/>
      <c r="D40" s="1625"/>
      <c r="E40" s="1625"/>
      <c r="F40" s="1625"/>
      <c r="G40" s="1625"/>
      <c r="H40" s="1625"/>
      <c r="I40" s="1625"/>
      <c r="J40" s="1625"/>
      <c r="K40" s="1625"/>
      <c r="L40" s="1625"/>
      <c r="M40" s="1625"/>
      <c r="N40" s="1625"/>
      <c r="O40" s="1625"/>
      <c r="P40" s="1625"/>
    </row>
    <row r="43" spans="3:16" x14ac:dyDescent="0.25"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  <c r="O43" s="1624"/>
      <c r="P43" s="1624"/>
    </row>
    <row r="44" spans="3:16" x14ac:dyDescent="0.25">
      <c r="C44" s="1625"/>
      <c r="D44" s="1625"/>
      <c r="E44" s="1625"/>
      <c r="F44" s="1625"/>
      <c r="G44" s="1625"/>
      <c r="H44" s="1625"/>
      <c r="I44" s="1625"/>
      <c r="J44" s="1625"/>
      <c r="K44" s="1625"/>
      <c r="L44" s="1625"/>
      <c r="M44" s="1625"/>
      <c r="N44" s="1625"/>
      <c r="O44" s="1625"/>
      <c r="P44" s="1625"/>
    </row>
    <row r="45" spans="3:16" x14ac:dyDescent="0.25">
      <c r="C45" s="1624"/>
      <c r="D45" s="1624"/>
      <c r="E45" s="1624"/>
      <c r="F45" s="1624"/>
      <c r="G45" s="1624"/>
      <c r="H45" s="1624"/>
      <c r="I45" s="1624"/>
      <c r="J45" s="1624"/>
      <c r="K45" s="1624"/>
      <c r="L45" s="1624"/>
      <c r="M45" s="1624"/>
      <c r="N45" s="1624"/>
      <c r="O45" s="1624"/>
      <c r="P45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470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412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48" t="s">
        <v>194</v>
      </c>
      <c r="D23" s="1648"/>
      <c r="E23" s="1648"/>
      <c r="F23" s="1648"/>
      <c r="G23" s="1648"/>
      <c r="H23" s="1648"/>
      <c r="I23" s="1647">
        <f t="shared" ref="I23:Q23" si="0">SUM(I18:I22)</f>
        <v>203500</v>
      </c>
      <c r="J23" s="1649">
        <f t="shared" si="0"/>
        <v>0</v>
      </c>
      <c r="K23" s="1647">
        <f t="shared" si="0"/>
        <v>203500</v>
      </c>
      <c r="L23" s="1647">
        <f t="shared" si="0"/>
        <v>5840.45</v>
      </c>
      <c r="M23" s="1647">
        <f t="shared" si="0"/>
        <v>5783.34</v>
      </c>
      <c r="N23" s="1647">
        <f t="shared" si="0"/>
        <v>6186.4</v>
      </c>
      <c r="O23" s="1647">
        <f t="shared" si="0"/>
        <v>125</v>
      </c>
      <c r="P23" s="1647">
        <f t="shared" si="0"/>
        <v>17935.190000000002</v>
      </c>
      <c r="Q23" s="1650">
        <f t="shared" si="0"/>
        <v>185564.81</v>
      </c>
    </row>
    <row r="24" spans="2:17" x14ac:dyDescent="0.25">
      <c r="C24" s="1648"/>
      <c r="D24" s="1648"/>
      <c r="E24" s="1648"/>
      <c r="F24" s="1648"/>
      <c r="G24" s="1648"/>
      <c r="H24" s="1648"/>
      <c r="I24" s="1647"/>
      <c r="J24" s="1649"/>
      <c r="K24" s="1647"/>
      <c r="L24" s="1647"/>
      <c r="M24" s="1647"/>
      <c r="N24" s="1647"/>
      <c r="O24" s="1647"/>
      <c r="P24" s="1647"/>
      <c r="Q24" s="1650"/>
    </row>
    <row r="37" spans="3:16" x14ac:dyDescent="0.25">
      <c r="C37" s="24" t="s">
        <v>195</v>
      </c>
      <c r="D37" s="24"/>
      <c r="E37" s="5" t="s">
        <v>250</v>
      </c>
      <c r="N37" s="1625" t="s">
        <v>196</v>
      </c>
      <c r="O37" s="1625"/>
      <c r="P37" s="162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4" t="s">
        <v>198</v>
      </c>
      <c r="O40" s="1624"/>
      <c r="P40" s="162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5" t="s">
        <v>253</v>
      </c>
      <c r="O41" s="1625"/>
      <c r="P41" s="1625"/>
    </row>
    <row r="42" spans="3:16" x14ac:dyDescent="0.25">
      <c r="C42" s="25" t="s">
        <v>201</v>
      </c>
      <c r="D42" s="25"/>
      <c r="E42" t="s">
        <v>254</v>
      </c>
      <c r="N42" s="1624" t="s">
        <v>202</v>
      </c>
      <c r="O42" s="1624"/>
      <c r="P42" s="1624"/>
    </row>
    <row r="45" spans="3:16" x14ac:dyDescent="0.25"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  <c r="P45" s="1625"/>
    </row>
    <row r="48" spans="3:16" x14ac:dyDescent="0.25">
      <c r="C48" s="1624"/>
      <c r="D48" s="1624"/>
      <c r="E48" s="1624"/>
      <c r="F48" s="1624"/>
      <c r="G48" s="1624"/>
      <c r="H48" s="1624"/>
      <c r="I48" s="1624"/>
      <c r="J48" s="1624"/>
      <c r="K48" s="1624"/>
      <c r="L48" s="1624"/>
      <c r="M48" s="1624"/>
      <c r="N48" s="1624"/>
      <c r="O48" s="1624"/>
      <c r="P48" s="1624"/>
    </row>
    <row r="49" spans="3:16" x14ac:dyDescent="0.25">
      <c r="C49" s="1625"/>
      <c r="D49" s="1625"/>
      <c r="E49" s="1625"/>
      <c r="F49" s="1625"/>
      <c r="G49" s="1625"/>
      <c r="H49" s="1625"/>
      <c r="I49" s="1625"/>
      <c r="J49" s="1625"/>
      <c r="K49" s="1625"/>
      <c r="L49" s="1625"/>
      <c r="M49" s="1625"/>
      <c r="N49" s="1625"/>
      <c r="O49" s="1625"/>
      <c r="P49" s="1625"/>
    </row>
    <row r="50" spans="3:16" x14ac:dyDescent="0.25">
      <c r="C50" s="1624"/>
      <c r="D50" s="1624"/>
      <c r="E50" s="1624"/>
      <c r="F50" s="1624"/>
      <c r="G50" s="1624"/>
      <c r="H50" s="1624"/>
      <c r="I50" s="1624"/>
      <c r="J50" s="1624"/>
      <c r="K50" s="1624"/>
      <c r="L50" s="1624"/>
      <c r="M50" s="1624"/>
      <c r="N50" s="1624"/>
      <c r="O50" s="1624"/>
      <c r="P50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471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48" t="s">
        <v>194</v>
      </c>
      <c r="D21" s="1648"/>
      <c r="E21" s="1648"/>
      <c r="F21" s="1648"/>
      <c r="G21" s="1648"/>
      <c r="H21" s="1648"/>
      <c r="I21" s="1647">
        <f>SUM(I18:I20)</f>
        <v>125000</v>
      </c>
      <c r="J21" s="1649">
        <f>SUM(J18:J20)</f>
        <v>0</v>
      </c>
      <c r="K21" s="1647">
        <v>125000</v>
      </c>
      <c r="L21" s="1647">
        <v>3587.5</v>
      </c>
      <c r="M21" s="1647">
        <v>7400.87</v>
      </c>
      <c r="N21" s="1647">
        <v>3800</v>
      </c>
      <c r="O21" s="1647">
        <f>SUM(O18:O20)</f>
        <v>75</v>
      </c>
      <c r="P21" s="1647">
        <v>14863.37</v>
      </c>
      <c r="Q21" s="1650">
        <f>SUM(Q18:Q20)</f>
        <v>110136.63</v>
      </c>
    </row>
    <row r="22" spans="2:17" x14ac:dyDescent="0.25">
      <c r="C22" s="1648"/>
      <c r="D22" s="1648"/>
      <c r="E22" s="1648"/>
      <c r="F22" s="1648"/>
      <c r="G22" s="1648"/>
      <c r="H22" s="1648"/>
      <c r="I22" s="1647"/>
      <c r="J22" s="1649"/>
      <c r="K22" s="1647"/>
      <c r="L22" s="1647"/>
      <c r="M22" s="1647"/>
      <c r="N22" s="1647"/>
      <c r="O22" s="1647"/>
      <c r="P22" s="1647"/>
      <c r="Q22" s="165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5" t="s">
        <v>196</v>
      </c>
      <c r="O32" s="1625"/>
      <c r="P32" s="1625"/>
    </row>
    <row r="35" spans="3:16" x14ac:dyDescent="0.25">
      <c r="C35" s="25" t="s">
        <v>197</v>
      </c>
      <c r="D35" s="25"/>
      <c r="E35" t="s">
        <v>251</v>
      </c>
      <c r="N35" s="1624" t="s">
        <v>198</v>
      </c>
      <c r="O35" s="1624"/>
      <c r="P35" s="162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5" t="s">
        <v>253</v>
      </c>
      <c r="O36" s="1625"/>
      <c r="P36" s="1625"/>
    </row>
    <row r="37" spans="3:16" x14ac:dyDescent="0.25">
      <c r="C37" s="25" t="s">
        <v>201</v>
      </c>
      <c r="D37" s="25"/>
      <c r="E37" t="s">
        <v>254</v>
      </c>
      <c r="N37" s="1624" t="s">
        <v>202</v>
      </c>
      <c r="O37" s="1624"/>
      <c r="P37" s="1624"/>
    </row>
    <row r="40" spans="3:16" x14ac:dyDescent="0.25">
      <c r="C40" s="1625"/>
      <c r="D40" s="1625"/>
      <c r="E40" s="1625"/>
      <c r="F40" s="1625"/>
      <c r="G40" s="1625"/>
      <c r="H40" s="1625"/>
      <c r="I40" s="1625"/>
      <c r="J40" s="1625"/>
      <c r="K40" s="1625"/>
      <c r="L40" s="1625"/>
      <c r="M40" s="1625"/>
      <c r="N40" s="1625"/>
      <c r="O40" s="1625"/>
      <c r="P40" s="1625"/>
    </row>
    <row r="43" spans="3:16" x14ac:dyDescent="0.25"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  <c r="O43" s="1624"/>
      <c r="P43" s="1624"/>
    </row>
    <row r="44" spans="3:16" x14ac:dyDescent="0.25">
      <c r="C44" s="1625"/>
      <c r="D44" s="1625"/>
      <c r="E44" s="1625"/>
      <c r="F44" s="1625"/>
      <c r="G44" s="1625"/>
      <c r="H44" s="1625"/>
      <c r="I44" s="1625"/>
      <c r="J44" s="1625"/>
      <c r="K44" s="1625"/>
      <c r="L44" s="1625"/>
      <c r="M44" s="1625"/>
      <c r="N44" s="1625"/>
      <c r="O44" s="1625"/>
      <c r="P44" s="1625"/>
    </row>
    <row r="45" spans="3:16" x14ac:dyDescent="0.25">
      <c r="C45" s="1624"/>
      <c r="D45" s="1624"/>
      <c r="E45" s="1624"/>
      <c r="F45" s="1624"/>
      <c r="G45" s="1624"/>
      <c r="H45" s="1624"/>
      <c r="I45" s="1624"/>
      <c r="J45" s="1624"/>
      <c r="K45" s="1624"/>
      <c r="L45" s="1624"/>
      <c r="M45" s="1624"/>
      <c r="N45" s="1624"/>
      <c r="O45" s="1624"/>
      <c r="P45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402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472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3" t="s">
        <v>194</v>
      </c>
      <c r="C31" s="1653"/>
      <c r="D31" s="1653"/>
      <c r="E31" s="1653"/>
      <c r="F31" s="1651">
        <v>147000</v>
      </c>
      <c r="G31" s="1652">
        <v>0</v>
      </c>
      <c r="H31" s="1651">
        <v>147000</v>
      </c>
      <c r="I31" s="1652">
        <v>0</v>
      </c>
      <c r="J31" s="1652">
        <v>0</v>
      </c>
      <c r="K31" s="1652">
        <v>0</v>
      </c>
      <c r="L31" s="1652">
        <v>0</v>
      </c>
      <c r="M31" s="1652">
        <v>0</v>
      </c>
      <c r="N31" s="1651">
        <v>147000</v>
      </c>
    </row>
    <row r="32" spans="1:14" x14ac:dyDescent="0.25">
      <c r="B32" s="1653"/>
      <c r="C32" s="1653"/>
      <c r="D32" s="1653"/>
      <c r="E32" s="1653"/>
      <c r="F32" s="1651"/>
      <c r="G32" s="1652"/>
      <c r="H32" s="1651"/>
      <c r="I32" s="1652"/>
      <c r="J32" s="1652"/>
      <c r="K32" s="1652"/>
      <c r="L32" s="1652"/>
      <c r="M32" s="1652"/>
      <c r="N32" s="1651"/>
    </row>
    <row r="42" spans="1:14" x14ac:dyDescent="0.25">
      <c r="A42" s="24" t="s">
        <v>257</v>
      </c>
      <c r="B42" s="24"/>
      <c r="C42" s="5" t="s">
        <v>258</v>
      </c>
      <c r="L42" s="1625" t="s">
        <v>196</v>
      </c>
      <c r="M42" s="1625"/>
      <c r="N42" s="162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4" t="s">
        <v>198</v>
      </c>
      <c r="M45" s="1624"/>
      <c r="N45" s="162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5" t="s">
        <v>253</v>
      </c>
      <c r="M46" s="1625"/>
      <c r="N46" s="1625"/>
    </row>
    <row r="47" spans="1:14" x14ac:dyDescent="0.25">
      <c r="A47" s="25" t="s">
        <v>263</v>
      </c>
      <c r="B47" s="25"/>
      <c r="C47" t="s">
        <v>264</v>
      </c>
      <c r="L47" s="1624" t="s">
        <v>202</v>
      </c>
      <c r="M47" s="1624"/>
      <c r="N47" s="1624"/>
    </row>
    <row r="52" spans="1:14" x14ac:dyDescent="0.25">
      <c r="A52" s="1624"/>
      <c r="B52" s="1624"/>
      <c r="C52" s="1624"/>
      <c r="D52" s="1624"/>
      <c r="E52" s="1624"/>
      <c r="F52" s="1624"/>
      <c r="G52" s="1624"/>
      <c r="H52" s="1624"/>
      <c r="I52" s="1624"/>
      <c r="J52" s="1624"/>
      <c r="K52" s="1624"/>
      <c r="L52" s="1624"/>
      <c r="M52" s="1624"/>
      <c r="N52" s="1624"/>
    </row>
    <row r="53" spans="1:14" x14ac:dyDescent="0.25">
      <c r="A53" s="1625"/>
      <c r="B53" s="1625"/>
      <c r="C53" s="1625"/>
      <c r="D53" s="1625"/>
      <c r="E53" s="1625"/>
      <c r="F53" s="1625"/>
      <c r="G53" s="1625"/>
      <c r="H53" s="1625"/>
      <c r="I53" s="1625"/>
      <c r="J53" s="1625"/>
      <c r="K53" s="1625"/>
      <c r="L53" s="1625"/>
      <c r="M53" s="1625"/>
      <c r="N53" s="1625"/>
    </row>
    <row r="54" spans="1:14" x14ac:dyDescent="0.25">
      <c r="A54" s="1624"/>
      <c r="B54" s="1624"/>
      <c r="C54" s="1624"/>
      <c r="D54" s="1624"/>
      <c r="E54" s="1624"/>
      <c r="F54" s="1624"/>
      <c r="G54" s="1624"/>
      <c r="H54" s="1624"/>
      <c r="I54" s="1624"/>
      <c r="J54" s="1624"/>
      <c r="K54" s="1624"/>
      <c r="L54" s="1624"/>
      <c r="M54" s="1624"/>
      <c r="N54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473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1" t="s">
        <v>78</v>
      </c>
      <c r="F43" s="1631" t="s">
        <v>115</v>
      </c>
      <c r="G43" s="163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1" t="s">
        <v>117</v>
      </c>
      <c r="F44" s="1631" t="s">
        <v>118</v>
      </c>
      <c r="G44" s="163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1" t="s">
        <v>120</v>
      </c>
      <c r="F45" s="1631" t="s">
        <v>121</v>
      </c>
      <c r="G45" s="163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1" t="s">
        <v>49</v>
      </c>
      <c r="F46" s="1631" t="s">
        <v>123</v>
      </c>
      <c r="G46" s="163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1" t="s">
        <v>125</v>
      </c>
      <c r="F47" s="1631" t="s">
        <v>126</v>
      </c>
      <c r="G47" s="163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1" t="s">
        <v>105</v>
      </c>
      <c r="F48" s="1631" t="s">
        <v>128</v>
      </c>
      <c r="G48" s="163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1" t="s">
        <v>102</v>
      </c>
      <c r="F49" s="1631" t="s">
        <v>130</v>
      </c>
      <c r="G49" s="163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1" t="s">
        <v>132</v>
      </c>
      <c r="F50" s="1631" t="s">
        <v>133</v>
      </c>
      <c r="G50" s="163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1" t="s">
        <v>117</v>
      </c>
      <c r="F51" s="1631" t="s">
        <v>135</v>
      </c>
      <c r="G51" s="163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1" t="s">
        <v>85</v>
      </c>
      <c r="F52" s="1631" t="s">
        <v>137</v>
      </c>
      <c r="G52" s="163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1" t="s">
        <v>139</v>
      </c>
      <c r="F53" s="1631" t="s">
        <v>140</v>
      </c>
      <c r="G53" s="163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1" t="s">
        <v>148</v>
      </c>
      <c r="F54" s="1631" t="s">
        <v>149</v>
      </c>
      <c r="G54" s="163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1" t="s">
        <v>151</v>
      </c>
      <c r="F55" s="1631" t="s">
        <v>152</v>
      </c>
      <c r="G55" s="163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1" t="s">
        <v>157</v>
      </c>
      <c r="F56" s="1631" t="s">
        <v>158</v>
      </c>
      <c r="G56" s="163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1" t="s">
        <v>160</v>
      </c>
      <c r="F58" s="1631" t="s">
        <v>161</v>
      </c>
      <c r="G58" s="163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1" t="s">
        <v>163</v>
      </c>
      <c r="F59" s="1631" t="s">
        <v>164</v>
      </c>
      <c r="G59" s="163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1" t="s">
        <v>92</v>
      </c>
      <c r="F62" s="1631" t="s">
        <v>168</v>
      </c>
      <c r="G62" s="163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1" t="s">
        <v>276</v>
      </c>
      <c r="F63" s="1631" t="s">
        <v>170</v>
      </c>
      <c r="G63" s="163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1" t="s">
        <v>40</v>
      </c>
      <c r="F67" s="1631" t="s">
        <v>172</v>
      </c>
      <c r="G67" s="163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1" t="s">
        <v>92</v>
      </c>
      <c r="F72" s="1631"/>
      <c r="G72" s="163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1" t="s">
        <v>276</v>
      </c>
      <c r="F77" s="1631"/>
      <c r="G77" s="163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1" t="s">
        <v>30</v>
      </c>
      <c r="F78" s="1631" t="s">
        <v>31</v>
      </c>
      <c r="G78" s="163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1" t="s">
        <v>30</v>
      </c>
      <c r="F80" s="1631" t="s">
        <v>31</v>
      </c>
      <c r="G80" s="163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1" t="s">
        <v>92</v>
      </c>
      <c r="F87" s="1631" t="s">
        <v>176</v>
      </c>
      <c r="G87" s="163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1" t="s">
        <v>178</v>
      </c>
      <c r="F88" s="1631" t="s">
        <v>179</v>
      </c>
      <c r="G88" s="163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0" t="s">
        <v>92</v>
      </c>
      <c r="F89" s="1640" t="s">
        <v>193</v>
      </c>
      <c r="G89" s="164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41" t="s">
        <v>288</v>
      </c>
      <c r="D132" s="1641"/>
      <c r="E132" s="1641"/>
      <c r="F132" s="1641"/>
      <c r="G132" s="1641"/>
      <c r="H132" s="164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25" t="s">
        <v>196</v>
      </c>
      <c r="O135" s="1625"/>
      <c r="P135" s="162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24" t="s">
        <v>198</v>
      </c>
      <c r="O138" s="1624"/>
      <c r="P138" s="162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25" t="s">
        <v>253</v>
      </c>
      <c r="O139" s="1625"/>
      <c r="P139" s="1625"/>
    </row>
    <row r="140" spans="2:17" x14ac:dyDescent="0.25">
      <c r="C140" s="25" t="s">
        <v>201</v>
      </c>
      <c r="D140" s="25"/>
      <c r="E140" t="s">
        <v>254</v>
      </c>
      <c r="N140" s="1624" t="s">
        <v>202</v>
      </c>
      <c r="O140" s="1624"/>
      <c r="P140" s="1624"/>
    </row>
    <row r="143" spans="2:17" x14ac:dyDescent="0.25">
      <c r="C143" s="1625"/>
      <c r="D143" s="1625"/>
      <c r="E143" s="1625"/>
      <c r="F143" s="1625"/>
      <c r="G143" s="1625"/>
      <c r="H143" s="1625"/>
      <c r="I143" s="1625"/>
      <c r="J143" s="1625"/>
      <c r="K143" s="1625"/>
      <c r="L143" s="1625"/>
      <c r="M143" s="1625"/>
      <c r="N143" s="1625"/>
      <c r="O143" s="1625"/>
      <c r="P143" s="1625"/>
    </row>
    <row r="146" spans="3:16" x14ac:dyDescent="0.25">
      <c r="C146" s="1624"/>
      <c r="D146" s="1624"/>
      <c r="E146" s="1624"/>
      <c r="F146" s="1624"/>
      <c r="G146" s="1624"/>
      <c r="H146" s="1624"/>
      <c r="I146" s="1624"/>
      <c r="J146" s="1624"/>
      <c r="K146" s="1624"/>
      <c r="L146" s="1624"/>
      <c r="M146" s="1624"/>
      <c r="N146" s="1624"/>
      <c r="O146" s="1624"/>
      <c r="P146" s="1624"/>
    </row>
    <row r="147" spans="3:16" x14ac:dyDescent="0.25">
      <c r="C147" s="1625"/>
      <c r="D147" s="1625"/>
      <c r="E147" s="1625"/>
      <c r="F147" s="1625"/>
      <c r="G147" s="1625"/>
      <c r="H147" s="1625"/>
      <c r="I147" s="1625"/>
      <c r="J147" s="1625"/>
      <c r="K147" s="1625"/>
      <c r="L147" s="1625"/>
      <c r="M147" s="1625"/>
      <c r="N147" s="1625"/>
      <c r="O147" s="1625"/>
      <c r="P147" s="1625"/>
    </row>
    <row r="148" spans="3:16" x14ac:dyDescent="0.25">
      <c r="C148" s="1624"/>
      <c r="D148" s="1624"/>
      <c r="E148" s="1624"/>
      <c r="F148" s="1624"/>
      <c r="G148" s="1624"/>
      <c r="H148" s="1624"/>
      <c r="I148" s="1624"/>
      <c r="J148" s="1624"/>
      <c r="K148" s="1624"/>
      <c r="L148" s="1624"/>
      <c r="M148" s="1624"/>
      <c r="N148" s="1624"/>
      <c r="O148" s="1624"/>
      <c r="P148" s="162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475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48" t="s">
        <v>194</v>
      </c>
      <c r="D40" s="1648"/>
      <c r="E40" s="1648"/>
      <c r="F40" s="1648"/>
      <c r="G40" s="1648"/>
      <c r="H40" s="1648"/>
      <c r="I40" s="1647">
        <f>SUM(I18:I39)</f>
        <v>951500</v>
      </c>
      <c r="J40" s="1649">
        <f>SUM(J18:J39)</f>
        <v>0</v>
      </c>
      <c r="K40" s="1647">
        <v>951500</v>
      </c>
      <c r="L40" s="1647">
        <v>27308.6</v>
      </c>
      <c r="M40" s="1647">
        <v>38960.6</v>
      </c>
      <c r="N40" s="1647">
        <f>SUM(N18:N39)</f>
        <v>28925.599999999999</v>
      </c>
      <c r="O40" s="1647">
        <f>SUM(O18:O39)</f>
        <v>550</v>
      </c>
      <c r="P40" s="1647">
        <v>95744.25</v>
      </c>
      <c r="Q40" s="1650">
        <f>SUM(Q18:Q39)</f>
        <v>855755.7799999998</v>
      </c>
    </row>
    <row r="41" spans="2:17" x14ac:dyDescent="0.25">
      <c r="C41" s="1648"/>
      <c r="D41" s="1648"/>
      <c r="E41" s="1648"/>
      <c r="F41" s="1648"/>
      <c r="G41" s="1648"/>
      <c r="H41" s="1648"/>
      <c r="I41" s="1647"/>
      <c r="J41" s="1649"/>
      <c r="K41" s="1647"/>
      <c r="L41" s="1647"/>
      <c r="M41" s="1647"/>
      <c r="N41" s="1647"/>
      <c r="O41" s="1647"/>
      <c r="P41" s="1647"/>
      <c r="Q41" s="165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25" t="s">
        <v>196</v>
      </c>
      <c r="O44" s="1625"/>
      <c r="P44" s="162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24" t="s">
        <v>198</v>
      </c>
      <c r="O47" s="1624"/>
      <c r="P47" s="162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25" t="s">
        <v>253</v>
      </c>
      <c r="O48" s="1625"/>
      <c r="P48" s="1625"/>
    </row>
    <row r="49" spans="3:16" x14ac:dyDescent="0.25">
      <c r="C49" s="25" t="s">
        <v>201</v>
      </c>
      <c r="D49" s="25"/>
      <c r="E49" t="s">
        <v>254</v>
      </c>
      <c r="N49" s="1624" t="s">
        <v>202</v>
      </c>
      <c r="O49" s="1624"/>
      <c r="P49" s="1624"/>
    </row>
    <row r="52" spans="3:16" x14ac:dyDescent="0.25">
      <c r="C52" s="1625"/>
      <c r="D52" s="1625"/>
      <c r="E52" s="1625"/>
      <c r="F52" s="1625"/>
      <c r="G52" s="1625"/>
      <c r="H52" s="1625"/>
      <c r="I52" s="1625"/>
      <c r="J52" s="1625"/>
      <c r="K52" s="1625"/>
      <c r="L52" s="1625"/>
      <c r="M52" s="1625"/>
      <c r="N52" s="1625"/>
      <c r="O52" s="1625"/>
      <c r="P52" s="1625"/>
    </row>
    <row r="55" spans="3:16" x14ac:dyDescent="0.25">
      <c r="C55" s="1624"/>
      <c r="D55" s="1624"/>
      <c r="E55" s="1624"/>
      <c r="F55" s="1624"/>
      <c r="G55" s="1624"/>
      <c r="H55" s="1624"/>
      <c r="I55" s="1624"/>
      <c r="J55" s="1624"/>
      <c r="K55" s="1624"/>
      <c r="L55" s="1624"/>
      <c r="M55" s="1624"/>
      <c r="N55" s="1624"/>
      <c r="O55" s="1624"/>
      <c r="P55" s="1624"/>
    </row>
    <row r="56" spans="3:16" x14ac:dyDescent="0.25">
      <c r="C56" s="1625"/>
      <c r="D56" s="1625"/>
      <c r="E56" s="1625"/>
      <c r="F56" s="1625"/>
      <c r="G56" s="1625"/>
      <c r="H56" s="1625"/>
      <c r="I56" s="1625"/>
      <c r="J56" s="1625"/>
      <c r="K56" s="1625"/>
      <c r="L56" s="1625"/>
      <c r="M56" s="1625"/>
      <c r="N56" s="1625"/>
      <c r="O56" s="1625"/>
      <c r="P56" s="1625"/>
    </row>
    <row r="57" spans="3:16" x14ac:dyDescent="0.25">
      <c r="C57" s="1624"/>
      <c r="D57" s="1624"/>
      <c r="E57" s="1624"/>
      <c r="F57" s="1624"/>
      <c r="G57" s="1624"/>
      <c r="H57" s="1624"/>
      <c r="I57" s="1624"/>
      <c r="J57" s="1624"/>
      <c r="K57" s="1624"/>
      <c r="L57" s="1624"/>
      <c r="M57" s="1624"/>
      <c r="N57" s="1624"/>
      <c r="O57" s="1624"/>
      <c r="P57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479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412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48" t="s">
        <v>194</v>
      </c>
      <c r="D23" s="1648"/>
      <c r="E23" s="1648"/>
      <c r="F23" s="1648"/>
      <c r="G23" s="1648"/>
      <c r="H23" s="1648"/>
      <c r="I23" s="1647">
        <f t="shared" ref="I23:Q23" si="0">SUM(I18:I22)</f>
        <v>203500</v>
      </c>
      <c r="J23" s="1649">
        <f t="shared" si="0"/>
        <v>0</v>
      </c>
      <c r="K23" s="1647">
        <f t="shared" si="0"/>
        <v>203500</v>
      </c>
      <c r="L23" s="1647">
        <f t="shared" si="0"/>
        <v>5840.45</v>
      </c>
      <c r="M23" s="1647">
        <f t="shared" si="0"/>
        <v>5783.34</v>
      </c>
      <c r="N23" s="1647">
        <f t="shared" si="0"/>
        <v>6186.4</v>
      </c>
      <c r="O23" s="1647">
        <f t="shared" si="0"/>
        <v>125</v>
      </c>
      <c r="P23" s="1647">
        <f t="shared" si="0"/>
        <v>17935.190000000002</v>
      </c>
      <c r="Q23" s="1650">
        <f t="shared" si="0"/>
        <v>185564.81</v>
      </c>
    </row>
    <row r="24" spans="2:17" x14ac:dyDescent="0.25">
      <c r="C24" s="1648"/>
      <c r="D24" s="1648"/>
      <c r="E24" s="1648"/>
      <c r="F24" s="1648"/>
      <c r="G24" s="1648"/>
      <c r="H24" s="1648"/>
      <c r="I24" s="1647"/>
      <c r="J24" s="1649"/>
      <c r="K24" s="1647"/>
      <c r="L24" s="1647"/>
      <c r="M24" s="1647"/>
      <c r="N24" s="1647"/>
      <c r="O24" s="1647"/>
      <c r="P24" s="1647"/>
      <c r="Q24" s="1650"/>
    </row>
    <row r="37" spans="3:16" x14ac:dyDescent="0.25">
      <c r="C37" s="24" t="s">
        <v>195</v>
      </c>
      <c r="D37" s="24"/>
      <c r="E37" s="5" t="s">
        <v>250</v>
      </c>
      <c r="N37" s="1625" t="s">
        <v>196</v>
      </c>
      <c r="O37" s="1625"/>
      <c r="P37" s="162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4" t="s">
        <v>198</v>
      </c>
      <c r="O40" s="1624"/>
      <c r="P40" s="162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5" t="s">
        <v>253</v>
      </c>
      <c r="O41" s="1625"/>
      <c r="P41" s="1625"/>
    </row>
    <row r="42" spans="3:16" x14ac:dyDescent="0.25">
      <c r="C42" s="25" t="s">
        <v>201</v>
      </c>
      <c r="D42" s="25"/>
      <c r="E42" t="s">
        <v>254</v>
      </c>
      <c r="N42" s="1624" t="s">
        <v>202</v>
      </c>
      <c r="O42" s="1624"/>
      <c r="P42" s="1624"/>
    </row>
    <row r="45" spans="3:16" x14ac:dyDescent="0.25"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  <c r="P45" s="1625"/>
    </row>
    <row r="48" spans="3:16" x14ac:dyDescent="0.25">
      <c r="C48" s="1624"/>
      <c r="D48" s="1624"/>
      <c r="E48" s="1624"/>
      <c r="F48" s="1624"/>
      <c r="G48" s="1624"/>
      <c r="H48" s="1624"/>
      <c r="I48" s="1624"/>
      <c r="J48" s="1624"/>
      <c r="K48" s="1624"/>
      <c r="L48" s="1624"/>
      <c r="M48" s="1624"/>
      <c r="N48" s="1624"/>
      <c r="O48" s="1624"/>
      <c r="P48" s="1624"/>
    </row>
    <row r="49" spans="3:16" x14ac:dyDescent="0.25">
      <c r="C49" s="1625"/>
      <c r="D49" s="1625"/>
      <c r="E49" s="1625"/>
      <c r="F49" s="1625"/>
      <c r="G49" s="1625"/>
      <c r="H49" s="1625"/>
      <c r="I49" s="1625"/>
      <c r="J49" s="1625"/>
      <c r="K49" s="1625"/>
      <c r="L49" s="1625"/>
      <c r="M49" s="1625"/>
      <c r="N49" s="1625"/>
      <c r="O49" s="1625"/>
      <c r="P49" s="1625"/>
    </row>
    <row r="50" spans="3:16" x14ac:dyDescent="0.25">
      <c r="C50" s="1624"/>
      <c r="D50" s="1624"/>
      <c r="E50" s="1624"/>
      <c r="F50" s="1624"/>
      <c r="G50" s="1624"/>
      <c r="H50" s="1624"/>
      <c r="I50" s="1624"/>
      <c r="J50" s="1624"/>
      <c r="K50" s="1624"/>
      <c r="L50" s="1624"/>
      <c r="M50" s="1624"/>
      <c r="N50" s="1624"/>
      <c r="O50" s="1624"/>
      <c r="P50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480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48" t="s">
        <v>194</v>
      </c>
      <c r="D40" s="1648"/>
      <c r="E40" s="1648"/>
      <c r="F40" s="1648"/>
      <c r="G40" s="1648"/>
      <c r="H40" s="1648"/>
      <c r="I40" s="1647">
        <f>SUM(I18:I39)</f>
        <v>951500</v>
      </c>
      <c r="J40" s="1649">
        <f>SUM(J18:J39)</f>
        <v>0</v>
      </c>
      <c r="K40" s="1647">
        <v>951500</v>
      </c>
      <c r="L40" s="1647">
        <v>27308.6</v>
      </c>
      <c r="M40" s="1647">
        <v>38960.6</v>
      </c>
      <c r="N40" s="1647">
        <f>SUM(N18:N39)</f>
        <v>28925.599999999999</v>
      </c>
      <c r="O40" s="1647">
        <f>SUM(O18:O39)</f>
        <v>550</v>
      </c>
      <c r="P40" s="1647">
        <v>95744.25</v>
      </c>
      <c r="Q40" s="1650">
        <f>SUM(Q18:Q39)</f>
        <v>855755.7799999998</v>
      </c>
    </row>
    <row r="41" spans="2:17" x14ac:dyDescent="0.25">
      <c r="C41" s="1648"/>
      <c r="D41" s="1648"/>
      <c r="E41" s="1648"/>
      <c r="F41" s="1648"/>
      <c r="G41" s="1648"/>
      <c r="H41" s="1648"/>
      <c r="I41" s="1647"/>
      <c r="J41" s="1649"/>
      <c r="K41" s="1647"/>
      <c r="L41" s="1647"/>
      <c r="M41" s="1647"/>
      <c r="N41" s="1647"/>
      <c r="O41" s="1647"/>
      <c r="P41" s="1647"/>
      <c r="Q41" s="165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25" t="s">
        <v>196</v>
      </c>
      <c r="O44" s="1625"/>
      <c r="P44" s="162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24" t="s">
        <v>198</v>
      </c>
      <c r="O47" s="1624"/>
      <c r="P47" s="162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25" t="s">
        <v>253</v>
      </c>
      <c r="O48" s="1625"/>
      <c r="P48" s="1625"/>
    </row>
    <row r="49" spans="3:16" x14ac:dyDescent="0.25">
      <c r="C49" s="25" t="s">
        <v>201</v>
      </c>
      <c r="D49" s="25"/>
      <c r="E49" t="s">
        <v>254</v>
      </c>
      <c r="N49" s="1624" t="s">
        <v>202</v>
      </c>
      <c r="O49" s="1624"/>
      <c r="P49" s="1624"/>
    </row>
    <row r="52" spans="3:16" x14ac:dyDescent="0.25">
      <c r="C52" s="1625"/>
      <c r="D52" s="1625"/>
      <c r="E52" s="1625"/>
      <c r="F52" s="1625"/>
      <c r="G52" s="1625"/>
      <c r="H52" s="1625"/>
      <c r="I52" s="1625"/>
      <c r="J52" s="1625"/>
      <c r="K52" s="1625"/>
      <c r="L52" s="1625"/>
      <c r="M52" s="1625"/>
      <c r="N52" s="1625"/>
      <c r="O52" s="1625"/>
      <c r="P52" s="1625"/>
    </row>
    <row r="55" spans="3:16" x14ac:dyDescent="0.25">
      <c r="C55" s="1624"/>
      <c r="D55" s="1624"/>
      <c r="E55" s="1624"/>
      <c r="F55" s="1624"/>
      <c r="G55" s="1624"/>
      <c r="H55" s="1624"/>
      <c r="I55" s="1624"/>
      <c r="J55" s="1624"/>
      <c r="K55" s="1624"/>
      <c r="L55" s="1624"/>
      <c r="M55" s="1624"/>
      <c r="N55" s="1624"/>
      <c r="O55" s="1624"/>
      <c r="P55" s="1624"/>
    </row>
    <row r="56" spans="3:16" x14ac:dyDescent="0.25">
      <c r="C56" s="1625"/>
      <c r="D56" s="1625"/>
      <c r="E56" s="1625"/>
      <c r="F56" s="1625"/>
      <c r="G56" s="1625"/>
      <c r="H56" s="1625"/>
      <c r="I56" s="1625"/>
      <c r="J56" s="1625"/>
      <c r="K56" s="1625"/>
      <c r="L56" s="1625"/>
      <c r="M56" s="1625"/>
      <c r="N56" s="1625"/>
      <c r="O56" s="1625"/>
      <c r="P56" s="1625"/>
    </row>
    <row r="57" spans="3:16" x14ac:dyDescent="0.25">
      <c r="C57" s="1624"/>
      <c r="D57" s="1624"/>
      <c r="E57" s="1624"/>
      <c r="F57" s="1624"/>
      <c r="G57" s="1624"/>
      <c r="H57" s="1624"/>
      <c r="I57" s="1624"/>
      <c r="J57" s="1624"/>
      <c r="K57" s="1624"/>
      <c r="L57" s="1624"/>
      <c r="M57" s="1624"/>
      <c r="N57" s="1624"/>
      <c r="O57" s="1624"/>
      <c r="P57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5" t="s">
        <v>0</v>
      </c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</row>
    <row r="8" spans="1:14" x14ac:dyDescent="0.25">
      <c r="B8" s="1625" t="s">
        <v>1</v>
      </c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</row>
    <row r="9" spans="1:14" x14ac:dyDescent="0.25">
      <c r="B9" s="1639" t="s">
        <v>402</v>
      </c>
      <c r="C9" s="1639"/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5" t="s">
        <v>3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B12" s="1625" t="s">
        <v>481</v>
      </c>
      <c r="C12" s="1625"/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</row>
    <row r="13" spans="1:14" x14ac:dyDescent="0.25">
      <c r="B13" s="1638" t="s">
        <v>5</v>
      </c>
      <c r="C13" s="1638"/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7" t="s">
        <v>6</v>
      </c>
      <c r="B15" s="1632" t="s">
        <v>7</v>
      </c>
      <c r="C15" s="1632" t="s">
        <v>8</v>
      </c>
      <c r="D15" s="1632" t="s">
        <v>10</v>
      </c>
      <c r="E15" s="1636" t="s">
        <v>11</v>
      </c>
      <c r="F15" s="37" t="s">
        <v>12</v>
      </c>
      <c r="G15" s="1635" t="s">
        <v>13</v>
      </c>
      <c r="H15" s="1632" t="s">
        <v>14</v>
      </c>
      <c r="I15" s="1632" t="s">
        <v>15</v>
      </c>
      <c r="J15" s="1632" t="s">
        <v>16</v>
      </c>
      <c r="K15" s="1632" t="s">
        <v>17</v>
      </c>
      <c r="L15" s="1632" t="s">
        <v>18</v>
      </c>
      <c r="M15" s="1632" t="s">
        <v>19</v>
      </c>
      <c r="N15" s="1633" t="s">
        <v>20</v>
      </c>
    </row>
    <row r="16" spans="1:14" x14ac:dyDescent="0.25">
      <c r="A16" s="1637"/>
      <c r="B16" s="1632"/>
      <c r="C16" s="1632"/>
      <c r="D16" s="1632"/>
      <c r="E16" s="1636"/>
      <c r="F16" s="38" t="s">
        <v>21</v>
      </c>
      <c r="G16" s="1635"/>
      <c r="H16" s="1632"/>
      <c r="I16" s="1632"/>
      <c r="J16" s="1632"/>
      <c r="K16" s="1632"/>
      <c r="L16" s="1632"/>
      <c r="M16" s="1632"/>
      <c r="N16" s="163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3" t="s">
        <v>194</v>
      </c>
      <c r="C31" s="1653"/>
      <c r="D31" s="1653"/>
      <c r="E31" s="1653"/>
      <c r="F31" s="1651">
        <v>147000</v>
      </c>
      <c r="G31" s="1652">
        <v>0</v>
      </c>
      <c r="H31" s="1651">
        <v>147000</v>
      </c>
      <c r="I31" s="1652">
        <v>0</v>
      </c>
      <c r="J31" s="1652">
        <v>0</v>
      </c>
      <c r="K31" s="1652">
        <v>0</v>
      </c>
      <c r="L31" s="1652">
        <v>0</v>
      </c>
      <c r="M31" s="1652">
        <v>0</v>
      </c>
      <c r="N31" s="1651">
        <v>147000</v>
      </c>
    </row>
    <row r="32" spans="1:14" x14ac:dyDescent="0.25">
      <c r="B32" s="1653"/>
      <c r="C32" s="1653"/>
      <c r="D32" s="1653"/>
      <c r="E32" s="1653"/>
      <c r="F32" s="1651"/>
      <c r="G32" s="1652"/>
      <c r="H32" s="1651"/>
      <c r="I32" s="1652"/>
      <c r="J32" s="1652"/>
      <c r="K32" s="1652"/>
      <c r="L32" s="1652"/>
      <c r="M32" s="1652"/>
      <c r="N32" s="1651"/>
    </row>
    <row r="42" spans="1:14" x14ac:dyDescent="0.25">
      <c r="A42" s="24" t="s">
        <v>257</v>
      </c>
      <c r="B42" s="24"/>
      <c r="C42" s="5" t="s">
        <v>258</v>
      </c>
      <c r="L42" s="1625" t="s">
        <v>196</v>
      </c>
      <c r="M42" s="1625"/>
      <c r="N42" s="162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4" t="s">
        <v>198</v>
      </c>
      <c r="M45" s="1624"/>
      <c r="N45" s="162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5" t="s">
        <v>253</v>
      </c>
      <c r="M46" s="1625"/>
      <c r="N46" s="1625"/>
    </row>
    <row r="47" spans="1:14" x14ac:dyDescent="0.25">
      <c r="A47" s="25" t="s">
        <v>263</v>
      </c>
      <c r="B47" s="25"/>
      <c r="C47" t="s">
        <v>264</v>
      </c>
      <c r="L47" s="1624" t="s">
        <v>202</v>
      </c>
      <c r="M47" s="1624"/>
      <c r="N47" s="1624"/>
    </row>
    <row r="52" spans="1:14" x14ac:dyDescent="0.25">
      <c r="A52" s="1624"/>
      <c r="B52" s="1624"/>
      <c r="C52" s="1624"/>
      <c r="D52" s="1624"/>
      <c r="E52" s="1624"/>
      <c r="F52" s="1624"/>
      <c r="G52" s="1624"/>
      <c r="H52" s="1624"/>
      <c r="I52" s="1624"/>
      <c r="J52" s="1624"/>
      <c r="K52" s="1624"/>
      <c r="L52" s="1624"/>
      <c r="M52" s="1624"/>
      <c r="N52" s="1624"/>
    </row>
    <row r="53" spans="1:14" x14ac:dyDescent="0.25">
      <c r="A53" s="1625"/>
      <c r="B53" s="1625"/>
      <c r="C53" s="1625"/>
      <c r="D53" s="1625"/>
      <c r="E53" s="1625"/>
      <c r="F53" s="1625"/>
      <c r="G53" s="1625"/>
      <c r="H53" s="1625"/>
      <c r="I53" s="1625"/>
      <c r="J53" s="1625"/>
      <c r="K53" s="1625"/>
      <c r="L53" s="1625"/>
      <c r="M53" s="1625"/>
      <c r="N53" s="1625"/>
    </row>
    <row r="54" spans="1:14" x14ac:dyDescent="0.25">
      <c r="A54" s="1624"/>
      <c r="B54" s="1624"/>
      <c r="C54" s="1624"/>
      <c r="D54" s="1624"/>
      <c r="E54" s="1624"/>
      <c r="F54" s="1624"/>
      <c r="G54" s="1624"/>
      <c r="H54" s="1624"/>
      <c r="I54" s="1624"/>
      <c r="J54" s="1624"/>
      <c r="K54" s="1624"/>
      <c r="L54" s="1624"/>
      <c r="M54" s="1624"/>
      <c r="N54" s="162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482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4" t="s">
        <v>194</v>
      </c>
      <c r="D21" s="1654"/>
      <c r="E21" s="1654"/>
      <c r="F21" s="1654"/>
      <c r="G21" s="1654"/>
      <c r="H21" s="1654"/>
      <c r="I21" s="1647">
        <f>SUM(I18:I20)</f>
        <v>125000</v>
      </c>
      <c r="J21" s="1649">
        <f>SUM(J18:J20)</f>
        <v>0</v>
      </c>
      <c r="K21" s="1647">
        <v>125000</v>
      </c>
      <c r="L21" s="1647">
        <v>3587.5</v>
      </c>
      <c r="M21" s="1647">
        <v>7400.87</v>
      </c>
      <c r="N21" s="1647">
        <v>3800</v>
      </c>
      <c r="O21" s="1647">
        <f>SUM(O18:O20)</f>
        <v>75</v>
      </c>
      <c r="P21" s="1647">
        <v>14863.37</v>
      </c>
      <c r="Q21" s="1650">
        <f>SUM(Q18:Q20)</f>
        <v>110136.63</v>
      </c>
    </row>
    <row r="22" spans="2:17" x14ac:dyDescent="0.25">
      <c r="C22" s="1654"/>
      <c r="D22" s="1654"/>
      <c r="E22" s="1654"/>
      <c r="F22" s="1654"/>
      <c r="G22" s="1654"/>
      <c r="H22" s="1654"/>
      <c r="I22" s="1647"/>
      <c r="J22" s="1649"/>
      <c r="K22" s="1647"/>
      <c r="L22" s="1647"/>
      <c r="M22" s="1647"/>
      <c r="N22" s="1647"/>
      <c r="O22" s="1647"/>
      <c r="P22" s="1647"/>
      <c r="Q22" s="165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5" t="s">
        <v>196</v>
      </c>
      <c r="O32" s="1625"/>
      <c r="P32" s="1625"/>
    </row>
    <row r="35" spans="3:16" x14ac:dyDescent="0.25">
      <c r="C35" s="25" t="s">
        <v>197</v>
      </c>
      <c r="D35" s="25"/>
      <c r="E35" t="s">
        <v>251</v>
      </c>
      <c r="N35" s="1624" t="s">
        <v>198</v>
      </c>
      <c r="O35" s="1624"/>
      <c r="P35" s="162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5" t="s">
        <v>253</v>
      </c>
      <c r="O36" s="1625"/>
      <c r="P36" s="1625"/>
    </row>
    <row r="37" spans="3:16" x14ac:dyDescent="0.25">
      <c r="C37" s="25" t="s">
        <v>201</v>
      </c>
      <c r="D37" s="25"/>
      <c r="E37" t="s">
        <v>254</v>
      </c>
      <c r="N37" s="1624" t="s">
        <v>202</v>
      </c>
      <c r="O37" s="1624"/>
      <c r="P37" s="1624"/>
    </row>
    <row r="40" spans="3:16" x14ac:dyDescent="0.25">
      <c r="C40" s="1625"/>
      <c r="D40" s="1625"/>
      <c r="E40" s="1625"/>
      <c r="F40" s="1625"/>
      <c r="G40" s="1625"/>
      <c r="H40" s="1625"/>
      <c r="I40" s="1625"/>
      <c r="J40" s="1625"/>
      <c r="K40" s="1625"/>
      <c r="L40" s="1625"/>
      <c r="M40" s="1625"/>
      <c r="N40" s="1625"/>
      <c r="O40" s="1625"/>
      <c r="P40" s="1625"/>
    </row>
    <row r="43" spans="3:16" x14ac:dyDescent="0.25"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  <c r="O43" s="1624"/>
      <c r="P43" s="1624"/>
    </row>
    <row r="44" spans="3:16" x14ac:dyDescent="0.25">
      <c r="C44" s="1625"/>
      <c r="D44" s="1625"/>
      <c r="E44" s="1625"/>
      <c r="F44" s="1625"/>
      <c r="G44" s="1625"/>
      <c r="H44" s="1625"/>
      <c r="I44" s="1625"/>
      <c r="J44" s="1625"/>
      <c r="K44" s="1625"/>
      <c r="L44" s="1625"/>
      <c r="M44" s="1625"/>
      <c r="N44" s="1625"/>
      <c r="O44" s="1625"/>
      <c r="P44" s="1625"/>
    </row>
    <row r="45" spans="3:16" x14ac:dyDescent="0.25">
      <c r="C45" s="1624"/>
      <c r="D45" s="1624"/>
      <c r="E45" s="1624"/>
      <c r="F45" s="1624"/>
      <c r="G45" s="1624"/>
      <c r="H45" s="1624"/>
      <c r="I45" s="1624"/>
      <c r="J45" s="1624"/>
      <c r="K45" s="1624"/>
      <c r="L45" s="1624"/>
      <c r="M45" s="1624"/>
      <c r="N45" s="1624"/>
      <c r="O45" s="1624"/>
      <c r="P45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483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1" t="s">
        <v>78</v>
      </c>
      <c r="F43" s="1631" t="s">
        <v>115</v>
      </c>
      <c r="G43" s="163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1" t="s">
        <v>117</v>
      </c>
      <c r="F44" s="1631" t="s">
        <v>118</v>
      </c>
      <c r="G44" s="163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1" t="s">
        <v>120</v>
      </c>
      <c r="F45" s="1631" t="s">
        <v>121</v>
      </c>
      <c r="G45" s="163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1" t="s">
        <v>49</v>
      </c>
      <c r="F46" s="1631" t="s">
        <v>123</v>
      </c>
      <c r="G46" s="163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1" t="s">
        <v>125</v>
      </c>
      <c r="F47" s="1631" t="s">
        <v>126</v>
      </c>
      <c r="G47" s="163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1" t="s">
        <v>105</v>
      </c>
      <c r="F48" s="1631" t="s">
        <v>128</v>
      </c>
      <c r="G48" s="163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1" t="s">
        <v>102</v>
      </c>
      <c r="F49" s="1631" t="s">
        <v>130</v>
      </c>
      <c r="G49" s="163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1" t="s">
        <v>132</v>
      </c>
      <c r="F50" s="1631" t="s">
        <v>133</v>
      </c>
      <c r="G50" s="163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1" t="s">
        <v>117</v>
      </c>
      <c r="F51" s="1631" t="s">
        <v>135</v>
      </c>
      <c r="G51" s="163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1" t="s">
        <v>85</v>
      </c>
      <c r="F52" s="1631" t="s">
        <v>137</v>
      </c>
      <c r="G52" s="163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1" t="s">
        <v>139</v>
      </c>
      <c r="F53" s="1631" t="s">
        <v>140</v>
      </c>
      <c r="G53" s="163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1" t="s">
        <v>148</v>
      </c>
      <c r="F54" s="1631" t="s">
        <v>149</v>
      </c>
      <c r="G54" s="163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1" t="s">
        <v>151</v>
      </c>
      <c r="F55" s="1631" t="s">
        <v>152</v>
      </c>
      <c r="G55" s="163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1" t="s">
        <v>157</v>
      </c>
      <c r="F56" s="1631" t="s">
        <v>158</v>
      </c>
      <c r="G56" s="163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1" t="s">
        <v>160</v>
      </c>
      <c r="F58" s="1631" t="s">
        <v>161</v>
      </c>
      <c r="G58" s="163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1" t="s">
        <v>163</v>
      </c>
      <c r="F59" s="1631" t="s">
        <v>164</v>
      </c>
      <c r="G59" s="163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1" t="s">
        <v>92</v>
      </c>
      <c r="F62" s="1631" t="s">
        <v>168</v>
      </c>
      <c r="G62" s="163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1" t="s">
        <v>276</v>
      </c>
      <c r="F63" s="1631" t="s">
        <v>170</v>
      </c>
      <c r="G63" s="163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1" t="s">
        <v>40</v>
      </c>
      <c r="F67" s="1631" t="s">
        <v>172</v>
      </c>
      <c r="G67" s="163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1" t="s">
        <v>92</v>
      </c>
      <c r="F72" s="1631"/>
      <c r="G72" s="163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1" t="s">
        <v>276</v>
      </c>
      <c r="F77" s="1631"/>
      <c r="G77" s="163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1" t="s">
        <v>30</v>
      </c>
      <c r="F78" s="1631" t="s">
        <v>31</v>
      </c>
      <c r="G78" s="163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1" t="s">
        <v>30</v>
      </c>
      <c r="F80" s="1631" t="s">
        <v>31</v>
      </c>
      <c r="G80" s="163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1" t="s">
        <v>92</v>
      </c>
      <c r="F87" s="1631" t="s">
        <v>176</v>
      </c>
      <c r="G87" s="163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1" t="s">
        <v>178</v>
      </c>
      <c r="F88" s="1631" t="s">
        <v>179</v>
      </c>
      <c r="G88" s="163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0" t="s">
        <v>92</v>
      </c>
      <c r="F89" s="1640" t="s">
        <v>193</v>
      </c>
      <c r="G89" s="164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631" t="s">
        <v>44</v>
      </c>
      <c r="F132" s="1631" t="s">
        <v>45</v>
      </c>
      <c r="G132" s="1631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641" t="s">
        <v>288</v>
      </c>
      <c r="D135" s="1641"/>
      <c r="E135" s="1641"/>
      <c r="F135" s="1641"/>
      <c r="G135" s="1641"/>
      <c r="H135" s="1641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625" t="s">
        <v>196</v>
      </c>
      <c r="O137" s="1625"/>
      <c r="P137" s="1625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624" t="s">
        <v>198</v>
      </c>
      <c r="O139" s="1624"/>
      <c r="P139" s="1624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625" t="s">
        <v>253</v>
      </c>
      <c r="O140" s="1625"/>
      <c r="P140" s="1625"/>
    </row>
    <row r="141" spans="2:17" x14ac:dyDescent="0.25">
      <c r="C141" s="25" t="s">
        <v>201</v>
      </c>
      <c r="D141" s="25"/>
      <c r="E141" t="s">
        <v>254</v>
      </c>
      <c r="N141" s="1624" t="s">
        <v>202</v>
      </c>
      <c r="O141" s="1624"/>
      <c r="P141" s="1624"/>
    </row>
    <row r="144" spans="2:17" x14ac:dyDescent="0.25">
      <c r="C144" s="1625"/>
      <c r="D144" s="1625"/>
      <c r="E144" s="1625"/>
      <c r="F144" s="1625"/>
      <c r="G144" s="1625"/>
      <c r="H144" s="1625"/>
      <c r="I144" s="1625"/>
      <c r="J144" s="1625"/>
      <c r="K144" s="1625"/>
      <c r="L144" s="1625"/>
      <c r="M144" s="1625"/>
      <c r="N144" s="1625"/>
      <c r="O144" s="1625"/>
      <c r="P144" s="1625"/>
    </row>
    <row r="147" spans="3:16" x14ac:dyDescent="0.25">
      <c r="C147" s="1624"/>
      <c r="D147" s="1624"/>
      <c r="E147" s="1624"/>
      <c r="F147" s="1624"/>
      <c r="G147" s="1624"/>
      <c r="H147" s="1624"/>
      <c r="I147" s="1624"/>
      <c r="J147" s="1624"/>
      <c r="K147" s="1624"/>
      <c r="L147" s="1624"/>
      <c r="M147" s="1624"/>
      <c r="N147" s="1624"/>
      <c r="O147" s="1624"/>
      <c r="P147" s="1624"/>
    </row>
    <row r="148" spans="3:16" x14ac:dyDescent="0.25">
      <c r="C148" s="1625"/>
      <c r="D148" s="1625"/>
      <c r="E148" s="1625"/>
      <c r="F148" s="1625"/>
      <c r="G148" s="1625"/>
      <c r="H148" s="1625"/>
      <c r="I148" s="1625"/>
      <c r="J148" s="1625"/>
      <c r="K148" s="1625"/>
      <c r="L148" s="1625"/>
      <c r="M148" s="1625"/>
      <c r="N148" s="1625"/>
      <c r="O148" s="1625"/>
      <c r="P148" s="1625"/>
    </row>
    <row r="149" spans="3:16" x14ac:dyDescent="0.25">
      <c r="C149" s="1624"/>
      <c r="D149" s="1624"/>
      <c r="E149" s="1624"/>
      <c r="F149" s="1624"/>
      <c r="G149" s="1624"/>
      <c r="H149" s="1624"/>
      <c r="I149" s="1624"/>
      <c r="J149" s="1624"/>
      <c r="K149" s="1624"/>
      <c r="L149" s="1624"/>
      <c r="M149" s="1624"/>
      <c r="N149" s="1624"/>
      <c r="O149" s="1624"/>
      <c r="P149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487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1" t="s">
        <v>78</v>
      </c>
      <c r="F43" s="1631" t="s">
        <v>115</v>
      </c>
      <c r="G43" s="163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1" t="s">
        <v>117</v>
      </c>
      <c r="F44" s="1631" t="s">
        <v>118</v>
      </c>
      <c r="G44" s="163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1" t="s">
        <v>120</v>
      </c>
      <c r="F45" s="1631" t="s">
        <v>121</v>
      </c>
      <c r="G45" s="163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1" t="s">
        <v>49</v>
      </c>
      <c r="F46" s="1631" t="s">
        <v>123</v>
      </c>
      <c r="G46" s="163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1" t="s">
        <v>125</v>
      </c>
      <c r="F47" s="1631" t="s">
        <v>126</v>
      </c>
      <c r="G47" s="163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1" t="s">
        <v>105</v>
      </c>
      <c r="F48" s="1631" t="s">
        <v>128</v>
      </c>
      <c r="G48" s="163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1" t="s">
        <v>102</v>
      </c>
      <c r="F49" s="1631" t="s">
        <v>130</v>
      </c>
      <c r="G49" s="163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1" t="s">
        <v>132</v>
      </c>
      <c r="F50" s="1631" t="s">
        <v>133</v>
      </c>
      <c r="G50" s="163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1" t="s">
        <v>117</v>
      </c>
      <c r="F51" s="1631" t="s">
        <v>135</v>
      </c>
      <c r="G51" s="163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1" t="s">
        <v>85</v>
      </c>
      <c r="F52" s="1631" t="s">
        <v>137</v>
      </c>
      <c r="G52" s="163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1" t="s">
        <v>139</v>
      </c>
      <c r="F53" s="1631" t="s">
        <v>140</v>
      </c>
      <c r="G53" s="163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1" t="s">
        <v>148</v>
      </c>
      <c r="F54" s="1631" t="s">
        <v>149</v>
      </c>
      <c r="G54" s="163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1" t="s">
        <v>151</v>
      </c>
      <c r="F55" s="1631" t="s">
        <v>152</v>
      </c>
      <c r="G55" s="163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1" t="s">
        <v>157</v>
      </c>
      <c r="F56" s="1631" t="s">
        <v>158</v>
      </c>
      <c r="G56" s="163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1" t="s">
        <v>160</v>
      </c>
      <c r="F58" s="1631" t="s">
        <v>161</v>
      </c>
      <c r="G58" s="163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1" t="s">
        <v>163</v>
      </c>
      <c r="F59" s="1631" t="s">
        <v>164</v>
      </c>
      <c r="G59" s="163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1" t="s">
        <v>92</v>
      </c>
      <c r="F62" s="1631" t="s">
        <v>168</v>
      </c>
      <c r="G62" s="163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1" t="s">
        <v>276</v>
      </c>
      <c r="F63" s="1631" t="s">
        <v>170</v>
      </c>
      <c r="G63" s="163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1" t="s">
        <v>40</v>
      </c>
      <c r="F67" s="1631" t="s">
        <v>172</v>
      </c>
      <c r="G67" s="163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1" t="s">
        <v>92</v>
      </c>
      <c r="F72" s="1631"/>
      <c r="G72" s="163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1" t="s">
        <v>276</v>
      </c>
      <c r="F76" s="1631"/>
      <c r="G76" s="163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1" t="s">
        <v>30</v>
      </c>
      <c r="F77" s="1631" t="s">
        <v>31</v>
      </c>
      <c r="G77" s="163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1" t="s">
        <v>30</v>
      </c>
      <c r="F78" s="1631" t="s">
        <v>31</v>
      </c>
      <c r="G78" s="163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1" t="s">
        <v>92</v>
      </c>
      <c r="F86" s="1631" t="s">
        <v>176</v>
      </c>
      <c r="G86" s="163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1" t="s">
        <v>178</v>
      </c>
      <c r="F87" s="1631" t="s">
        <v>179</v>
      </c>
      <c r="G87" s="163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0" t="s">
        <v>92</v>
      </c>
      <c r="F88" s="1640" t="s">
        <v>193</v>
      </c>
      <c r="G88" s="164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631" t="s">
        <v>44</v>
      </c>
      <c r="F134" s="1631" t="s">
        <v>45</v>
      </c>
      <c r="G134" s="1631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41" t="s">
        <v>288</v>
      </c>
      <c r="D137" s="1641"/>
      <c r="E137" s="1641"/>
      <c r="F137" s="1641"/>
      <c r="G137" s="1641"/>
      <c r="H137" s="1641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625" t="s">
        <v>196</v>
      </c>
      <c r="O142" s="1625"/>
      <c r="P142" s="1625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624" t="s">
        <v>198</v>
      </c>
      <c r="O144" s="1624"/>
      <c r="P144" s="1624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625" t="s">
        <v>253</v>
      </c>
      <c r="O145" s="1625"/>
      <c r="P145" s="1625"/>
    </row>
    <row r="146" spans="3:16" x14ac:dyDescent="0.25">
      <c r="C146" s="25" t="s">
        <v>201</v>
      </c>
      <c r="D146" s="25"/>
      <c r="E146" t="s">
        <v>254</v>
      </c>
      <c r="N146" s="1624" t="s">
        <v>202</v>
      </c>
      <c r="O146" s="1624"/>
      <c r="P146" s="1624"/>
    </row>
    <row r="149" spans="3:16" x14ac:dyDescent="0.25">
      <c r="C149" s="1625"/>
      <c r="D149" s="1625"/>
      <c r="E149" s="1625"/>
      <c r="F149" s="1625"/>
      <c r="G149" s="1625"/>
      <c r="H149" s="1625"/>
      <c r="I149" s="1625"/>
      <c r="J149" s="1625"/>
      <c r="K149" s="1625"/>
      <c r="L149" s="1625"/>
      <c r="M149" s="1625"/>
      <c r="N149" s="1625"/>
      <c r="O149" s="1625"/>
      <c r="P149" s="1625"/>
    </row>
    <row r="152" spans="3:16" x14ac:dyDescent="0.25">
      <c r="C152" s="1624"/>
      <c r="D152" s="1624"/>
      <c r="E152" s="1624"/>
      <c r="F152" s="1624"/>
      <c r="G152" s="1624"/>
      <c r="H152" s="1624"/>
      <c r="I152" s="1624"/>
      <c r="J152" s="1624"/>
      <c r="K152" s="1624"/>
      <c r="L152" s="1624"/>
      <c r="M152" s="1624"/>
      <c r="N152" s="1624"/>
      <c r="O152" s="1624"/>
      <c r="P152" s="1624"/>
    </row>
    <row r="153" spans="3:16" x14ac:dyDescent="0.25">
      <c r="C153" s="1625"/>
      <c r="D153" s="1625"/>
      <c r="E153" s="1625"/>
      <c r="F153" s="1625"/>
      <c r="G153" s="1625"/>
      <c r="H153" s="1625"/>
      <c r="I153" s="1625"/>
      <c r="J153" s="1625"/>
      <c r="K153" s="1625"/>
      <c r="L153" s="1625"/>
      <c r="M153" s="1625"/>
      <c r="N153" s="1625"/>
      <c r="O153" s="1625"/>
      <c r="P153" s="1625"/>
    </row>
    <row r="154" spans="3:16" x14ac:dyDescent="0.25">
      <c r="C154" s="1624"/>
      <c r="D154" s="1624"/>
      <c r="E154" s="1624"/>
      <c r="F154" s="1624"/>
      <c r="G154" s="1624"/>
      <c r="H154" s="1624"/>
      <c r="I154" s="1624"/>
      <c r="J154" s="1624"/>
      <c r="K154" s="1624"/>
      <c r="L154" s="1624"/>
      <c r="M154" s="1624"/>
      <c r="N154" s="1624"/>
      <c r="O154" s="1624"/>
      <c r="P154" s="162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490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4" t="s">
        <v>194</v>
      </c>
      <c r="D19" s="1654"/>
      <c r="E19" s="1654"/>
      <c r="F19" s="1654"/>
      <c r="G19" s="1654"/>
      <c r="H19" s="1654"/>
      <c r="I19" s="1647">
        <f>SUM(I18:I18)</f>
        <v>80000</v>
      </c>
      <c r="J19" s="1649">
        <f>SUM(J18:J18)</f>
        <v>0</v>
      </c>
      <c r="K19" s="1647">
        <v>80000</v>
      </c>
      <c r="L19" s="1647">
        <v>2296</v>
      </c>
      <c r="M19" s="1647">
        <v>7400.87</v>
      </c>
      <c r="N19" s="1647">
        <v>2432</v>
      </c>
      <c r="O19" s="1647">
        <f>SUM(O18:O18)</f>
        <v>25</v>
      </c>
      <c r="P19" s="1647">
        <v>12153.87</v>
      </c>
      <c r="Q19" s="1650">
        <f>SUM(Q18:Q18)</f>
        <v>67846.13</v>
      </c>
    </row>
    <row r="20" spans="2:17" x14ac:dyDescent="0.25">
      <c r="C20" s="1654"/>
      <c r="D20" s="1654"/>
      <c r="E20" s="1654"/>
      <c r="F20" s="1654"/>
      <c r="G20" s="1654"/>
      <c r="H20" s="1654"/>
      <c r="I20" s="1647"/>
      <c r="J20" s="1649"/>
      <c r="K20" s="1647"/>
      <c r="L20" s="1647"/>
      <c r="M20" s="1647"/>
      <c r="N20" s="1647"/>
      <c r="O20" s="1647"/>
      <c r="P20" s="1647"/>
      <c r="Q20" s="165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625" t="s">
        <v>196</v>
      </c>
      <c r="O30" s="1625"/>
      <c r="P30" s="1625"/>
    </row>
    <row r="33" spans="3:16" x14ac:dyDescent="0.25">
      <c r="C33" s="25" t="s">
        <v>197</v>
      </c>
      <c r="D33" s="25"/>
      <c r="E33" t="s">
        <v>251</v>
      </c>
      <c r="N33" s="1624" t="s">
        <v>198</v>
      </c>
      <c r="O33" s="1624"/>
      <c r="P33" s="1624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625" t="s">
        <v>253</v>
      </c>
      <c r="O34" s="1625"/>
      <c r="P34" s="1625"/>
    </row>
    <row r="35" spans="3:16" x14ac:dyDescent="0.25">
      <c r="C35" s="25" t="s">
        <v>201</v>
      </c>
      <c r="D35" s="25"/>
      <c r="E35" t="s">
        <v>254</v>
      </c>
      <c r="N35" s="1624" t="s">
        <v>202</v>
      </c>
      <c r="O35" s="1624"/>
      <c r="P35" s="1624"/>
    </row>
    <row r="38" spans="3:16" x14ac:dyDescent="0.25">
      <c r="C38" s="1625"/>
      <c r="D38" s="1625"/>
      <c r="E38" s="1625"/>
      <c r="F38" s="1625"/>
      <c r="G38" s="1625"/>
      <c r="H38" s="1625"/>
      <c r="I38" s="1625"/>
      <c r="J38" s="1625"/>
      <c r="K38" s="1625"/>
      <c r="L38" s="1625"/>
      <c r="M38" s="1625"/>
      <c r="N38" s="1625"/>
      <c r="O38" s="1625"/>
      <c r="P38" s="1625"/>
    </row>
    <row r="41" spans="3:16" x14ac:dyDescent="0.25"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  <c r="O41" s="1624"/>
      <c r="P41" s="1624"/>
    </row>
    <row r="42" spans="3:16" x14ac:dyDescent="0.25"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  <c r="O42" s="1625"/>
      <c r="P42" s="1625"/>
    </row>
    <row r="43" spans="3:16" x14ac:dyDescent="0.25"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  <c r="O43" s="1624"/>
      <c r="P43" s="162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1665" t="s">
        <v>402</v>
      </c>
      <c r="C9" s="1665"/>
      <c r="D9" s="1665"/>
      <c r="E9" s="1665"/>
      <c r="F9" s="1665"/>
      <c r="G9" s="1665"/>
      <c r="H9" s="1665"/>
      <c r="I9" s="1665"/>
      <c r="J9" s="1665"/>
      <c r="K9" s="1665"/>
      <c r="L9" s="1665"/>
      <c r="M9" s="1665"/>
      <c r="N9" s="166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56" t="s">
        <v>3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6" t="s">
        <v>491</v>
      </c>
      <c r="C12" s="1656"/>
      <c r="D12" s="1656"/>
      <c r="E12" s="1656"/>
      <c r="F12" s="1656"/>
      <c r="G12" s="1656"/>
      <c r="H12" s="1656"/>
      <c r="I12" s="1656"/>
      <c r="J12" s="1656"/>
      <c r="K12" s="1656"/>
      <c r="L12" s="1656"/>
      <c r="M12" s="1656"/>
      <c r="N12" s="1656"/>
    </row>
    <row r="13" spans="1:14" x14ac:dyDescent="0.25">
      <c r="B13" s="1657" t="s">
        <v>5</v>
      </c>
      <c r="C13" s="1657"/>
      <c r="D13" s="1657"/>
      <c r="E13" s="1657"/>
      <c r="F13" s="1657"/>
      <c r="G13" s="1657"/>
      <c r="H13" s="1657"/>
      <c r="I13" s="1657"/>
      <c r="J13" s="1657"/>
      <c r="K13" s="1657"/>
      <c r="L13" s="1657"/>
      <c r="M13" s="1657"/>
      <c r="N13" s="165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2" t="s">
        <v>6</v>
      </c>
      <c r="B15" s="1661" t="s">
        <v>7</v>
      </c>
      <c r="C15" s="1661" t="s">
        <v>8</v>
      </c>
      <c r="D15" s="1661" t="s">
        <v>10</v>
      </c>
      <c r="E15" s="1663" t="s">
        <v>11</v>
      </c>
      <c r="F15" s="97" t="s">
        <v>12</v>
      </c>
      <c r="G15" s="1664" t="s">
        <v>13</v>
      </c>
      <c r="H15" s="1661" t="s">
        <v>14</v>
      </c>
      <c r="I15" s="1661" t="s">
        <v>15</v>
      </c>
      <c r="J15" s="1661" t="s">
        <v>16</v>
      </c>
      <c r="K15" s="1661" t="s">
        <v>17</v>
      </c>
      <c r="L15" s="1661" t="s">
        <v>18</v>
      </c>
      <c r="M15" s="1661" t="s">
        <v>19</v>
      </c>
      <c r="N15" s="1658" t="s">
        <v>20</v>
      </c>
    </row>
    <row r="16" spans="1:14" x14ac:dyDescent="0.25">
      <c r="A16" s="1662"/>
      <c r="B16" s="1661"/>
      <c r="C16" s="1661"/>
      <c r="D16" s="1661"/>
      <c r="E16" s="1663"/>
      <c r="F16" s="98" t="s">
        <v>21</v>
      </c>
      <c r="G16" s="1664"/>
      <c r="H16" s="1661"/>
      <c r="I16" s="1661"/>
      <c r="J16" s="1661"/>
      <c r="K16" s="1661"/>
      <c r="L16" s="1661"/>
      <c r="M16" s="1661"/>
      <c r="N16" s="165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659" t="s">
        <v>194</v>
      </c>
      <c r="C30" s="1659"/>
      <c r="D30" s="1659"/>
      <c r="E30" s="1659"/>
      <c r="F30" s="1655">
        <v>140000</v>
      </c>
      <c r="G30" s="1660">
        <v>0</v>
      </c>
      <c r="H30" s="1655">
        <v>140000</v>
      </c>
      <c r="I30" s="1660">
        <v>0</v>
      </c>
      <c r="J30" s="1660">
        <v>0</v>
      </c>
      <c r="K30" s="1660">
        <v>0</v>
      </c>
      <c r="L30" s="1660">
        <v>0</v>
      </c>
      <c r="M30" s="1660">
        <v>0</v>
      </c>
      <c r="N30" s="1655">
        <v>140000</v>
      </c>
    </row>
    <row r="31" spans="1:14" x14ac:dyDescent="0.25">
      <c r="A31" s="99"/>
      <c r="B31" s="1659"/>
      <c r="C31" s="1659"/>
      <c r="D31" s="1659"/>
      <c r="E31" s="1659"/>
      <c r="F31" s="1655"/>
      <c r="G31" s="1660"/>
      <c r="H31" s="1655"/>
      <c r="I31" s="1660"/>
      <c r="J31" s="1660"/>
      <c r="K31" s="1660"/>
      <c r="L31" s="1660"/>
      <c r="M31" s="1660"/>
      <c r="N31" s="1655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656" t="s">
        <v>196</v>
      </c>
      <c r="M35" s="1656"/>
      <c r="N35" s="1656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657" t="s">
        <v>198</v>
      </c>
      <c r="M37" s="1657"/>
      <c r="N37" s="1657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24"/>
      <c r="B44" s="1624"/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</row>
    <row r="45" spans="1:14" x14ac:dyDescent="0.25">
      <c r="A45" s="1625"/>
      <c r="B45" s="1625"/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</row>
    <row r="46" spans="1:14" x14ac:dyDescent="0.25">
      <c r="A46" s="1624"/>
      <c r="B46" s="1624"/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494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648" t="s">
        <v>194</v>
      </c>
      <c r="D36" s="1648"/>
      <c r="E36" s="1648"/>
      <c r="F36" s="1648"/>
      <c r="G36" s="1648"/>
      <c r="H36" s="1648"/>
      <c r="I36" s="1647">
        <f>SUM(I18:I35)</f>
        <v>811500</v>
      </c>
      <c r="J36" s="1649">
        <f>SUM(J18:J35)</f>
        <v>0</v>
      </c>
      <c r="K36" s="1647">
        <v>811500</v>
      </c>
      <c r="L36" s="1647">
        <v>23290.05</v>
      </c>
      <c r="M36" s="1647">
        <v>33619.919999999998</v>
      </c>
      <c r="N36" s="1647">
        <f>SUM(N18:N35)</f>
        <v>24669.599999999999</v>
      </c>
      <c r="O36" s="1647">
        <f>SUM(O18:O35)</f>
        <v>450</v>
      </c>
      <c r="P36" s="1647">
        <v>82029.570000000007</v>
      </c>
      <c r="Q36" s="1650">
        <f>SUM(Q18:Q35)</f>
        <v>729470.42999999982</v>
      </c>
    </row>
    <row r="37" spans="2:17" x14ac:dyDescent="0.25">
      <c r="C37" s="1648"/>
      <c r="D37" s="1648"/>
      <c r="E37" s="1648"/>
      <c r="F37" s="1648"/>
      <c r="G37" s="1648"/>
      <c r="H37" s="1648"/>
      <c r="I37" s="1647"/>
      <c r="J37" s="1649"/>
      <c r="K37" s="1647"/>
      <c r="L37" s="1647"/>
      <c r="M37" s="1647"/>
      <c r="N37" s="1647"/>
      <c r="O37" s="1647"/>
      <c r="P37" s="1647"/>
      <c r="Q37" s="1650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625" t="s">
        <v>196</v>
      </c>
      <c r="O40" s="1625"/>
      <c r="P40" s="1625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624" t="s">
        <v>198</v>
      </c>
      <c r="O43" s="1624"/>
      <c r="P43" s="1624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625"/>
      <c r="D48" s="1625"/>
      <c r="E48" s="1625"/>
      <c r="F48" s="1625"/>
      <c r="G48" s="1625"/>
      <c r="H48" s="1625"/>
      <c r="I48" s="1625"/>
      <c r="J48" s="1625"/>
      <c r="K48" s="1625"/>
      <c r="L48" s="1625"/>
      <c r="M48" s="1625"/>
      <c r="N48" s="1625"/>
      <c r="O48" s="1625"/>
      <c r="P48" s="1625"/>
    </row>
    <row r="51" spans="3:16" x14ac:dyDescent="0.25">
      <c r="C51" s="1624"/>
      <c r="D51" s="1624"/>
      <c r="E51" s="1624"/>
      <c r="F51" s="1624"/>
      <c r="G51" s="1624"/>
      <c r="H51" s="1624"/>
      <c r="I51" s="1624"/>
      <c r="J51" s="1624"/>
      <c r="K51" s="1624"/>
      <c r="L51" s="1624"/>
      <c r="M51" s="1624"/>
      <c r="N51" s="1624"/>
      <c r="O51" s="1624"/>
      <c r="P51" s="1624"/>
    </row>
    <row r="52" spans="3:16" x14ac:dyDescent="0.25">
      <c r="C52" s="1625"/>
      <c r="D52" s="1625"/>
      <c r="E52" s="1625"/>
      <c r="F52" s="1625"/>
      <c r="G52" s="1625"/>
      <c r="H52" s="1625"/>
      <c r="I52" s="1625"/>
      <c r="J52" s="1625"/>
      <c r="K52" s="1625"/>
      <c r="L52" s="1625"/>
      <c r="M52" s="1625"/>
      <c r="N52" s="1625"/>
      <c r="O52" s="1625"/>
      <c r="P52" s="1625"/>
    </row>
    <row r="53" spans="3:16" x14ac:dyDescent="0.25">
      <c r="C53" s="1624"/>
      <c r="D53" s="1624"/>
      <c r="E53" s="1624"/>
      <c r="F53" s="1624"/>
      <c r="G53" s="1624"/>
      <c r="H53" s="1624"/>
      <c r="I53" s="1624"/>
      <c r="J53" s="1624"/>
      <c r="K53" s="1624"/>
      <c r="L53" s="1624"/>
      <c r="M53" s="1624"/>
      <c r="N53" s="1624"/>
      <c r="O53" s="1624"/>
      <c r="P53" s="162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496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4" t="s">
        <v>194</v>
      </c>
      <c r="D19" s="1654"/>
      <c r="E19" s="1654"/>
      <c r="F19" s="1654"/>
      <c r="G19" s="1654"/>
      <c r="H19" s="1654"/>
      <c r="I19" s="1647">
        <f>SUM(I18:I18)</f>
        <v>80000</v>
      </c>
      <c r="J19" s="1649">
        <f>SUM(J18:J18)</f>
        <v>0</v>
      </c>
      <c r="K19" s="1647">
        <v>80000</v>
      </c>
      <c r="L19" s="1647">
        <v>2296</v>
      </c>
      <c r="M19" s="1647">
        <v>7400.87</v>
      </c>
      <c r="N19" s="1647">
        <v>2432</v>
      </c>
      <c r="O19" s="1647">
        <f>SUM(O18:O18)</f>
        <v>25</v>
      </c>
      <c r="P19" s="1647">
        <v>12153.87</v>
      </c>
      <c r="Q19" s="1650">
        <f>SUM(Q18:Q18)</f>
        <v>67846.13</v>
      </c>
    </row>
    <row r="20" spans="2:17" x14ac:dyDescent="0.25">
      <c r="C20" s="1654"/>
      <c r="D20" s="1654"/>
      <c r="E20" s="1654"/>
      <c r="F20" s="1654"/>
      <c r="G20" s="1654"/>
      <c r="H20" s="1654"/>
      <c r="I20" s="1647"/>
      <c r="J20" s="1649"/>
      <c r="K20" s="1647"/>
      <c r="L20" s="1647"/>
      <c r="M20" s="1647"/>
      <c r="N20" s="1647"/>
      <c r="O20" s="1647"/>
      <c r="P20" s="1647"/>
      <c r="Q20" s="165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25" t="s">
        <v>196</v>
      </c>
      <c r="O30" s="1625"/>
      <c r="P30" s="162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24" t="s">
        <v>198</v>
      </c>
      <c r="O33" s="1624"/>
      <c r="P33" s="162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625"/>
      <c r="D38" s="1625"/>
      <c r="E38" s="1625"/>
      <c r="F38" s="1625"/>
      <c r="G38" s="1625"/>
      <c r="H38" s="1625"/>
      <c r="I38" s="1625"/>
      <c r="J38" s="1625"/>
      <c r="K38" s="1625"/>
      <c r="L38" s="1625"/>
      <c r="M38" s="1625"/>
      <c r="N38" s="1625"/>
      <c r="O38" s="1625"/>
      <c r="P38" s="1625"/>
    </row>
    <row r="41" spans="3:16" x14ac:dyDescent="0.25"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  <c r="O41" s="1624"/>
      <c r="P41" s="1624"/>
    </row>
    <row r="42" spans="3:16" x14ac:dyDescent="0.25"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  <c r="O42" s="1625"/>
      <c r="P42" s="1625"/>
    </row>
    <row r="43" spans="3:16" x14ac:dyDescent="0.25"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  <c r="O43" s="1624"/>
      <c r="P43" s="162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501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648" t="s">
        <v>194</v>
      </c>
      <c r="D27" s="1648"/>
      <c r="E27" s="1648"/>
      <c r="F27" s="1648"/>
      <c r="G27" s="1648"/>
      <c r="H27" s="1648"/>
      <c r="I27" s="1647">
        <f>SUM(I18:I26)</f>
        <v>480000</v>
      </c>
      <c r="J27" s="1649">
        <f>SUM(J18:J26)</f>
        <v>0</v>
      </c>
      <c r="K27" s="1647">
        <f>SUM(K18:K26)</f>
        <v>480000</v>
      </c>
      <c r="L27" s="1647">
        <v>13776</v>
      </c>
      <c r="M27" s="1647">
        <v>28362.639999999999</v>
      </c>
      <c r="N27" s="1647">
        <f>SUM(N18:N26)</f>
        <v>14592</v>
      </c>
      <c r="O27" s="1647">
        <f>SUM(O18:O26)</f>
        <v>225</v>
      </c>
      <c r="P27" s="1647">
        <v>56955.64</v>
      </c>
      <c r="Q27" s="1650">
        <f>SUM(Q18:Q26)</f>
        <v>423044.36</v>
      </c>
    </row>
    <row r="28" spans="2:17" x14ac:dyDescent="0.25">
      <c r="C28" s="1648"/>
      <c r="D28" s="1648"/>
      <c r="E28" s="1648"/>
      <c r="F28" s="1648"/>
      <c r="G28" s="1648"/>
      <c r="H28" s="1648"/>
      <c r="I28" s="1647"/>
      <c r="J28" s="1649"/>
      <c r="K28" s="1647"/>
      <c r="L28" s="1647"/>
      <c r="M28" s="1647"/>
      <c r="N28" s="1647"/>
      <c r="O28" s="1647"/>
      <c r="P28" s="1647"/>
      <c r="Q28" s="1650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625"/>
      <c r="D39" s="1625"/>
      <c r="E39" s="1625"/>
      <c r="F39" s="1625"/>
      <c r="G39" s="1625"/>
      <c r="H39" s="1625"/>
      <c r="I39" s="1625"/>
      <c r="J39" s="1625"/>
      <c r="K39" s="1625"/>
      <c r="L39" s="1625"/>
      <c r="M39" s="1625"/>
      <c r="N39" s="1625"/>
      <c r="O39" s="1625"/>
      <c r="P39" s="1625"/>
    </row>
    <row r="42" spans="3:16" x14ac:dyDescent="0.25">
      <c r="C42" s="1624"/>
      <c r="D42" s="1624"/>
      <c r="E42" s="1624"/>
      <c r="F42" s="1624"/>
      <c r="G42" s="1624"/>
      <c r="H42" s="1624"/>
      <c r="I42" s="1624"/>
      <c r="J42" s="1624"/>
      <c r="K42" s="1624"/>
      <c r="L42" s="1624"/>
      <c r="M42" s="1624"/>
      <c r="N42" s="1624"/>
      <c r="O42" s="1624"/>
      <c r="P42" s="1624"/>
    </row>
    <row r="43" spans="3:16" x14ac:dyDescent="0.25">
      <c r="C43" s="1625"/>
      <c r="D43" s="1625"/>
      <c r="E43" s="1625"/>
      <c r="F43" s="1625"/>
      <c r="G43" s="1625"/>
      <c r="H43" s="1625"/>
      <c r="I43" s="1625"/>
      <c r="J43" s="1625"/>
      <c r="K43" s="1625"/>
      <c r="L43" s="1625"/>
      <c r="M43" s="1625"/>
      <c r="N43" s="1625"/>
      <c r="O43" s="1625"/>
      <c r="P43" s="1625"/>
    </row>
    <row r="44" spans="3:16" x14ac:dyDescent="0.25"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  <c r="P44" s="162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1665" t="s">
        <v>402</v>
      </c>
      <c r="C9" s="1665"/>
      <c r="D9" s="1665"/>
      <c r="E9" s="1665"/>
      <c r="F9" s="1665"/>
      <c r="G9" s="1665"/>
      <c r="H9" s="1665"/>
      <c r="I9" s="1665"/>
      <c r="J9" s="1665"/>
      <c r="K9" s="1665"/>
      <c r="L9" s="1665"/>
      <c r="M9" s="1665"/>
      <c r="N9" s="166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56" t="s">
        <v>3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6" t="s">
        <v>504</v>
      </c>
      <c r="C12" s="1656"/>
      <c r="D12" s="1656"/>
      <c r="E12" s="1656"/>
      <c r="F12" s="1656"/>
      <c r="G12" s="1656"/>
      <c r="H12" s="1656"/>
      <c r="I12" s="1656"/>
      <c r="J12" s="1656"/>
      <c r="K12" s="1656"/>
      <c r="L12" s="1656"/>
      <c r="M12" s="1656"/>
      <c r="N12" s="1656"/>
    </row>
    <row r="13" spans="1:14" x14ac:dyDescent="0.25">
      <c r="B13" s="1657" t="s">
        <v>5</v>
      </c>
      <c r="C13" s="1657"/>
      <c r="D13" s="1657"/>
      <c r="E13" s="1657"/>
      <c r="F13" s="1657"/>
      <c r="G13" s="1657"/>
      <c r="H13" s="1657"/>
      <c r="I13" s="1657"/>
      <c r="J13" s="1657"/>
      <c r="K13" s="1657"/>
      <c r="L13" s="1657"/>
      <c r="M13" s="1657"/>
      <c r="N13" s="165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2" t="s">
        <v>6</v>
      </c>
      <c r="B15" s="1661" t="s">
        <v>7</v>
      </c>
      <c r="C15" s="1661" t="s">
        <v>8</v>
      </c>
      <c r="D15" s="1661" t="s">
        <v>10</v>
      </c>
      <c r="E15" s="1663" t="s">
        <v>11</v>
      </c>
      <c r="F15" s="97" t="s">
        <v>12</v>
      </c>
      <c r="G15" s="1664" t="s">
        <v>13</v>
      </c>
      <c r="H15" s="1661" t="s">
        <v>14</v>
      </c>
      <c r="I15" s="1661" t="s">
        <v>15</v>
      </c>
      <c r="J15" s="1661" t="s">
        <v>16</v>
      </c>
      <c r="K15" s="1661" t="s">
        <v>17</v>
      </c>
      <c r="L15" s="1661" t="s">
        <v>18</v>
      </c>
      <c r="M15" s="1661" t="s">
        <v>19</v>
      </c>
      <c r="N15" s="1658" t="s">
        <v>20</v>
      </c>
    </row>
    <row r="16" spans="1:14" x14ac:dyDescent="0.25">
      <c r="A16" s="1662"/>
      <c r="B16" s="1661"/>
      <c r="C16" s="1661"/>
      <c r="D16" s="1661"/>
      <c r="E16" s="1663"/>
      <c r="F16" s="98" t="s">
        <v>21</v>
      </c>
      <c r="G16" s="1664"/>
      <c r="H16" s="1661"/>
      <c r="I16" s="1661"/>
      <c r="J16" s="1661"/>
      <c r="K16" s="1661"/>
      <c r="L16" s="1661"/>
      <c r="M16" s="1661"/>
      <c r="N16" s="165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59" t="s">
        <v>194</v>
      </c>
      <c r="C29" s="1659"/>
      <c r="D29" s="1659"/>
      <c r="E29" s="1659"/>
      <c r="F29" s="1655">
        <v>147000</v>
      </c>
      <c r="G29" s="1660">
        <v>0</v>
      </c>
      <c r="H29" s="1655">
        <v>147000</v>
      </c>
      <c r="I29" s="1660">
        <v>0</v>
      </c>
      <c r="J29" s="1660">
        <v>47.25</v>
      </c>
      <c r="K29" s="1660">
        <v>0</v>
      </c>
      <c r="L29" s="1660">
        <v>0</v>
      </c>
      <c r="M29" s="1660">
        <v>47.25</v>
      </c>
      <c r="N29" s="1655">
        <v>146952.75</v>
      </c>
    </row>
    <row r="30" spans="1:14" x14ac:dyDescent="0.25">
      <c r="A30" s="99"/>
      <c r="B30" s="1659"/>
      <c r="C30" s="1659"/>
      <c r="D30" s="1659"/>
      <c r="E30" s="1659"/>
      <c r="F30" s="1655"/>
      <c r="G30" s="1660"/>
      <c r="H30" s="1655"/>
      <c r="I30" s="1660"/>
      <c r="J30" s="1660"/>
      <c r="K30" s="1660"/>
      <c r="L30" s="1660"/>
      <c r="M30" s="1660"/>
      <c r="N30" s="165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  <row r="44" spans="1:14" x14ac:dyDescent="0.25">
      <c r="A44" s="1625"/>
      <c r="B44" s="1625"/>
      <c r="C44" s="1625"/>
      <c r="D44" s="1625"/>
      <c r="E44" s="1625"/>
      <c r="F44" s="1625"/>
      <c r="G44" s="1625"/>
      <c r="H44" s="1625"/>
      <c r="I44" s="1625"/>
      <c r="J44" s="1625"/>
      <c r="K44" s="1625"/>
      <c r="L44" s="1625"/>
      <c r="M44" s="1625"/>
      <c r="N44" s="1625"/>
    </row>
    <row r="45" spans="1:14" x14ac:dyDescent="0.25">
      <c r="A45" s="1624"/>
      <c r="B45" s="1624"/>
      <c r="C45" s="1624"/>
      <c r="D45" s="1624"/>
      <c r="E45" s="1624"/>
      <c r="F45" s="1624"/>
      <c r="G45" s="1624"/>
      <c r="H45" s="1624"/>
      <c r="I45" s="1624"/>
      <c r="J45" s="1624"/>
      <c r="K45" s="1624"/>
      <c r="L45" s="1624"/>
      <c r="M45" s="1624"/>
      <c r="N45" s="162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1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506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53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1" t="s">
        <v>40</v>
      </c>
      <c r="F22" s="1631" t="s">
        <v>41</v>
      </c>
      <c r="G22" s="163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1" t="s">
        <v>44</v>
      </c>
      <c r="F23" s="1631" t="s">
        <v>45</v>
      </c>
      <c r="G23" s="163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1" t="s">
        <v>49</v>
      </c>
      <c r="F24" s="1631" t="s">
        <v>50</v>
      </c>
      <c r="G24" s="1631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631" t="s">
        <v>53</v>
      </c>
      <c r="F25" s="1631" t="s">
        <v>54</v>
      </c>
      <c r="G25" s="163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1" t="s">
        <v>427</v>
      </c>
      <c r="F26" s="1631" t="s">
        <v>57</v>
      </c>
      <c r="G26" s="163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1" t="s">
        <v>53</v>
      </c>
      <c r="F27" s="1631" t="s">
        <v>60</v>
      </c>
      <c r="G27" s="163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1" t="s">
        <v>63</v>
      </c>
      <c r="F28" s="1631" t="s">
        <v>64</v>
      </c>
      <c r="G28" s="163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1" t="s">
        <v>67</v>
      </c>
      <c r="F29" s="1631" t="s">
        <v>68</v>
      </c>
      <c r="G29" s="163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1" t="s">
        <v>71</v>
      </c>
      <c r="F30" s="1631" t="s">
        <v>72</v>
      </c>
      <c r="G30" s="163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1" t="s">
        <v>75</v>
      </c>
      <c r="F31" s="1631" t="s">
        <v>76</v>
      </c>
      <c r="G31" s="163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1" t="s">
        <v>78</v>
      </c>
      <c r="F32" s="1631" t="s">
        <v>79</v>
      </c>
      <c r="G32" s="163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1" t="s">
        <v>82</v>
      </c>
      <c r="F33" s="1631" t="s">
        <v>83</v>
      </c>
      <c r="G33" s="163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1" t="s">
        <v>85</v>
      </c>
      <c r="F34" s="1631" t="s">
        <v>86</v>
      </c>
      <c r="G34" s="163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1" t="s">
        <v>89</v>
      </c>
      <c r="F35" s="1631" t="s">
        <v>90</v>
      </c>
      <c r="G35" s="163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1" t="s">
        <v>92</v>
      </c>
      <c r="F36" s="1631" t="s">
        <v>93</v>
      </c>
      <c r="G36" s="163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1" t="s">
        <v>71</v>
      </c>
      <c r="F37" s="1631" t="s">
        <v>95</v>
      </c>
      <c r="G37" s="163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1" t="s">
        <v>97</v>
      </c>
      <c r="F38" s="1631" t="s">
        <v>98</v>
      </c>
      <c r="G38" s="163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1" t="s">
        <v>92</v>
      </c>
      <c r="F39" s="1631" t="s">
        <v>100</v>
      </c>
      <c r="G39" s="163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1" t="s">
        <v>102</v>
      </c>
      <c r="F40" s="1631" t="s">
        <v>103</v>
      </c>
      <c r="G40" s="163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1" t="s">
        <v>105</v>
      </c>
      <c r="F41" s="1631" t="s">
        <v>106</v>
      </c>
      <c r="G41" s="163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1" t="s">
        <v>105</v>
      </c>
      <c r="F42" s="1631" t="s">
        <v>108</v>
      </c>
      <c r="G42" s="163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1" t="s">
        <v>78</v>
      </c>
      <c r="F43" s="1631" t="s">
        <v>115</v>
      </c>
      <c r="G43" s="163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1" t="s">
        <v>117</v>
      </c>
      <c r="F44" s="1631" t="s">
        <v>118</v>
      </c>
      <c r="G44" s="163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1" t="s">
        <v>120</v>
      </c>
      <c r="F45" s="1631" t="s">
        <v>121</v>
      </c>
      <c r="G45" s="163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1" t="s">
        <v>49</v>
      </c>
      <c r="F46" s="1631" t="s">
        <v>123</v>
      </c>
      <c r="G46" s="163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1" t="s">
        <v>125</v>
      </c>
      <c r="F47" s="1631" t="s">
        <v>126</v>
      </c>
      <c r="G47" s="163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1" t="s">
        <v>105</v>
      </c>
      <c r="F48" s="1631" t="s">
        <v>128</v>
      </c>
      <c r="G48" s="163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1" t="s">
        <v>102</v>
      </c>
      <c r="F49" s="1631" t="s">
        <v>130</v>
      </c>
      <c r="G49" s="163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1" t="s">
        <v>132</v>
      </c>
      <c r="F50" s="1631" t="s">
        <v>133</v>
      </c>
      <c r="G50" s="163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1" t="s">
        <v>117</v>
      </c>
      <c r="F51" s="1631" t="s">
        <v>135</v>
      </c>
      <c r="G51" s="163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1" t="s">
        <v>85</v>
      </c>
      <c r="F52" s="1631" t="s">
        <v>137</v>
      </c>
      <c r="G52" s="163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1" t="s">
        <v>139</v>
      </c>
      <c r="F53" s="1631" t="s">
        <v>140</v>
      </c>
      <c r="G53" s="163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1" t="s">
        <v>148</v>
      </c>
      <c r="F54" s="1631" t="s">
        <v>149</v>
      </c>
      <c r="G54" s="163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1" t="s">
        <v>151</v>
      </c>
      <c r="F55" s="1631" t="s">
        <v>152</v>
      </c>
      <c r="G55" s="163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1" t="s">
        <v>157</v>
      </c>
      <c r="F56" s="1631" t="s">
        <v>158</v>
      </c>
      <c r="G56" s="163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1" t="s">
        <v>160</v>
      </c>
      <c r="F58" s="1631" t="s">
        <v>161</v>
      </c>
      <c r="G58" s="163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1" t="s">
        <v>163</v>
      </c>
      <c r="F59" s="1631" t="s">
        <v>164</v>
      </c>
      <c r="G59" s="163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1" t="s">
        <v>92</v>
      </c>
      <c r="F62" s="1631" t="s">
        <v>168</v>
      </c>
      <c r="G62" s="163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1" t="s">
        <v>276</v>
      </c>
      <c r="F63" s="1631" t="s">
        <v>170</v>
      </c>
      <c r="G63" s="163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1" t="s">
        <v>40</v>
      </c>
      <c r="F67" s="1631" t="s">
        <v>172</v>
      </c>
      <c r="G67" s="163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1" t="s">
        <v>92</v>
      </c>
      <c r="F72" s="1631"/>
      <c r="G72" s="163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1" t="s">
        <v>276</v>
      </c>
      <c r="F76" s="1631"/>
      <c r="G76" s="163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1" t="s">
        <v>30</v>
      </c>
      <c r="F77" s="1631" t="s">
        <v>31</v>
      </c>
      <c r="G77" s="163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1" t="s">
        <v>30</v>
      </c>
      <c r="F78" s="1631" t="s">
        <v>31</v>
      </c>
      <c r="G78" s="163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1" t="s">
        <v>30</v>
      </c>
      <c r="F79" s="1631" t="s">
        <v>31</v>
      </c>
      <c r="G79" s="163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631" t="s">
        <v>178</v>
      </c>
      <c r="F86" s="1631" t="s">
        <v>179</v>
      </c>
      <c r="G86" s="1631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640" t="s">
        <v>92</v>
      </c>
      <c r="F87" s="1640" t="s">
        <v>193</v>
      </c>
      <c r="G87" s="1640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631" t="s">
        <v>44</v>
      </c>
      <c r="F133" s="1631" t="s">
        <v>45</v>
      </c>
      <c r="G133" s="1631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41" t="s">
        <v>288</v>
      </c>
      <c r="D137" s="1641"/>
      <c r="E137" s="1641"/>
      <c r="F137" s="1641"/>
      <c r="G137" s="1641"/>
      <c r="H137" s="1641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625"/>
      <c r="D149" s="1625"/>
      <c r="E149" s="1625"/>
      <c r="F149" s="1625"/>
      <c r="G149" s="1625"/>
      <c r="H149" s="1625"/>
      <c r="I149" s="1625"/>
      <c r="J149" s="1625"/>
      <c r="K149" s="1625"/>
      <c r="L149" s="1625"/>
      <c r="M149" s="1625"/>
      <c r="N149" s="1625"/>
      <c r="O149" s="1625"/>
      <c r="P149" s="1625"/>
    </row>
    <row r="152" spans="3:16" x14ac:dyDescent="0.25">
      <c r="C152" s="1624"/>
      <c r="D152" s="1624"/>
      <c r="E152" s="1624"/>
      <c r="F152" s="1624"/>
      <c r="G152" s="1624"/>
      <c r="H152" s="1624"/>
      <c r="I152" s="1624"/>
      <c r="J152" s="1624"/>
      <c r="K152" s="1624"/>
      <c r="L152" s="1624"/>
      <c r="M152" s="1624"/>
      <c r="N152" s="1624"/>
      <c r="O152" s="1624"/>
      <c r="P152" s="1624"/>
    </row>
    <row r="153" spans="3:16" x14ac:dyDescent="0.25">
      <c r="C153" s="1625"/>
      <c r="D153" s="1625"/>
      <c r="E153" s="1625"/>
      <c r="F153" s="1625"/>
      <c r="G153" s="1625"/>
      <c r="H153" s="1625"/>
      <c r="I153" s="1625"/>
      <c r="J153" s="1625"/>
      <c r="K153" s="1625"/>
      <c r="L153" s="1625"/>
      <c r="M153" s="1625"/>
      <c r="N153" s="1625"/>
      <c r="O153" s="1625"/>
      <c r="P153" s="1625"/>
    </row>
    <row r="154" spans="3:16" x14ac:dyDescent="0.25">
      <c r="C154" s="1624"/>
      <c r="D154" s="1624"/>
      <c r="E154" s="1624"/>
      <c r="F154" s="1624"/>
      <c r="G154" s="1624"/>
      <c r="H154" s="1624"/>
      <c r="I154" s="1624"/>
      <c r="J154" s="1624"/>
      <c r="K154" s="1624"/>
      <c r="L154" s="1624"/>
      <c r="M154" s="1624"/>
      <c r="N154" s="1624"/>
      <c r="O154" s="1624"/>
      <c r="P154" s="1624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 t="s">
        <v>512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39" t="s">
        <v>402</v>
      </c>
      <c r="D8" s="1639"/>
      <c r="E8" s="1639"/>
      <c r="F8" s="1639"/>
      <c r="G8" s="1639"/>
      <c r="H8" s="1639"/>
      <c r="I8" s="1639"/>
      <c r="J8" s="1639"/>
      <c r="K8" s="1639"/>
      <c r="L8" s="1639"/>
      <c r="M8" s="1639"/>
      <c r="N8" s="1639"/>
      <c r="O8" s="1639"/>
      <c r="P8" s="1639"/>
      <c r="Q8" s="163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513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404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4" spans="2:17" x14ac:dyDescent="0.25">
      <c r="B14" s="1646" t="s">
        <v>6</v>
      </c>
      <c r="C14" s="1642" t="s">
        <v>7</v>
      </c>
      <c r="D14" s="1642" t="s">
        <v>8</v>
      </c>
      <c r="E14" s="1642" t="s">
        <v>9</v>
      </c>
      <c r="F14" s="1642" t="s">
        <v>10</v>
      </c>
      <c r="G14" s="1645" t="s">
        <v>11</v>
      </c>
      <c r="H14" s="1642" t="s">
        <v>11</v>
      </c>
      <c r="I14" s="51" t="s">
        <v>12</v>
      </c>
      <c r="J14" s="1644" t="s">
        <v>13</v>
      </c>
      <c r="K14" s="1642" t="s">
        <v>14</v>
      </c>
      <c r="L14" s="1642" t="s">
        <v>15</v>
      </c>
      <c r="M14" s="1642" t="s">
        <v>16</v>
      </c>
      <c r="N14" s="1642" t="s">
        <v>17</v>
      </c>
      <c r="O14" s="1642" t="s">
        <v>18</v>
      </c>
      <c r="P14" s="1642" t="s">
        <v>19</v>
      </c>
      <c r="Q14" s="1643" t="s">
        <v>20</v>
      </c>
    </row>
    <row r="15" spans="2:17" x14ac:dyDescent="0.25">
      <c r="B15" s="1646"/>
      <c r="C15" s="1642"/>
      <c r="D15" s="1642"/>
      <c r="E15" s="1642"/>
      <c r="F15" s="1642"/>
      <c r="G15" s="1645"/>
      <c r="H15" s="1642"/>
      <c r="I15" s="52" t="s">
        <v>21</v>
      </c>
      <c r="J15" s="1644"/>
      <c r="K15" s="1642"/>
      <c r="L15" s="1642"/>
      <c r="M15" s="1642"/>
      <c r="N15" s="1642"/>
      <c r="O15" s="1642"/>
      <c r="P15" s="1642"/>
      <c r="Q15" s="1643"/>
    </row>
    <row r="17" spans="2:17" x14ac:dyDescent="0.25">
      <c r="B17" s="127">
        <v>1</v>
      </c>
      <c r="C17" s="54" t="s">
        <v>22</v>
      </c>
      <c r="D17" s="7" t="s">
        <v>23</v>
      </c>
      <c r="E17" s="1634" t="s">
        <v>24</v>
      </c>
      <c r="F17" s="1634"/>
      <c r="G17" s="163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631" t="s">
        <v>30</v>
      </c>
      <c r="F18" s="1631" t="s">
        <v>31</v>
      </c>
      <c r="G18" s="163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631" t="s">
        <v>36</v>
      </c>
      <c r="F19" s="1631" t="s">
        <v>37</v>
      </c>
      <c r="G19" s="1631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631" t="s">
        <v>40</v>
      </c>
      <c r="F21" s="1631" t="s">
        <v>41</v>
      </c>
      <c r="G21" s="1631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631" t="s">
        <v>44</v>
      </c>
      <c r="F22" s="1631" t="s">
        <v>45</v>
      </c>
      <c r="G22" s="1631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631" t="s">
        <v>49</v>
      </c>
      <c r="F23" s="1631" t="s">
        <v>50</v>
      </c>
      <c r="G23" s="1631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631" t="s">
        <v>53</v>
      </c>
      <c r="F24" s="1631" t="s">
        <v>54</v>
      </c>
      <c r="G24" s="1631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631" t="s">
        <v>427</v>
      </c>
      <c r="F25" s="1631" t="s">
        <v>57</v>
      </c>
      <c r="G25" s="1631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631" t="s">
        <v>53</v>
      </c>
      <c r="F26" s="1631" t="s">
        <v>60</v>
      </c>
      <c r="G26" s="1631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631" t="s">
        <v>514</v>
      </c>
      <c r="F27" s="1631" t="s">
        <v>64</v>
      </c>
      <c r="G27" s="1631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631" t="s">
        <v>67</v>
      </c>
      <c r="F28" s="1631" t="s">
        <v>68</v>
      </c>
      <c r="G28" s="1631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631" t="s">
        <v>71</v>
      </c>
      <c r="F29" s="1631" t="s">
        <v>72</v>
      </c>
      <c r="G29" s="1631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631" t="s">
        <v>515</v>
      </c>
      <c r="F30" s="1631" t="s">
        <v>79</v>
      </c>
      <c r="G30" s="1631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631" t="s">
        <v>78</v>
      </c>
      <c r="F31" s="1631" t="s">
        <v>79</v>
      </c>
      <c r="G31" s="1631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631" t="s">
        <v>82</v>
      </c>
      <c r="F32" s="1631" t="s">
        <v>83</v>
      </c>
      <c r="G32" s="1631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631" t="s">
        <v>85</v>
      </c>
      <c r="F33" s="1631" t="s">
        <v>86</v>
      </c>
      <c r="G33" s="1631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631" t="s">
        <v>89</v>
      </c>
      <c r="F34" s="1631" t="s">
        <v>90</v>
      </c>
      <c r="G34" s="1631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631" t="s">
        <v>92</v>
      </c>
      <c r="F35" s="1631" t="s">
        <v>93</v>
      </c>
      <c r="G35" s="1631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631" t="s">
        <v>71</v>
      </c>
      <c r="F36" s="1631" t="s">
        <v>95</v>
      </c>
      <c r="G36" s="1631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631" t="s">
        <v>97</v>
      </c>
      <c r="F37" s="1631" t="s">
        <v>98</v>
      </c>
      <c r="G37" s="1631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631" t="s">
        <v>92</v>
      </c>
      <c r="F38" s="1631" t="s">
        <v>100</v>
      </c>
      <c r="G38" s="1631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631" t="s">
        <v>102</v>
      </c>
      <c r="F39" s="1631" t="s">
        <v>103</v>
      </c>
      <c r="G39" s="1631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631" t="s">
        <v>105</v>
      </c>
      <c r="F40" s="1631" t="s">
        <v>106</v>
      </c>
      <c r="G40" s="1631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631" t="s">
        <v>105</v>
      </c>
      <c r="F41" s="1631" t="s">
        <v>108</v>
      </c>
      <c r="G41" s="1631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631" t="s">
        <v>515</v>
      </c>
      <c r="F42" s="1631" t="s">
        <v>115</v>
      </c>
      <c r="G42" s="1631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631" t="s">
        <v>489</v>
      </c>
      <c r="F43" s="1631" t="s">
        <v>118</v>
      </c>
      <c r="G43" s="1631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631" t="s">
        <v>120</v>
      </c>
      <c r="F44" s="1631" t="s">
        <v>121</v>
      </c>
      <c r="G44" s="163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631" t="s">
        <v>49</v>
      </c>
      <c r="F45" s="1631" t="s">
        <v>123</v>
      </c>
      <c r="G45" s="163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631" t="s">
        <v>125</v>
      </c>
      <c r="F46" s="1631" t="s">
        <v>126</v>
      </c>
      <c r="G46" s="1631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631" t="s">
        <v>105</v>
      </c>
      <c r="F47" s="1631" t="s">
        <v>128</v>
      </c>
      <c r="G47" s="1631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631" t="s">
        <v>102</v>
      </c>
      <c r="F48" s="1631" t="s">
        <v>130</v>
      </c>
      <c r="G48" s="163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631" t="s">
        <v>132</v>
      </c>
      <c r="F49" s="1631" t="s">
        <v>133</v>
      </c>
      <c r="G49" s="163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631" t="s">
        <v>489</v>
      </c>
      <c r="F50" s="1631" t="s">
        <v>118</v>
      </c>
      <c r="G50" s="1631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631" t="s">
        <v>85</v>
      </c>
      <c r="F51" s="1631" t="s">
        <v>137</v>
      </c>
      <c r="G51" s="1631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631" t="s">
        <v>516</v>
      </c>
      <c r="F52" s="1631" t="s">
        <v>140</v>
      </c>
      <c r="G52" s="1631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631" t="s">
        <v>148</v>
      </c>
      <c r="F53" s="1631" t="s">
        <v>149</v>
      </c>
      <c r="G53" s="1631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631" t="s">
        <v>151</v>
      </c>
      <c r="F54" s="1631" t="s">
        <v>152</v>
      </c>
      <c r="G54" s="163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631" t="s">
        <v>157</v>
      </c>
      <c r="F55" s="1631" t="s">
        <v>158</v>
      </c>
      <c r="G55" s="1631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631" t="s">
        <v>160</v>
      </c>
      <c r="F57" s="1631" t="s">
        <v>161</v>
      </c>
      <c r="G57" s="163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631" t="s">
        <v>163</v>
      </c>
      <c r="F58" s="1631" t="s">
        <v>164</v>
      </c>
      <c r="G58" s="1631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631" t="s">
        <v>92</v>
      </c>
      <c r="F61" s="1631" t="s">
        <v>168</v>
      </c>
      <c r="G61" s="1631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631" t="s">
        <v>248</v>
      </c>
      <c r="F62" s="1631" t="s">
        <v>170</v>
      </c>
      <c r="G62" s="1631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631" t="s">
        <v>40</v>
      </c>
      <c r="F66" s="1631" t="s">
        <v>172</v>
      </c>
      <c r="G66" s="163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631" t="s">
        <v>518</v>
      </c>
      <c r="F71" s="1631"/>
      <c r="G71" s="1631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631" t="s">
        <v>30</v>
      </c>
      <c r="F72" s="1631" t="s">
        <v>31</v>
      </c>
      <c r="G72" s="163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631" t="s">
        <v>30</v>
      </c>
      <c r="F73" s="1631" t="s">
        <v>31</v>
      </c>
      <c r="G73" s="1631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631" t="s">
        <v>30</v>
      </c>
      <c r="F74" s="1631" t="s">
        <v>31</v>
      </c>
      <c r="G74" s="1631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631" t="s">
        <v>178</v>
      </c>
      <c r="F80" s="1631" t="s">
        <v>179</v>
      </c>
      <c r="G80" s="1631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640" t="s">
        <v>92</v>
      </c>
      <c r="F81" s="1640" t="s">
        <v>193</v>
      </c>
      <c r="G81" s="1640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631" t="s">
        <v>44</v>
      </c>
      <c r="F105" s="1631" t="s">
        <v>45</v>
      </c>
      <c r="G105" s="1631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641" t="s">
        <v>288</v>
      </c>
      <c r="D109" s="1641"/>
      <c r="E109" s="1641"/>
      <c r="F109" s="1641"/>
      <c r="G109" s="1641"/>
      <c r="H109" s="1641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625"/>
      <c r="D122" s="1625"/>
      <c r="E122" s="1625"/>
      <c r="F122" s="1625"/>
      <c r="G122" s="1625"/>
      <c r="H122" s="1625"/>
      <c r="I122" s="1625"/>
      <c r="J122" s="1625"/>
      <c r="K122" s="1625"/>
      <c r="L122" s="1625"/>
      <c r="M122" s="1625"/>
      <c r="N122" s="1625"/>
      <c r="O122" s="1625"/>
      <c r="P122" s="1625"/>
    </row>
    <row r="125" spans="3:16" x14ac:dyDescent="0.25">
      <c r="C125" s="1624"/>
      <c r="D125" s="1624"/>
      <c r="E125" s="1624"/>
      <c r="F125" s="1624"/>
      <c r="G125" s="1624"/>
      <c r="H125" s="1624"/>
      <c r="I125" s="1624"/>
      <c r="J125" s="1624"/>
      <c r="K125" s="1624"/>
      <c r="L125" s="1624"/>
      <c r="M125" s="1624"/>
      <c r="N125" s="1624"/>
      <c r="O125" s="1624"/>
      <c r="P125" s="1624"/>
    </row>
    <row r="126" spans="3:16" x14ac:dyDescent="0.25">
      <c r="C126" s="1625"/>
      <c r="D126" s="1625"/>
      <c r="E126" s="1625"/>
      <c r="F126" s="1625"/>
      <c r="G126" s="1625"/>
      <c r="H126" s="1625"/>
      <c r="I126" s="1625"/>
      <c r="J126" s="1625"/>
      <c r="K126" s="1625"/>
      <c r="L126" s="1625"/>
      <c r="M126" s="1625"/>
      <c r="N126" s="1625"/>
      <c r="O126" s="1625"/>
      <c r="P126" s="1625"/>
    </row>
    <row r="127" spans="3:16" x14ac:dyDescent="0.25">
      <c r="C127" s="1624"/>
      <c r="D127" s="1624"/>
      <c r="E127" s="1624"/>
      <c r="F127" s="1624"/>
      <c r="G127" s="1624"/>
      <c r="H127" s="1624"/>
      <c r="I127" s="1624"/>
      <c r="J127" s="1624"/>
      <c r="K127" s="1624"/>
      <c r="L127" s="1624"/>
      <c r="M127" s="1624"/>
      <c r="N127" s="1624"/>
      <c r="O127" s="1624"/>
      <c r="P127" s="1624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524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406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666" t="s">
        <v>194</v>
      </c>
      <c r="D33" s="1666"/>
      <c r="E33" s="1666"/>
      <c r="F33" s="1666"/>
      <c r="G33" s="1666"/>
      <c r="H33" s="1666"/>
      <c r="I33" s="1647">
        <f>SUM(I18:I32)</f>
        <v>645000</v>
      </c>
      <c r="J33" s="1649">
        <f>SUM(J18:J32)</f>
        <v>0</v>
      </c>
      <c r="K33" s="1647">
        <f>SUM(K18:K32)</f>
        <v>645000</v>
      </c>
      <c r="L33" s="1647">
        <v>18511.5</v>
      </c>
      <c r="M33" s="1647">
        <v>28057.91</v>
      </c>
      <c r="N33" s="1647">
        <f>SUM(N18:N32)</f>
        <v>19608</v>
      </c>
      <c r="O33" s="1647">
        <f>SUM(O18:O32)</f>
        <v>375</v>
      </c>
      <c r="P33" s="1647">
        <v>66552.41</v>
      </c>
      <c r="Q33" s="1650">
        <f>SUM(Q18:Q32)</f>
        <v>578447.59</v>
      </c>
    </row>
    <row r="34" spans="3:17" x14ac:dyDescent="0.25">
      <c r="C34" s="1666"/>
      <c r="D34" s="1666"/>
      <c r="E34" s="1666"/>
      <c r="F34" s="1666"/>
      <c r="G34" s="1666"/>
      <c r="H34" s="1666"/>
      <c r="I34" s="1647"/>
      <c r="J34" s="1649"/>
      <c r="K34" s="1647"/>
      <c r="L34" s="1647"/>
      <c r="M34" s="1647"/>
      <c r="N34" s="1647"/>
      <c r="O34" s="1647"/>
      <c r="P34" s="1647"/>
      <c r="Q34" s="1650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  <c r="P45" s="1625"/>
    </row>
    <row r="48" spans="3:17" x14ac:dyDescent="0.25">
      <c r="C48" s="1624"/>
      <c r="D48" s="1624"/>
      <c r="E48" s="1624"/>
      <c r="F48" s="1624"/>
      <c r="G48" s="1624"/>
      <c r="H48" s="1624"/>
      <c r="I48" s="1624"/>
      <c r="J48" s="1624"/>
      <c r="K48" s="1624"/>
      <c r="L48" s="1624"/>
      <c r="M48" s="1624"/>
      <c r="N48" s="1624"/>
      <c r="O48" s="1624"/>
      <c r="P48" s="1624"/>
    </row>
    <row r="49" spans="3:16" x14ac:dyDescent="0.25">
      <c r="C49" s="1625"/>
      <c r="D49" s="1625"/>
      <c r="E49" s="1625"/>
      <c r="F49" s="1625"/>
      <c r="G49" s="1625"/>
      <c r="H49" s="1625"/>
      <c r="I49" s="1625"/>
      <c r="J49" s="1625"/>
      <c r="K49" s="1625"/>
      <c r="L49" s="1625"/>
      <c r="M49" s="1625"/>
      <c r="N49" s="1625"/>
      <c r="O49" s="1625"/>
      <c r="P49" s="1625"/>
    </row>
    <row r="50" spans="3:16" x14ac:dyDescent="0.25">
      <c r="C50" s="1624"/>
      <c r="D50" s="1624"/>
      <c r="E50" s="1624"/>
      <c r="F50" s="1624"/>
      <c r="G50" s="1624"/>
      <c r="H50" s="1624"/>
      <c r="I50" s="1624"/>
      <c r="J50" s="1624"/>
      <c r="K50" s="1624"/>
      <c r="L50" s="1624"/>
      <c r="M50" s="1624"/>
      <c r="N50" s="1624"/>
      <c r="O50" s="1624"/>
      <c r="P50" s="162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1665" t="s">
        <v>402</v>
      </c>
      <c r="C9" s="1665"/>
      <c r="D9" s="1665"/>
      <c r="E9" s="1665"/>
      <c r="F9" s="1665"/>
      <c r="G9" s="1665"/>
      <c r="H9" s="1665"/>
      <c r="I9" s="1665"/>
      <c r="J9" s="1665"/>
      <c r="K9" s="1665"/>
      <c r="L9" s="1665"/>
      <c r="M9" s="1665"/>
      <c r="N9" s="166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56" t="s">
        <v>3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6" t="s">
        <v>536</v>
      </c>
      <c r="C12" s="1656"/>
      <c r="D12" s="1656"/>
      <c r="E12" s="1656"/>
      <c r="F12" s="1656"/>
      <c r="G12" s="1656"/>
      <c r="H12" s="1656"/>
      <c r="I12" s="1656"/>
      <c r="J12" s="1656"/>
      <c r="K12" s="1656"/>
      <c r="L12" s="1656"/>
      <c r="M12" s="1656"/>
      <c r="N12" s="1656"/>
    </row>
    <row r="13" spans="1:14" x14ac:dyDescent="0.25">
      <c r="B13" s="1657" t="s">
        <v>5</v>
      </c>
      <c r="C13" s="1657"/>
      <c r="D13" s="1657"/>
      <c r="E13" s="1657"/>
      <c r="F13" s="1657"/>
      <c r="G13" s="1657"/>
      <c r="H13" s="1657"/>
      <c r="I13" s="1657"/>
      <c r="J13" s="1657"/>
      <c r="K13" s="1657"/>
      <c r="L13" s="1657"/>
      <c r="M13" s="1657"/>
      <c r="N13" s="165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2" t="s">
        <v>6</v>
      </c>
      <c r="B15" s="1661" t="s">
        <v>7</v>
      </c>
      <c r="C15" s="1661" t="s">
        <v>8</v>
      </c>
      <c r="D15" s="1661" t="s">
        <v>10</v>
      </c>
      <c r="E15" s="1663" t="s">
        <v>11</v>
      </c>
      <c r="F15" s="97" t="s">
        <v>12</v>
      </c>
      <c r="G15" s="1664" t="s">
        <v>13</v>
      </c>
      <c r="H15" s="1661" t="s">
        <v>14</v>
      </c>
      <c r="I15" s="1661" t="s">
        <v>15</v>
      </c>
      <c r="J15" s="1661" t="s">
        <v>16</v>
      </c>
      <c r="K15" s="1661" t="s">
        <v>17</v>
      </c>
      <c r="L15" s="1661" t="s">
        <v>18</v>
      </c>
      <c r="M15" s="1661" t="s">
        <v>19</v>
      </c>
      <c r="N15" s="1658" t="s">
        <v>20</v>
      </c>
    </row>
    <row r="16" spans="1:14" x14ac:dyDescent="0.25">
      <c r="A16" s="1662"/>
      <c r="B16" s="1661"/>
      <c r="C16" s="1661"/>
      <c r="D16" s="1661"/>
      <c r="E16" s="1663"/>
      <c r="F16" s="98" t="s">
        <v>21</v>
      </c>
      <c r="G16" s="1664"/>
      <c r="H16" s="1661"/>
      <c r="I16" s="1661"/>
      <c r="J16" s="1661"/>
      <c r="K16" s="1661"/>
      <c r="L16" s="1661"/>
      <c r="M16" s="1661"/>
      <c r="N16" s="165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59" t="s">
        <v>194</v>
      </c>
      <c r="C29" s="1659"/>
      <c r="D29" s="1659"/>
      <c r="E29" s="1659"/>
      <c r="F29" s="1655">
        <v>147000</v>
      </c>
      <c r="G29" s="1660">
        <v>0</v>
      </c>
      <c r="H29" s="1655">
        <v>147000</v>
      </c>
      <c r="I29" s="1660">
        <v>0</v>
      </c>
      <c r="J29" s="1660">
        <v>47.25</v>
      </c>
      <c r="K29" s="1660">
        <v>0</v>
      </c>
      <c r="L29" s="1660">
        <v>0</v>
      </c>
      <c r="M29" s="1660">
        <v>0</v>
      </c>
      <c r="N29" s="1655">
        <v>146952.75</v>
      </c>
    </row>
    <row r="30" spans="1:14" x14ac:dyDescent="0.25">
      <c r="A30" s="99"/>
      <c r="B30" s="1659"/>
      <c r="C30" s="1659"/>
      <c r="D30" s="1659"/>
      <c r="E30" s="1659"/>
      <c r="F30" s="1655"/>
      <c r="G30" s="1660"/>
      <c r="H30" s="1655"/>
      <c r="I30" s="1660"/>
      <c r="J30" s="1660"/>
      <c r="K30" s="1660"/>
      <c r="L30" s="1660"/>
      <c r="M30" s="1660"/>
      <c r="N30" s="165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  <row r="44" spans="1:14" x14ac:dyDescent="0.25">
      <c r="A44" s="1625"/>
      <c r="B44" s="1625"/>
      <c r="C44" s="1625"/>
      <c r="D44" s="1625"/>
      <c r="E44" s="1625"/>
      <c r="F44" s="1625"/>
      <c r="G44" s="1625"/>
      <c r="H44" s="1625"/>
      <c r="I44" s="1625"/>
      <c r="J44" s="1625"/>
      <c r="K44" s="1625"/>
      <c r="L44" s="1625"/>
      <c r="M44" s="1625"/>
      <c r="N44" s="1625"/>
    </row>
    <row r="45" spans="1:14" x14ac:dyDescent="0.25">
      <c r="A45" s="1624"/>
      <c r="B45" s="1624"/>
      <c r="C45" s="1624"/>
      <c r="D45" s="1624"/>
      <c r="E45" s="1624"/>
      <c r="F45" s="1624"/>
      <c r="G45" s="1624"/>
      <c r="H45" s="1624"/>
      <c r="I45" s="1624"/>
      <c r="J45" s="1624"/>
      <c r="K45" s="1624"/>
      <c r="L45" s="1624"/>
      <c r="M45" s="1624"/>
      <c r="N45" s="162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39" t="s">
        <v>402</v>
      </c>
      <c r="D9" s="1639"/>
      <c r="E9" s="1639"/>
      <c r="F9" s="1639"/>
      <c r="G9" s="1639"/>
      <c r="H9" s="1639"/>
      <c r="I9" s="1639"/>
      <c r="J9" s="1639"/>
      <c r="K9" s="1639"/>
      <c r="L9" s="1639"/>
      <c r="M9" s="1639"/>
      <c r="N9" s="1639"/>
      <c r="O9" s="1639"/>
      <c r="P9" s="1639"/>
      <c r="Q9" s="163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5" t="s">
        <v>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25" t="s">
        <v>538</v>
      </c>
      <c r="D12" s="1625"/>
      <c r="E12" s="1625"/>
      <c r="F12" s="1625"/>
      <c r="G12" s="1625"/>
      <c r="H12" s="1625"/>
      <c r="I12" s="1625"/>
      <c r="J12" s="1625"/>
      <c r="K12" s="1625"/>
      <c r="L12" s="1625"/>
      <c r="M12" s="1625"/>
      <c r="N12" s="1625"/>
      <c r="O12" s="1625"/>
      <c r="P12" s="1625"/>
      <c r="Q12" s="1625"/>
    </row>
    <row r="13" spans="2:17" x14ac:dyDescent="0.25">
      <c r="C13" s="1638" t="s">
        <v>441</v>
      </c>
      <c r="D13" s="1638"/>
      <c r="E13" s="1638"/>
      <c r="F13" s="1638"/>
      <c r="G13" s="1638"/>
      <c r="H13" s="1638"/>
      <c r="I13" s="1638"/>
      <c r="J13" s="1638"/>
      <c r="K13" s="1638"/>
      <c r="L13" s="1638"/>
      <c r="M13" s="1638"/>
      <c r="N13" s="1638"/>
      <c r="O13" s="1638"/>
      <c r="P13" s="1638"/>
      <c r="Q13" s="163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7" t="s">
        <v>6</v>
      </c>
      <c r="C15" s="1632" t="s">
        <v>7</v>
      </c>
      <c r="D15" s="1632" t="s">
        <v>8</v>
      </c>
      <c r="E15" s="1632" t="s">
        <v>10</v>
      </c>
      <c r="F15" s="1636" t="s">
        <v>11</v>
      </c>
      <c r="G15" s="1632" t="s">
        <v>208</v>
      </c>
      <c r="H15" s="1632" t="s">
        <v>209</v>
      </c>
      <c r="I15" s="3" t="s">
        <v>12</v>
      </c>
      <c r="J15" s="1635" t="s">
        <v>13</v>
      </c>
      <c r="K15" s="1632" t="s">
        <v>14</v>
      </c>
      <c r="L15" s="1632" t="s">
        <v>15</v>
      </c>
      <c r="M15" s="1632" t="s">
        <v>16</v>
      </c>
      <c r="N15" s="1632" t="s">
        <v>17</v>
      </c>
      <c r="O15" s="1632" t="s">
        <v>18</v>
      </c>
      <c r="P15" s="1632" t="s">
        <v>19</v>
      </c>
      <c r="Q15" s="1633" t="s">
        <v>20</v>
      </c>
    </row>
    <row r="16" spans="2:17" x14ac:dyDescent="0.25">
      <c r="B16" s="1637"/>
      <c r="C16" s="1632"/>
      <c r="D16" s="1632"/>
      <c r="E16" s="1632"/>
      <c r="F16" s="1636"/>
      <c r="G16" s="1632"/>
      <c r="H16" s="1632"/>
      <c r="I16" s="4" t="s">
        <v>21</v>
      </c>
      <c r="J16" s="1635"/>
      <c r="K16" s="1632"/>
      <c r="L16" s="1632"/>
      <c r="M16" s="1632"/>
      <c r="N16" s="1632"/>
      <c r="O16" s="1632"/>
      <c r="P16" s="1632"/>
      <c r="Q16" s="163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4" t="s">
        <v>194</v>
      </c>
      <c r="D19" s="1654"/>
      <c r="E19" s="1654"/>
      <c r="F19" s="1654"/>
      <c r="G19" s="1654"/>
      <c r="H19" s="1654"/>
      <c r="I19" s="1647">
        <f>SUM(I18:I18)</f>
        <v>80000</v>
      </c>
      <c r="J19" s="1649">
        <f>SUM(J18:J18)</f>
        <v>0</v>
      </c>
      <c r="K19" s="1647">
        <v>80000</v>
      </c>
      <c r="L19" s="1647">
        <v>2296</v>
      </c>
      <c r="M19" s="1647">
        <v>7400.87</v>
      </c>
      <c r="N19" s="1647">
        <v>2432</v>
      </c>
      <c r="O19" s="1647">
        <f>SUM(O18:O18)</f>
        <v>25</v>
      </c>
      <c r="P19" s="1647">
        <v>12153.87</v>
      </c>
      <c r="Q19" s="1650">
        <f>SUM(Q18:Q18)</f>
        <v>67846.13</v>
      </c>
    </row>
    <row r="20" spans="2:17" x14ac:dyDescent="0.25">
      <c r="C20" s="1654"/>
      <c r="D20" s="1654"/>
      <c r="E20" s="1654"/>
      <c r="F20" s="1654"/>
      <c r="G20" s="1654"/>
      <c r="H20" s="1654"/>
      <c r="I20" s="1647"/>
      <c r="J20" s="1649"/>
      <c r="K20" s="1647"/>
      <c r="L20" s="1647"/>
      <c r="M20" s="1647"/>
      <c r="N20" s="1647"/>
      <c r="O20" s="1647"/>
      <c r="P20" s="1647"/>
      <c r="Q20" s="165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25" t="s">
        <v>196</v>
      </c>
      <c r="O30" s="1625"/>
      <c r="P30" s="162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24" t="s">
        <v>198</v>
      </c>
      <c r="O33" s="1624"/>
      <c r="P33" s="162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625"/>
      <c r="D38" s="1625"/>
      <c r="E38" s="1625"/>
      <c r="F38" s="1625"/>
      <c r="G38" s="1625"/>
      <c r="H38" s="1625"/>
      <c r="I38" s="1625"/>
      <c r="J38" s="1625"/>
      <c r="K38" s="1625"/>
      <c r="L38" s="1625"/>
      <c r="M38" s="1625"/>
      <c r="N38" s="1625"/>
      <c r="O38" s="1625"/>
      <c r="P38" s="1625"/>
    </row>
    <row r="41" spans="3:16" x14ac:dyDescent="0.25"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  <c r="O41" s="1624"/>
      <c r="P41" s="1624"/>
    </row>
    <row r="42" spans="3:16" x14ac:dyDescent="0.25"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  <c r="O42" s="1625"/>
      <c r="P42" s="1625"/>
    </row>
    <row r="43" spans="3:16" x14ac:dyDescent="0.25"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  <c r="O43" s="1624"/>
      <c r="P43" s="162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3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25" t="s">
        <v>539</v>
      </c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  <c r="P9" s="1625"/>
      <c r="Q9" s="1625"/>
    </row>
    <row r="10" spans="2:17" x14ac:dyDescent="0.25">
      <c r="C10" s="1638" t="s">
        <v>404</v>
      </c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  <c r="N10" s="1638"/>
      <c r="O10" s="1638"/>
      <c r="P10" s="1638"/>
      <c r="Q10" s="1638"/>
    </row>
    <row r="12" spans="2:17" x14ac:dyDescent="0.25">
      <c r="B12" s="1646" t="s">
        <v>6</v>
      </c>
      <c r="C12" s="1642" t="s">
        <v>7</v>
      </c>
      <c r="D12" s="1642" t="s">
        <v>8</v>
      </c>
      <c r="E12" s="1642" t="s">
        <v>9</v>
      </c>
      <c r="F12" s="1642" t="s">
        <v>10</v>
      </c>
      <c r="G12" s="1645" t="s">
        <v>11</v>
      </c>
      <c r="H12" s="1642" t="s">
        <v>11</v>
      </c>
      <c r="I12" s="51" t="s">
        <v>12</v>
      </c>
      <c r="J12" s="1644" t="s">
        <v>13</v>
      </c>
      <c r="K12" s="1642" t="s">
        <v>14</v>
      </c>
      <c r="L12" s="1642" t="s">
        <v>15</v>
      </c>
      <c r="M12" s="1642" t="s">
        <v>16</v>
      </c>
      <c r="N12" s="1642" t="s">
        <v>17</v>
      </c>
      <c r="O12" s="1642" t="s">
        <v>18</v>
      </c>
      <c r="P12" s="1642" t="s">
        <v>19</v>
      </c>
      <c r="Q12" s="1643" t="s">
        <v>20</v>
      </c>
    </row>
    <row r="13" spans="2:17" x14ac:dyDescent="0.25">
      <c r="B13" s="1646"/>
      <c r="C13" s="1642"/>
      <c r="D13" s="1642"/>
      <c r="E13" s="1642"/>
      <c r="F13" s="1642"/>
      <c r="G13" s="1645"/>
      <c r="H13" s="1642"/>
      <c r="I13" s="52" t="s">
        <v>21</v>
      </c>
      <c r="J13" s="1644"/>
      <c r="K13" s="1642"/>
      <c r="L13" s="1642"/>
      <c r="M13" s="1642"/>
      <c r="N13" s="1642"/>
      <c r="O13" s="1642"/>
      <c r="P13" s="1642"/>
      <c r="Q13" s="164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4" t="s">
        <v>24</v>
      </c>
      <c r="F15" s="1634"/>
      <c r="G15" s="163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631" t="s">
        <v>30</v>
      </c>
      <c r="F16" s="1631" t="s">
        <v>31</v>
      </c>
      <c r="G16" s="1631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631" t="s">
        <v>36</v>
      </c>
      <c r="F17" s="1631" t="s">
        <v>37</v>
      </c>
      <c r="G17" s="1631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631" t="s">
        <v>40</v>
      </c>
      <c r="F19" s="1631" t="s">
        <v>41</v>
      </c>
      <c r="G19" s="1631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631" t="s">
        <v>44</v>
      </c>
      <c r="F20" s="1631" t="s">
        <v>45</v>
      </c>
      <c r="G20" s="1631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631" t="s">
        <v>49</v>
      </c>
      <c r="F21" s="1631" t="s">
        <v>50</v>
      </c>
      <c r="G21" s="1631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631" t="s">
        <v>53</v>
      </c>
      <c r="F22" s="1631" t="s">
        <v>54</v>
      </c>
      <c r="G22" s="1631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631" t="s">
        <v>427</v>
      </c>
      <c r="F23" s="1631" t="s">
        <v>57</v>
      </c>
      <c r="G23" s="1631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631" t="s">
        <v>53</v>
      </c>
      <c r="F24" s="1631" t="s">
        <v>60</v>
      </c>
      <c r="G24" s="1631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631" t="s">
        <v>514</v>
      </c>
      <c r="F25" s="1631" t="s">
        <v>64</v>
      </c>
      <c r="G25" s="1631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631" t="s">
        <v>67</v>
      </c>
      <c r="F26" s="1631" t="s">
        <v>68</v>
      </c>
      <c r="G26" s="1631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631" t="s">
        <v>71</v>
      </c>
      <c r="F27" s="1631" t="s">
        <v>72</v>
      </c>
      <c r="G27" s="1631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631" t="s">
        <v>515</v>
      </c>
      <c r="F28" s="1631" t="s">
        <v>79</v>
      </c>
      <c r="G28" s="1631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631" t="s">
        <v>78</v>
      </c>
      <c r="F29" s="1631" t="s">
        <v>79</v>
      </c>
      <c r="G29" s="1631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631" t="s">
        <v>82</v>
      </c>
      <c r="F30" s="1631" t="s">
        <v>83</v>
      </c>
      <c r="G30" s="1631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631" t="s">
        <v>85</v>
      </c>
      <c r="F31" s="1631" t="s">
        <v>86</v>
      </c>
      <c r="G31" s="1631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631" t="s">
        <v>89</v>
      </c>
      <c r="F32" s="1631" t="s">
        <v>90</v>
      </c>
      <c r="G32" s="1631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631" t="s">
        <v>92</v>
      </c>
      <c r="F33" s="1631" t="s">
        <v>93</v>
      </c>
      <c r="G33" s="1631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631" t="s">
        <v>71</v>
      </c>
      <c r="F34" s="1631" t="s">
        <v>95</v>
      </c>
      <c r="G34" s="1631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631" t="s">
        <v>97</v>
      </c>
      <c r="F35" s="1631" t="s">
        <v>98</v>
      </c>
      <c r="G35" s="1631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631" t="s">
        <v>92</v>
      </c>
      <c r="F36" s="1631" t="s">
        <v>100</v>
      </c>
      <c r="G36" s="1631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631" t="s">
        <v>102</v>
      </c>
      <c r="F37" s="1631" t="s">
        <v>103</v>
      </c>
      <c r="G37" s="1631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631" t="s">
        <v>105</v>
      </c>
      <c r="F38" s="1631" t="s">
        <v>106</v>
      </c>
      <c r="G38" s="1631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631" t="s">
        <v>105</v>
      </c>
      <c r="F39" s="1631" t="s">
        <v>108</v>
      </c>
      <c r="G39" s="1631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631" t="s">
        <v>515</v>
      </c>
      <c r="F40" s="1631" t="s">
        <v>115</v>
      </c>
      <c r="G40" s="1631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631" t="s">
        <v>489</v>
      </c>
      <c r="F41" s="1631" t="s">
        <v>118</v>
      </c>
      <c r="G41" s="1631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631" t="s">
        <v>120</v>
      </c>
      <c r="F42" s="1631" t="s">
        <v>121</v>
      </c>
      <c r="G42" s="1631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631" t="s">
        <v>49</v>
      </c>
      <c r="F43" s="1631" t="s">
        <v>123</v>
      </c>
      <c r="G43" s="1631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631" t="s">
        <v>125</v>
      </c>
      <c r="F44" s="1631" t="s">
        <v>126</v>
      </c>
      <c r="G44" s="1631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631" t="s">
        <v>105</v>
      </c>
      <c r="F45" s="1631" t="s">
        <v>128</v>
      </c>
      <c r="G45" s="1631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631" t="s">
        <v>102</v>
      </c>
      <c r="F46" s="1631" t="s">
        <v>130</v>
      </c>
      <c r="G46" s="1631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631" t="s">
        <v>132</v>
      </c>
      <c r="F47" s="1631" t="s">
        <v>133</v>
      </c>
      <c r="G47" s="1631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631" t="s">
        <v>489</v>
      </c>
      <c r="F48" s="1631" t="s">
        <v>118</v>
      </c>
      <c r="G48" s="1631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631" t="s">
        <v>85</v>
      </c>
      <c r="F49" s="1631" t="s">
        <v>137</v>
      </c>
      <c r="G49" s="1631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631" t="s">
        <v>516</v>
      </c>
      <c r="F50" s="1631" t="s">
        <v>140</v>
      </c>
      <c r="G50" s="1631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631" t="s">
        <v>148</v>
      </c>
      <c r="F51" s="1631" t="s">
        <v>149</v>
      </c>
      <c r="G51" s="1631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631" t="s">
        <v>151</v>
      </c>
      <c r="F52" s="1631" t="s">
        <v>152</v>
      </c>
      <c r="G52" s="1631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631" t="s">
        <v>157</v>
      </c>
      <c r="F53" s="1631" t="s">
        <v>158</v>
      </c>
      <c r="G53" s="1631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631" t="s">
        <v>160</v>
      </c>
      <c r="F55" s="1631" t="s">
        <v>161</v>
      </c>
      <c r="G55" s="1631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631" t="s">
        <v>163</v>
      </c>
      <c r="F56" s="1631" t="s">
        <v>164</v>
      </c>
      <c r="G56" s="1631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631" t="s">
        <v>92</v>
      </c>
      <c r="F59" s="1631" t="s">
        <v>168</v>
      </c>
      <c r="G59" s="1631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631" t="s">
        <v>248</v>
      </c>
      <c r="F60" s="1631" t="s">
        <v>170</v>
      </c>
      <c r="G60" s="1631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631" t="s">
        <v>40</v>
      </c>
      <c r="F64" s="1631" t="s">
        <v>172</v>
      </c>
      <c r="G64" s="163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631" t="s">
        <v>518</v>
      </c>
      <c r="F69" s="1631"/>
      <c r="G69" s="1631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631" t="s">
        <v>30</v>
      </c>
      <c r="F70" s="1631" t="s">
        <v>31</v>
      </c>
      <c r="G70" s="1631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631" t="s">
        <v>30</v>
      </c>
      <c r="F71" s="1631" t="s">
        <v>31</v>
      </c>
      <c r="G71" s="1631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631" t="s">
        <v>30</v>
      </c>
      <c r="F72" s="1631" t="s">
        <v>31</v>
      </c>
      <c r="G72" s="163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631" t="s">
        <v>178</v>
      </c>
      <c r="F78" s="1631" t="s">
        <v>179</v>
      </c>
      <c r="G78" s="1631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640" t="s">
        <v>92</v>
      </c>
      <c r="F79" s="1640" t="s">
        <v>193</v>
      </c>
      <c r="G79" s="1640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631" t="s">
        <v>44</v>
      </c>
      <c r="F100" s="1631" t="s">
        <v>45</v>
      </c>
      <c r="G100" s="1631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641" t="s">
        <v>288</v>
      </c>
      <c r="D117" s="1641"/>
      <c r="E117" s="1641"/>
      <c r="F117" s="1641"/>
      <c r="G117" s="1641"/>
      <c r="H117" s="1641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625"/>
      <c r="D126" s="1625"/>
      <c r="E126" s="1625"/>
      <c r="F126" s="1625"/>
      <c r="G126" s="1625"/>
      <c r="H126" s="1625"/>
      <c r="I126" s="1625"/>
      <c r="J126" s="1625"/>
      <c r="K126" s="1625"/>
      <c r="L126" s="1625"/>
      <c r="M126" s="1625"/>
      <c r="N126" s="1625"/>
      <c r="O126" s="1625"/>
      <c r="P126" s="1625"/>
    </row>
    <row r="129" spans="3:16" x14ac:dyDescent="0.25">
      <c r="C129" s="1624"/>
      <c r="D129" s="1624"/>
      <c r="E129" s="1624"/>
      <c r="F129" s="1624"/>
      <c r="G129" s="1624"/>
      <c r="H129" s="1624"/>
      <c r="I129" s="1624"/>
      <c r="J129" s="1624"/>
      <c r="K129" s="1624"/>
      <c r="L129" s="1624"/>
      <c r="M129" s="1624"/>
      <c r="N129" s="1624"/>
      <c r="O129" s="1624"/>
      <c r="P129" s="1624"/>
    </row>
    <row r="130" spans="3:16" x14ac:dyDescent="0.25">
      <c r="C130" s="1625"/>
      <c r="D130" s="1625"/>
      <c r="E130" s="1625"/>
      <c r="F130" s="1625"/>
      <c r="G130" s="1625"/>
      <c r="H130" s="1625"/>
      <c r="I130" s="1625"/>
      <c r="J130" s="1625"/>
      <c r="K130" s="1625"/>
      <c r="L130" s="1625"/>
      <c r="M130" s="1625"/>
      <c r="N130" s="1625"/>
      <c r="O130" s="1625"/>
      <c r="P130" s="1625"/>
    </row>
    <row r="131" spans="3:16" x14ac:dyDescent="0.25">
      <c r="C131" s="1624"/>
      <c r="D131" s="1624"/>
      <c r="E131" s="1624"/>
      <c r="F131" s="1624"/>
      <c r="G131" s="1624"/>
      <c r="H131" s="1624"/>
      <c r="I131" s="1624"/>
      <c r="J131" s="1624"/>
      <c r="K131" s="1624"/>
      <c r="L131" s="1624"/>
      <c r="M131" s="1624"/>
      <c r="N131" s="1624"/>
      <c r="O131" s="1624"/>
      <c r="P131" s="162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6" t="s">
        <v>3</v>
      </c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</row>
    <row r="11" spans="1:14" x14ac:dyDescent="0.25">
      <c r="B11" s="1656" t="s">
        <v>556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7" t="s">
        <v>5</v>
      </c>
      <c r="C12" s="1657"/>
      <c r="D12" s="1657"/>
      <c r="E12" s="1657"/>
      <c r="F12" s="1657"/>
      <c r="G12" s="1657"/>
      <c r="H12" s="1657"/>
      <c r="I12" s="1657"/>
      <c r="J12" s="1657"/>
      <c r="K12" s="1657"/>
      <c r="L12" s="1657"/>
      <c r="M12" s="1657"/>
      <c r="N12" s="165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7" t="s">
        <v>6</v>
      </c>
      <c r="B14" s="1667" t="s">
        <v>7</v>
      </c>
      <c r="C14" s="1667" t="s">
        <v>8</v>
      </c>
      <c r="D14" s="1667" t="s">
        <v>10</v>
      </c>
      <c r="E14" s="1667" t="s">
        <v>11</v>
      </c>
      <c r="F14" s="132" t="s">
        <v>12</v>
      </c>
      <c r="G14" s="1667" t="s">
        <v>13</v>
      </c>
      <c r="H14" s="1667" t="s">
        <v>14</v>
      </c>
      <c r="I14" s="1667" t="s">
        <v>15</v>
      </c>
      <c r="J14" s="1667" t="s">
        <v>16</v>
      </c>
      <c r="K14" s="1667" t="s">
        <v>17</v>
      </c>
      <c r="L14" s="1667" t="s">
        <v>18</v>
      </c>
      <c r="M14" s="1667" t="s">
        <v>19</v>
      </c>
      <c r="N14" s="1667" t="s">
        <v>20</v>
      </c>
    </row>
    <row r="15" spans="1:14" x14ac:dyDescent="0.25">
      <c r="A15" s="1667"/>
      <c r="B15" s="1667"/>
      <c r="C15" s="1667"/>
      <c r="D15" s="1667"/>
      <c r="E15" s="1667"/>
      <c r="F15" s="133" t="s">
        <v>21</v>
      </c>
      <c r="G15" s="1667"/>
      <c r="H15" s="1667"/>
      <c r="I15" s="1667"/>
      <c r="J15" s="1667"/>
      <c r="K15" s="1667"/>
      <c r="L15" s="1667"/>
      <c r="M15" s="1667"/>
      <c r="N15" s="166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59" t="s">
        <v>194</v>
      </c>
      <c r="C28" s="1659"/>
      <c r="D28" s="1659"/>
      <c r="E28" s="1659"/>
      <c r="F28" s="1655">
        <v>171000</v>
      </c>
      <c r="G28" s="1660">
        <v>0</v>
      </c>
      <c r="H28" s="1655">
        <v>171000</v>
      </c>
      <c r="I28" s="1660">
        <v>0</v>
      </c>
      <c r="J28" s="1660">
        <v>94.5</v>
      </c>
      <c r="K28" s="1660">
        <v>0</v>
      </c>
      <c r="L28" s="1660">
        <v>0</v>
      </c>
      <c r="M28" s="1660">
        <v>94.5</v>
      </c>
      <c r="N28" s="1655">
        <v>170905.5</v>
      </c>
    </row>
    <row r="29" spans="1:14" x14ac:dyDescent="0.25">
      <c r="A29" s="110"/>
      <c r="B29" s="1659"/>
      <c r="C29" s="1659"/>
      <c r="D29" s="1659"/>
      <c r="E29" s="1659"/>
      <c r="F29" s="1655"/>
      <c r="G29" s="1660"/>
      <c r="H29" s="1655"/>
      <c r="I29" s="1660"/>
      <c r="J29" s="1660"/>
      <c r="K29" s="1660"/>
      <c r="L29" s="1660"/>
      <c r="M29" s="1660"/>
      <c r="N29" s="165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24"/>
      <c r="B42" s="1624"/>
      <c r="C42" s="1624"/>
      <c r="D42" s="1624"/>
      <c r="E42" s="1624"/>
      <c r="F42" s="1624"/>
      <c r="G42" s="1624"/>
      <c r="H42" s="1624"/>
      <c r="I42" s="1624"/>
      <c r="J42" s="1624"/>
      <c r="K42" s="1624"/>
      <c r="L42" s="1624"/>
      <c r="M42" s="1624"/>
      <c r="N42" s="1624"/>
    </row>
    <row r="43" spans="1:14" x14ac:dyDescent="0.25">
      <c r="A43" s="1625"/>
      <c r="B43" s="1625"/>
      <c r="C43" s="1625"/>
      <c r="D43" s="1625"/>
      <c r="E43" s="1625"/>
      <c r="F43" s="1625"/>
      <c r="G43" s="1625"/>
      <c r="H43" s="1625"/>
      <c r="I43" s="1625"/>
      <c r="J43" s="1625"/>
      <c r="K43" s="1625"/>
      <c r="L43" s="1625"/>
      <c r="M43" s="1625"/>
      <c r="N43" s="1625"/>
    </row>
    <row r="44" spans="1:14" x14ac:dyDescent="0.25">
      <c r="A44" s="1624"/>
      <c r="B44" s="1624"/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561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406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37" t="s">
        <v>6</v>
      </c>
      <c r="C14" s="1632" t="s">
        <v>7</v>
      </c>
      <c r="D14" s="1632" t="s">
        <v>8</v>
      </c>
      <c r="E14" s="1632" t="s">
        <v>10</v>
      </c>
      <c r="F14" s="1636" t="s">
        <v>11</v>
      </c>
      <c r="G14" s="1632" t="s">
        <v>208</v>
      </c>
      <c r="H14" s="1632" t="s">
        <v>209</v>
      </c>
      <c r="I14" s="3" t="s">
        <v>12</v>
      </c>
      <c r="J14" s="1635" t="s">
        <v>13</v>
      </c>
      <c r="K14" s="1632" t="s">
        <v>14</v>
      </c>
      <c r="L14" s="1632" t="s">
        <v>15</v>
      </c>
      <c r="M14" s="1632" t="s">
        <v>16</v>
      </c>
      <c r="N14" s="1632" t="s">
        <v>17</v>
      </c>
      <c r="O14" s="1632" t="s">
        <v>18</v>
      </c>
      <c r="P14" s="1632" t="s">
        <v>19</v>
      </c>
      <c r="Q14" s="1633" t="s">
        <v>20</v>
      </c>
    </row>
    <row r="15" spans="2:17" x14ac:dyDescent="0.25">
      <c r="B15" s="1637"/>
      <c r="C15" s="1632"/>
      <c r="D15" s="1632"/>
      <c r="E15" s="1632"/>
      <c r="F15" s="1636"/>
      <c r="G15" s="1632"/>
      <c r="H15" s="1632"/>
      <c r="I15" s="4" t="s">
        <v>21</v>
      </c>
      <c r="J15" s="1635"/>
      <c r="K15" s="1632"/>
      <c r="L15" s="1632"/>
      <c r="M15" s="1632"/>
      <c r="N15" s="1632"/>
      <c r="O15" s="1632"/>
      <c r="P15" s="1632"/>
      <c r="Q15" s="1633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666" t="s">
        <v>194</v>
      </c>
      <c r="D29" s="1666"/>
      <c r="E29" s="1666"/>
      <c r="F29" s="1666"/>
      <c r="G29" s="1666"/>
      <c r="H29" s="1666"/>
      <c r="I29" s="1647">
        <v>705000</v>
      </c>
      <c r="J29" s="1649">
        <f>SUM(J17:J28)</f>
        <v>0</v>
      </c>
      <c r="K29" s="1647">
        <v>705000</v>
      </c>
      <c r="L29" s="1647">
        <v>18511.5</v>
      </c>
      <c r="M29" s="1647">
        <v>38042.74</v>
      </c>
      <c r="N29" s="1647">
        <v>19608</v>
      </c>
      <c r="O29" s="1647">
        <v>1520</v>
      </c>
      <c r="P29" s="1647">
        <v>78689.240000000005</v>
      </c>
      <c r="Q29" s="1650">
        <v>566317.76</v>
      </c>
    </row>
    <row r="30" spans="2:17" x14ac:dyDescent="0.25">
      <c r="C30" s="1666"/>
      <c r="D30" s="1666"/>
      <c r="E30" s="1666"/>
      <c r="F30" s="1666"/>
      <c r="G30" s="1666"/>
      <c r="H30" s="1666"/>
      <c r="I30" s="1647"/>
      <c r="J30" s="1649"/>
      <c r="K30" s="1647"/>
      <c r="L30" s="1647"/>
      <c r="M30" s="1647"/>
      <c r="N30" s="1647"/>
      <c r="O30" s="1647"/>
      <c r="P30" s="1647"/>
      <c r="Q30" s="1650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625"/>
      <c r="D41" s="1625"/>
      <c r="E41" s="1625"/>
      <c r="F41" s="1625"/>
      <c r="G41" s="1625"/>
      <c r="H41" s="1625"/>
      <c r="I41" s="1625"/>
      <c r="J41" s="1625"/>
      <c r="K41" s="1625"/>
      <c r="L41" s="1625"/>
      <c r="M41" s="1625"/>
      <c r="N41" s="1625"/>
      <c r="O41" s="1625"/>
      <c r="P41" s="1625"/>
    </row>
    <row r="44" spans="3:16" x14ac:dyDescent="0.25"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  <c r="P44" s="1624"/>
    </row>
    <row r="45" spans="3:16" x14ac:dyDescent="0.25"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  <c r="O45" s="1625"/>
      <c r="P45" s="1625"/>
    </row>
    <row r="46" spans="3:16" x14ac:dyDescent="0.25"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  <c r="O46" s="1624"/>
      <c r="P46" s="162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575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406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37" t="s">
        <v>6</v>
      </c>
      <c r="C14" s="1632" t="s">
        <v>7</v>
      </c>
      <c r="D14" s="1632" t="s">
        <v>8</v>
      </c>
      <c r="E14" s="1632" t="s">
        <v>10</v>
      </c>
      <c r="F14" s="1636" t="s">
        <v>11</v>
      </c>
      <c r="G14" s="1632" t="s">
        <v>208</v>
      </c>
      <c r="H14" s="1632" t="s">
        <v>209</v>
      </c>
      <c r="I14" s="3" t="s">
        <v>12</v>
      </c>
      <c r="J14" s="1635" t="s">
        <v>13</v>
      </c>
      <c r="K14" s="1632" t="s">
        <v>14</v>
      </c>
      <c r="L14" s="1632" t="s">
        <v>15</v>
      </c>
      <c r="M14" s="1632" t="s">
        <v>16</v>
      </c>
      <c r="N14" s="1632" t="s">
        <v>17</v>
      </c>
      <c r="O14" s="1632" t="s">
        <v>18</v>
      </c>
      <c r="P14" s="1632" t="s">
        <v>19</v>
      </c>
      <c r="Q14" s="1633" t="s">
        <v>20</v>
      </c>
    </row>
    <row r="15" spans="2:17" x14ac:dyDescent="0.25">
      <c r="B15" s="1637"/>
      <c r="C15" s="1632"/>
      <c r="D15" s="1632"/>
      <c r="E15" s="1632"/>
      <c r="F15" s="1636"/>
      <c r="G15" s="1632"/>
      <c r="H15" s="1632"/>
      <c r="I15" s="4" t="s">
        <v>21</v>
      </c>
      <c r="J15" s="1635"/>
      <c r="K15" s="1632"/>
      <c r="L15" s="1632"/>
      <c r="M15" s="1632"/>
      <c r="N15" s="1632"/>
      <c r="O15" s="1632"/>
      <c r="P15" s="1632"/>
      <c r="Q15" s="1633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666" t="s">
        <v>194</v>
      </c>
      <c r="D27" s="1666"/>
      <c r="E27" s="1666"/>
      <c r="F27" s="1666"/>
      <c r="G27" s="1666"/>
      <c r="H27" s="1666"/>
      <c r="I27" s="1647" t="s">
        <v>579</v>
      </c>
      <c r="J27" s="1649">
        <f>SUM(J17:J26)</f>
        <v>0</v>
      </c>
      <c r="K27" s="1647" t="s">
        <v>579</v>
      </c>
      <c r="L27" s="1647">
        <v>17507</v>
      </c>
      <c r="M27" s="1647">
        <v>42086.77</v>
      </c>
      <c r="N27" s="1647">
        <v>18544</v>
      </c>
      <c r="O27" s="1647">
        <v>1470</v>
      </c>
      <c r="P27" s="1647">
        <v>79607.77</v>
      </c>
      <c r="Q27" s="1650">
        <v>530392.23</v>
      </c>
    </row>
    <row r="28" spans="2:17" x14ac:dyDescent="0.25">
      <c r="C28" s="1666"/>
      <c r="D28" s="1666"/>
      <c r="E28" s="1666"/>
      <c r="F28" s="1666"/>
      <c r="G28" s="1666"/>
      <c r="H28" s="1666"/>
      <c r="I28" s="1647"/>
      <c r="J28" s="1649"/>
      <c r="K28" s="1647"/>
      <c r="L28" s="1647"/>
      <c r="M28" s="1647"/>
      <c r="N28" s="1647"/>
      <c r="O28" s="1647"/>
      <c r="P28" s="1647"/>
      <c r="Q28" s="1650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625"/>
      <c r="D39" s="1625"/>
      <c r="E39" s="1625"/>
      <c r="F39" s="1625"/>
      <c r="G39" s="1625"/>
      <c r="H39" s="1625"/>
      <c r="I39" s="1625"/>
      <c r="J39" s="1625"/>
      <c r="K39" s="1625"/>
      <c r="L39" s="1625"/>
      <c r="M39" s="1625"/>
      <c r="N39" s="1625"/>
      <c r="O39" s="1625"/>
      <c r="P39" s="1625"/>
    </row>
    <row r="42" spans="3:16" x14ac:dyDescent="0.25">
      <c r="C42" s="1624"/>
      <c r="D42" s="1624"/>
      <c r="E42" s="1624"/>
      <c r="F42" s="1624"/>
      <c r="G42" s="1624"/>
      <c r="H42" s="1624"/>
      <c r="I42" s="1624"/>
      <c r="J42" s="1624"/>
      <c r="K42" s="1624"/>
      <c r="L42" s="1624"/>
      <c r="M42" s="1624"/>
      <c r="N42" s="1624"/>
      <c r="O42" s="1624"/>
      <c r="P42" s="1624"/>
    </row>
    <row r="43" spans="3:16" x14ac:dyDescent="0.25">
      <c r="C43" s="1625"/>
      <c r="D43" s="1625"/>
      <c r="E43" s="1625"/>
      <c r="F43" s="1625"/>
      <c r="G43" s="1625"/>
      <c r="H43" s="1625"/>
      <c r="I43" s="1625"/>
      <c r="J43" s="1625"/>
      <c r="K43" s="1625"/>
      <c r="L43" s="1625"/>
      <c r="M43" s="1625"/>
      <c r="N43" s="1625"/>
      <c r="O43" s="1625"/>
      <c r="P43" s="1625"/>
    </row>
    <row r="44" spans="3:16" x14ac:dyDescent="0.25"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  <c r="O44" s="1624"/>
      <c r="P44" s="162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3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25" t="s">
        <v>580</v>
      </c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  <c r="P9" s="1625"/>
      <c r="Q9" s="1625"/>
    </row>
    <row r="10" spans="2:17" x14ac:dyDescent="0.25">
      <c r="C10" s="1638" t="s">
        <v>404</v>
      </c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  <c r="N10" s="1638"/>
      <c r="O10" s="1638"/>
      <c r="P10" s="1638"/>
      <c r="Q10" s="1638"/>
    </row>
    <row r="12" spans="2:17" x14ac:dyDescent="0.25">
      <c r="B12" s="1646" t="s">
        <v>6</v>
      </c>
      <c r="C12" s="1642" t="s">
        <v>7</v>
      </c>
      <c r="D12" s="1642" t="s">
        <v>8</v>
      </c>
      <c r="E12" s="1642" t="s">
        <v>9</v>
      </c>
      <c r="F12" s="1642" t="s">
        <v>10</v>
      </c>
      <c r="G12" s="1645" t="s">
        <v>11</v>
      </c>
      <c r="H12" s="1642" t="s">
        <v>11</v>
      </c>
      <c r="I12" s="51" t="s">
        <v>12</v>
      </c>
      <c r="J12" s="1644" t="s">
        <v>13</v>
      </c>
      <c r="K12" s="1642" t="s">
        <v>14</v>
      </c>
      <c r="L12" s="1642" t="s">
        <v>15</v>
      </c>
      <c r="M12" s="1642" t="s">
        <v>16</v>
      </c>
      <c r="N12" s="1642" t="s">
        <v>17</v>
      </c>
      <c r="O12" s="1642" t="s">
        <v>18</v>
      </c>
      <c r="P12" s="1642" t="s">
        <v>19</v>
      </c>
      <c r="Q12" s="1643" t="s">
        <v>20</v>
      </c>
    </row>
    <row r="13" spans="2:17" x14ac:dyDescent="0.25">
      <c r="B13" s="1646"/>
      <c r="C13" s="1642"/>
      <c r="D13" s="1642"/>
      <c r="E13" s="1642"/>
      <c r="F13" s="1642"/>
      <c r="G13" s="1645"/>
      <c r="H13" s="1642"/>
      <c r="I13" s="52" t="s">
        <v>21</v>
      </c>
      <c r="J13" s="1644"/>
      <c r="K13" s="1642"/>
      <c r="L13" s="1642"/>
      <c r="M13" s="1642"/>
      <c r="N13" s="1642"/>
      <c r="O13" s="1642"/>
      <c r="P13" s="1642"/>
      <c r="Q13" s="164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4" t="s">
        <v>24</v>
      </c>
      <c r="F15" s="1634"/>
      <c r="G15" s="163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631" t="s">
        <v>36</v>
      </c>
      <c r="F16" s="1631" t="s">
        <v>37</v>
      </c>
      <c r="G16" s="163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631" t="s">
        <v>40</v>
      </c>
      <c r="F18" s="1631" t="s">
        <v>41</v>
      </c>
      <c r="G18" s="1631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631" t="s">
        <v>44</v>
      </c>
      <c r="F19" s="1631" t="s">
        <v>45</v>
      </c>
      <c r="G19" s="1631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631" t="s">
        <v>49</v>
      </c>
      <c r="F20" s="1631" t="s">
        <v>50</v>
      </c>
      <c r="G20" s="1631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631" t="s">
        <v>53</v>
      </c>
      <c r="F21" s="1631" t="s">
        <v>54</v>
      </c>
      <c r="G21" s="1631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631" t="s">
        <v>427</v>
      </c>
      <c r="F22" s="1631" t="s">
        <v>57</v>
      </c>
      <c r="G22" s="1631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631" t="s">
        <v>53</v>
      </c>
      <c r="F23" s="1631" t="s">
        <v>60</v>
      </c>
      <c r="G23" s="1631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631" t="s">
        <v>514</v>
      </c>
      <c r="F24" s="1631" t="s">
        <v>64</v>
      </c>
      <c r="G24" s="1631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631" t="s">
        <v>67</v>
      </c>
      <c r="F25" s="1631" t="s">
        <v>68</v>
      </c>
      <c r="G25" s="1631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631" t="s">
        <v>71</v>
      </c>
      <c r="F26" s="1631" t="s">
        <v>72</v>
      </c>
      <c r="G26" s="1631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631" t="s">
        <v>515</v>
      </c>
      <c r="F27" s="1631" t="s">
        <v>79</v>
      </c>
      <c r="G27" s="1631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631" t="s">
        <v>78</v>
      </c>
      <c r="F28" s="1631" t="s">
        <v>79</v>
      </c>
      <c r="G28" s="1631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631" t="s">
        <v>82</v>
      </c>
      <c r="F29" s="1631" t="s">
        <v>83</v>
      </c>
      <c r="G29" s="1631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631" t="s">
        <v>85</v>
      </c>
      <c r="F30" s="1631" t="s">
        <v>86</v>
      </c>
      <c r="G30" s="1631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631" t="s">
        <v>89</v>
      </c>
      <c r="F31" s="1631" t="s">
        <v>90</v>
      </c>
      <c r="G31" s="1631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631" t="s">
        <v>92</v>
      </c>
      <c r="F32" s="1631" t="s">
        <v>93</v>
      </c>
      <c r="G32" s="1631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631" t="s">
        <v>71</v>
      </c>
      <c r="F33" s="1631" t="s">
        <v>95</v>
      </c>
      <c r="G33" s="1631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631" t="s">
        <v>97</v>
      </c>
      <c r="F34" s="1631" t="s">
        <v>98</v>
      </c>
      <c r="G34" s="1631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631" t="s">
        <v>92</v>
      </c>
      <c r="F35" s="1631" t="s">
        <v>100</v>
      </c>
      <c r="G35" s="1631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631" t="s">
        <v>102</v>
      </c>
      <c r="F36" s="1631" t="s">
        <v>103</v>
      </c>
      <c r="G36" s="1631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631" t="s">
        <v>105</v>
      </c>
      <c r="F37" s="1631" t="s">
        <v>106</v>
      </c>
      <c r="G37" s="1631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631" t="s">
        <v>105</v>
      </c>
      <c r="F38" s="1631" t="s">
        <v>108</v>
      </c>
      <c r="G38" s="1631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631" t="s">
        <v>515</v>
      </c>
      <c r="F39" s="1631" t="s">
        <v>115</v>
      </c>
      <c r="G39" s="1631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631" t="s">
        <v>489</v>
      </c>
      <c r="F40" s="1631" t="s">
        <v>118</v>
      </c>
      <c r="G40" s="1631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631" t="s">
        <v>120</v>
      </c>
      <c r="F41" s="1631" t="s">
        <v>121</v>
      </c>
      <c r="G41" s="1631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631" t="s">
        <v>49</v>
      </c>
      <c r="F42" s="1631" t="s">
        <v>123</v>
      </c>
      <c r="G42" s="1631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631" t="s">
        <v>125</v>
      </c>
      <c r="F43" s="1631" t="s">
        <v>126</v>
      </c>
      <c r="G43" s="1631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631" t="s">
        <v>105</v>
      </c>
      <c r="F44" s="1631" t="s">
        <v>128</v>
      </c>
      <c r="G44" s="1631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631" t="s">
        <v>102</v>
      </c>
      <c r="F45" s="1631" t="s">
        <v>130</v>
      </c>
      <c r="G45" s="1631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631" t="s">
        <v>132</v>
      </c>
      <c r="F46" s="1631" t="s">
        <v>133</v>
      </c>
      <c r="G46" s="1631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631" t="s">
        <v>489</v>
      </c>
      <c r="F47" s="1631" t="s">
        <v>118</v>
      </c>
      <c r="G47" s="1631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631" t="s">
        <v>85</v>
      </c>
      <c r="F48" s="1631" t="s">
        <v>137</v>
      </c>
      <c r="G48" s="1631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631" t="s">
        <v>516</v>
      </c>
      <c r="F49" s="1631" t="s">
        <v>140</v>
      </c>
      <c r="G49" s="1631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631" t="s">
        <v>148</v>
      </c>
      <c r="F50" s="1631" t="s">
        <v>149</v>
      </c>
      <c r="G50" s="1631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631" t="s">
        <v>151</v>
      </c>
      <c r="F51" s="1631" t="s">
        <v>152</v>
      </c>
      <c r="G51" s="1631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631" t="s">
        <v>157</v>
      </c>
      <c r="F52" s="1631" t="s">
        <v>158</v>
      </c>
      <c r="G52" s="1631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631" t="s">
        <v>160</v>
      </c>
      <c r="F54" s="1631" t="s">
        <v>161</v>
      </c>
      <c r="G54" s="1631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631" t="s">
        <v>163</v>
      </c>
      <c r="F55" s="1631" t="s">
        <v>164</v>
      </c>
      <c r="G55" s="1631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631" t="s">
        <v>92</v>
      </c>
      <c r="F58" s="1631" t="s">
        <v>168</v>
      </c>
      <c r="G58" s="1631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631" t="s">
        <v>248</v>
      </c>
      <c r="F59" s="1631" t="s">
        <v>170</v>
      </c>
      <c r="G59" s="1631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631" t="s">
        <v>40</v>
      </c>
      <c r="F63" s="1631" t="s">
        <v>172</v>
      </c>
      <c r="G63" s="1631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631" t="s">
        <v>518</v>
      </c>
      <c r="F67" s="1631"/>
      <c r="G67" s="1631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631" t="s">
        <v>178</v>
      </c>
      <c r="F73" s="1631" t="s">
        <v>179</v>
      </c>
      <c r="G73" s="1631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640" t="s">
        <v>92</v>
      </c>
      <c r="F74" s="1640" t="s">
        <v>193</v>
      </c>
      <c r="G74" s="1640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631" t="s">
        <v>44</v>
      </c>
      <c r="F94" s="1631" t="s">
        <v>45</v>
      </c>
      <c r="G94" s="1631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641" t="s">
        <v>288</v>
      </c>
      <c r="D110" s="1641"/>
      <c r="E110" s="1641"/>
      <c r="F110" s="1641"/>
      <c r="G110" s="1641"/>
      <c r="H110" s="1641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625"/>
      <c r="D119" s="1625"/>
      <c r="E119" s="1625"/>
      <c r="F119" s="1625"/>
      <c r="G119" s="1625"/>
      <c r="H119" s="1625"/>
      <c r="I119" s="1625"/>
      <c r="J119" s="1625"/>
      <c r="K119" s="1625"/>
      <c r="L119" s="1625"/>
      <c r="M119" s="1625"/>
      <c r="N119" s="1625"/>
      <c r="O119" s="1625"/>
      <c r="P119" s="1625"/>
    </row>
    <row r="122" spans="3:16" x14ac:dyDescent="0.25">
      <c r="C122" s="1624"/>
      <c r="D122" s="1624"/>
      <c r="E122" s="1624"/>
      <c r="F122" s="1624"/>
      <c r="G122" s="1624"/>
      <c r="H122" s="1624"/>
      <c r="I122" s="1624"/>
      <c r="J122" s="1624"/>
      <c r="K122" s="1624"/>
      <c r="L122" s="1624"/>
      <c r="M122" s="1624"/>
      <c r="N122" s="1624"/>
      <c r="O122" s="1624"/>
      <c r="P122" s="1624"/>
    </row>
    <row r="123" spans="3:16" x14ac:dyDescent="0.25">
      <c r="C123" s="1625"/>
      <c r="D123" s="1625"/>
      <c r="E123" s="1625"/>
      <c r="F123" s="1625"/>
      <c r="G123" s="1625"/>
      <c r="H123" s="1625"/>
      <c r="I123" s="1625"/>
      <c r="J123" s="1625"/>
      <c r="K123" s="1625"/>
      <c r="L123" s="1625"/>
      <c r="M123" s="1625"/>
      <c r="N123" s="1625"/>
      <c r="O123" s="1625"/>
      <c r="P123" s="1625"/>
    </row>
    <row r="124" spans="3:16" x14ac:dyDescent="0.25">
      <c r="C124" s="1624"/>
      <c r="D124" s="1624"/>
      <c r="E124" s="1624"/>
      <c r="F124" s="1624"/>
      <c r="G124" s="1624"/>
      <c r="H124" s="1624"/>
      <c r="I124" s="1624"/>
      <c r="J124" s="1624"/>
      <c r="K124" s="1624"/>
      <c r="L124" s="1624"/>
      <c r="M124" s="1624"/>
      <c r="N124" s="1624"/>
      <c r="O124" s="1624"/>
      <c r="P124" s="1624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6" t="s">
        <v>3</v>
      </c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</row>
    <row r="11" spans="1:14" x14ac:dyDescent="0.25">
      <c r="B11" s="1656" t="s">
        <v>581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7" t="s">
        <v>5</v>
      </c>
      <c r="C12" s="1657"/>
      <c r="D12" s="1657"/>
      <c r="E12" s="1657"/>
      <c r="F12" s="1657"/>
      <c r="G12" s="1657"/>
      <c r="H12" s="1657"/>
      <c r="I12" s="1657"/>
      <c r="J12" s="1657"/>
      <c r="K12" s="1657"/>
      <c r="L12" s="1657"/>
      <c r="M12" s="1657"/>
      <c r="N12" s="165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7" t="s">
        <v>6</v>
      </c>
      <c r="B14" s="1667" t="s">
        <v>7</v>
      </c>
      <c r="C14" s="1667" t="s">
        <v>8</v>
      </c>
      <c r="D14" s="1667" t="s">
        <v>10</v>
      </c>
      <c r="E14" s="1667" t="s">
        <v>11</v>
      </c>
      <c r="F14" s="132" t="s">
        <v>12</v>
      </c>
      <c r="G14" s="1667" t="s">
        <v>13</v>
      </c>
      <c r="H14" s="1667" t="s">
        <v>14</v>
      </c>
      <c r="I14" s="1667" t="s">
        <v>15</v>
      </c>
      <c r="J14" s="1667" t="s">
        <v>16</v>
      </c>
      <c r="K14" s="1667" t="s">
        <v>17</v>
      </c>
      <c r="L14" s="1667" t="s">
        <v>18</v>
      </c>
      <c r="M14" s="1667" t="s">
        <v>19</v>
      </c>
      <c r="N14" s="1667" t="s">
        <v>20</v>
      </c>
    </row>
    <row r="15" spans="1:14" x14ac:dyDescent="0.25">
      <c r="A15" s="1667"/>
      <c r="B15" s="1667"/>
      <c r="C15" s="1667"/>
      <c r="D15" s="1667"/>
      <c r="E15" s="1667"/>
      <c r="F15" s="133" t="s">
        <v>21</v>
      </c>
      <c r="G15" s="1667"/>
      <c r="H15" s="1667"/>
      <c r="I15" s="1667"/>
      <c r="J15" s="1667"/>
      <c r="K15" s="1667"/>
      <c r="L15" s="1667"/>
      <c r="M15" s="1667"/>
      <c r="N15" s="166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659" t="s">
        <v>194</v>
      </c>
      <c r="C27" s="1659"/>
      <c r="D27" s="1659"/>
      <c r="E27" s="1659"/>
      <c r="F27" s="1655">
        <v>181500</v>
      </c>
      <c r="G27" s="1660">
        <v>0</v>
      </c>
      <c r="H27" s="1655">
        <v>181500</v>
      </c>
      <c r="I27" s="1660">
        <v>0</v>
      </c>
      <c r="J27" s="1668">
        <v>1641.75</v>
      </c>
      <c r="K27" s="1660">
        <v>0</v>
      </c>
      <c r="L27" s="1660">
        <v>0</v>
      </c>
      <c r="M27" s="1668">
        <v>1641.75</v>
      </c>
      <c r="N27" s="1655">
        <v>179858.25</v>
      </c>
    </row>
    <row r="28" spans="1:14" x14ac:dyDescent="0.25">
      <c r="A28" s="110"/>
      <c r="B28" s="1659"/>
      <c r="C28" s="1659"/>
      <c r="D28" s="1659"/>
      <c r="E28" s="1659"/>
      <c r="F28" s="1655"/>
      <c r="G28" s="1660"/>
      <c r="H28" s="1655"/>
      <c r="I28" s="1660"/>
      <c r="J28" s="1668"/>
      <c r="K28" s="1660"/>
      <c r="L28" s="1660"/>
      <c r="M28" s="1668"/>
      <c r="N28" s="1655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4"/>
      <c r="B41" s="1624"/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</row>
    <row r="42" spans="1:14" x14ac:dyDescent="0.25">
      <c r="A42" s="1625"/>
      <c r="B42" s="1625"/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3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25" t="s">
        <v>584</v>
      </c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  <c r="P9" s="1625"/>
      <c r="Q9" s="1625"/>
    </row>
    <row r="10" spans="2:17" x14ac:dyDescent="0.25">
      <c r="C10" s="1638" t="s">
        <v>404</v>
      </c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  <c r="N10" s="1638"/>
      <c r="O10" s="1638"/>
      <c r="P10" s="1638"/>
      <c r="Q10" s="1638"/>
    </row>
    <row r="11" spans="2:17" ht="15.75" thickBot="1" x14ac:dyDescent="0.3"/>
    <row r="12" spans="2:17" ht="15.75" thickBot="1" x14ac:dyDescent="0.3">
      <c r="B12" s="1646" t="s">
        <v>6</v>
      </c>
      <c r="C12" s="1642" t="s">
        <v>7</v>
      </c>
      <c r="D12" s="1642" t="s">
        <v>8</v>
      </c>
      <c r="E12" s="1642" t="s">
        <v>9</v>
      </c>
      <c r="F12" s="1642" t="s">
        <v>10</v>
      </c>
      <c r="G12" s="1645" t="s">
        <v>11</v>
      </c>
      <c r="H12" s="1642" t="s">
        <v>11</v>
      </c>
      <c r="I12" s="51" t="s">
        <v>12</v>
      </c>
      <c r="J12" s="1644" t="s">
        <v>13</v>
      </c>
      <c r="K12" s="1642" t="s">
        <v>14</v>
      </c>
      <c r="L12" s="1642" t="s">
        <v>15</v>
      </c>
      <c r="M12" s="1642" t="s">
        <v>16</v>
      </c>
      <c r="N12" s="1642" t="s">
        <v>17</v>
      </c>
      <c r="O12" s="1642" t="s">
        <v>18</v>
      </c>
      <c r="P12" s="1642" t="s">
        <v>19</v>
      </c>
      <c r="Q12" s="1643" t="s">
        <v>20</v>
      </c>
    </row>
    <row r="13" spans="2:17" ht="15.75" thickBot="1" x14ac:dyDescent="0.3">
      <c r="B13" s="1646"/>
      <c r="C13" s="1642"/>
      <c r="D13" s="1642"/>
      <c r="E13" s="1642"/>
      <c r="F13" s="1642"/>
      <c r="G13" s="1645"/>
      <c r="H13" s="1642"/>
      <c r="I13" s="52" t="s">
        <v>21</v>
      </c>
      <c r="J13" s="1644"/>
      <c r="K13" s="1642"/>
      <c r="L13" s="1642"/>
      <c r="M13" s="1642"/>
      <c r="N13" s="1642"/>
      <c r="O13" s="1642"/>
      <c r="P13" s="1642"/>
      <c r="Q13" s="164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634" t="s">
        <v>24</v>
      </c>
      <c r="F15" s="1634"/>
      <c r="G15" s="163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631" t="s">
        <v>36</v>
      </c>
      <c r="F16" s="1631" t="s">
        <v>37</v>
      </c>
      <c r="G16" s="163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631" t="s">
        <v>40</v>
      </c>
      <c r="F17" s="1631" t="s">
        <v>41</v>
      </c>
      <c r="G17" s="163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631" t="s">
        <v>44</v>
      </c>
      <c r="F18" s="1631" t="s">
        <v>45</v>
      </c>
      <c r="G18" s="163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631" t="s">
        <v>49</v>
      </c>
      <c r="F19" s="1631" t="s">
        <v>50</v>
      </c>
      <c r="G19" s="163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631" t="s">
        <v>53</v>
      </c>
      <c r="F20" s="1631" t="s">
        <v>54</v>
      </c>
      <c r="G20" s="163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631" t="s">
        <v>427</v>
      </c>
      <c r="F21" s="1631" t="s">
        <v>57</v>
      </c>
      <c r="G21" s="163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631" t="s">
        <v>53</v>
      </c>
      <c r="F22" s="1631" t="s">
        <v>60</v>
      </c>
      <c r="G22" s="163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631" t="s">
        <v>514</v>
      </c>
      <c r="F23" s="1631" t="s">
        <v>64</v>
      </c>
      <c r="G23" s="163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631" t="s">
        <v>67</v>
      </c>
      <c r="F24" s="1631" t="s">
        <v>68</v>
      </c>
      <c r="G24" s="163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631" t="s">
        <v>71</v>
      </c>
      <c r="F25" s="1631" t="s">
        <v>72</v>
      </c>
      <c r="G25" s="163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631" t="s">
        <v>515</v>
      </c>
      <c r="F26" s="1631" t="s">
        <v>79</v>
      </c>
      <c r="G26" s="163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631" t="s">
        <v>78</v>
      </c>
      <c r="F27" s="1631" t="s">
        <v>79</v>
      </c>
      <c r="G27" s="163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631" t="s">
        <v>82</v>
      </c>
      <c r="F28" s="1631" t="s">
        <v>83</v>
      </c>
      <c r="G28" s="163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631" t="s">
        <v>85</v>
      </c>
      <c r="F29" s="1631" t="s">
        <v>86</v>
      </c>
      <c r="G29" s="163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631" t="s">
        <v>89</v>
      </c>
      <c r="F30" s="1631" t="s">
        <v>90</v>
      </c>
      <c r="G30" s="163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631" t="s">
        <v>92</v>
      </c>
      <c r="F31" s="1631" t="s">
        <v>93</v>
      </c>
      <c r="G31" s="163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631" t="s">
        <v>71</v>
      </c>
      <c r="F32" s="1631" t="s">
        <v>95</v>
      </c>
      <c r="G32" s="163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631" t="s">
        <v>97</v>
      </c>
      <c r="F33" s="1631" t="s">
        <v>98</v>
      </c>
      <c r="G33" s="163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631" t="s">
        <v>92</v>
      </c>
      <c r="F34" s="1631" t="s">
        <v>100</v>
      </c>
      <c r="G34" s="163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631" t="s">
        <v>102</v>
      </c>
      <c r="F35" s="1631" t="s">
        <v>103</v>
      </c>
      <c r="G35" s="163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631" t="s">
        <v>105</v>
      </c>
      <c r="F36" s="1631" t="s">
        <v>106</v>
      </c>
      <c r="G36" s="163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631" t="s">
        <v>105</v>
      </c>
      <c r="F37" s="1631" t="s">
        <v>108</v>
      </c>
      <c r="G37" s="163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631" t="s">
        <v>515</v>
      </c>
      <c r="F38" s="1631" t="s">
        <v>115</v>
      </c>
      <c r="G38" s="163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631" t="s">
        <v>489</v>
      </c>
      <c r="F39" s="1631" t="s">
        <v>118</v>
      </c>
      <c r="G39" s="163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631" t="s">
        <v>120</v>
      </c>
      <c r="F40" s="1631" t="s">
        <v>121</v>
      </c>
      <c r="G40" s="163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631" t="s">
        <v>49</v>
      </c>
      <c r="F41" s="1631" t="s">
        <v>123</v>
      </c>
      <c r="G41" s="163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631" t="s">
        <v>125</v>
      </c>
      <c r="F42" s="1631" t="s">
        <v>126</v>
      </c>
      <c r="G42" s="163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631" t="s">
        <v>105</v>
      </c>
      <c r="F43" s="1631" t="s">
        <v>128</v>
      </c>
      <c r="G43" s="163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631" t="s">
        <v>102</v>
      </c>
      <c r="F44" s="1631" t="s">
        <v>130</v>
      </c>
      <c r="G44" s="163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631" t="s">
        <v>132</v>
      </c>
      <c r="F45" s="1631" t="s">
        <v>133</v>
      </c>
      <c r="G45" s="163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631" t="s">
        <v>489</v>
      </c>
      <c r="F46" s="1631" t="s">
        <v>118</v>
      </c>
      <c r="G46" s="163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631" t="s">
        <v>85</v>
      </c>
      <c r="F47" s="1631" t="s">
        <v>137</v>
      </c>
      <c r="G47" s="163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631" t="s">
        <v>516</v>
      </c>
      <c r="F48" s="1631" t="s">
        <v>140</v>
      </c>
      <c r="G48" s="163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631" t="s">
        <v>148</v>
      </c>
      <c r="F49" s="1631" t="s">
        <v>149</v>
      </c>
      <c r="G49" s="163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631" t="s">
        <v>151</v>
      </c>
      <c r="F50" s="1631" t="s">
        <v>152</v>
      </c>
      <c r="G50" s="163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631" t="s">
        <v>157</v>
      </c>
      <c r="F51" s="1631" t="s">
        <v>158</v>
      </c>
      <c r="G51" s="163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631" t="s">
        <v>160</v>
      </c>
      <c r="F53" s="1631" t="s">
        <v>161</v>
      </c>
      <c r="G53" s="163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631" t="s">
        <v>163</v>
      </c>
      <c r="F54" s="1631" t="s">
        <v>164</v>
      </c>
      <c r="G54" s="163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631" t="s">
        <v>92</v>
      </c>
      <c r="F57" s="1631" t="s">
        <v>168</v>
      </c>
      <c r="G57" s="1631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631" t="s">
        <v>248</v>
      </c>
      <c r="F58" s="1631" t="s">
        <v>170</v>
      </c>
      <c r="G58" s="1631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631" t="s">
        <v>40</v>
      </c>
      <c r="F62" s="1631" t="s">
        <v>172</v>
      </c>
      <c r="G62" s="1631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631" t="s">
        <v>518</v>
      </c>
      <c r="F66" s="1631"/>
      <c r="G66" s="1631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631" t="s">
        <v>178</v>
      </c>
      <c r="F72" s="1631" t="s">
        <v>179</v>
      </c>
      <c r="G72" s="1631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640" t="s">
        <v>92</v>
      </c>
      <c r="F73" s="1640" t="s">
        <v>193</v>
      </c>
      <c r="G73" s="1640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631" t="s">
        <v>44</v>
      </c>
      <c r="F90" s="1631" t="s">
        <v>45</v>
      </c>
      <c r="G90" s="1631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641" t="s">
        <v>288</v>
      </c>
      <c r="D110" s="1641"/>
      <c r="E110" s="1641"/>
      <c r="F110" s="1641"/>
      <c r="G110" s="1641"/>
      <c r="H110" s="164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625" t="s">
        <v>196</v>
      </c>
      <c r="E116" s="1625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624" t="s">
        <v>197</v>
      </c>
      <c r="E118" s="1624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625" t="s">
        <v>199</v>
      </c>
      <c r="E119" s="1625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624" t="s">
        <v>201</v>
      </c>
      <c r="E120" s="1624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625"/>
      <c r="D123" s="1625"/>
      <c r="E123" s="1625"/>
      <c r="F123" s="1625"/>
      <c r="G123" s="1625"/>
      <c r="H123" s="1625"/>
      <c r="I123" s="1625"/>
      <c r="J123" s="1625"/>
      <c r="K123" s="1625"/>
      <c r="L123" s="1625"/>
      <c r="M123" s="1625"/>
      <c r="N123" s="1625"/>
      <c r="O123" s="1625"/>
      <c r="P123" s="1625"/>
    </row>
    <row r="126" spans="3:16" x14ac:dyDescent="0.25">
      <c r="C126" s="1624"/>
      <c r="D126" s="1624"/>
      <c r="E126" s="1624"/>
      <c r="F126" s="1624"/>
      <c r="G126" s="1624"/>
      <c r="H126" s="1624"/>
      <c r="I126" s="1624"/>
      <c r="J126" s="1624"/>
      <c r="K126" s="1624"/>
      <c r="L126" s="1624"/>
      <c r="M126" s="1624"/>
      <c r="N126" s="1624"/>
      <c r="O126" s="1624"/>
      <c r="P126" s="1624"/>
    </row>
    <row r="127" spans="3:16" x14ac:dyDescent="0.25">
      <c r="C127" s="1625"/>
      <c r="D127" s="1625"/>
      <c r="E127" s="1625"/>
      <c r="F127" s="1625"/>
      <c r="G127" s="1625"/>
      <c r="H127" s="1625"/>
      <c r="I127" s="1625"/>
      <c r="J127" s="1625"/>
      <c r="K127" s="1625"/>
      <c r="L127" s="1625"/>
      <c r="M127" s="1625"/>
      <c r="N127" s="1625"/>
      <c r="O127" s="1625"/>
      <c r="P127" s="1625"/>
    </row>
    <row r="128" spans="3:16" x14ac:dyDescent="0.25">
      <c r="C128" s="1624"/>
      <c r="D128" s="1624"/>
      <c r="E128" s="1624"/>
      <c r="F128" s="1624"/>
      <c r="G128" s="1624"/>
      <c r="H128" s="1624"/>
      <c r="I128" s="1624"/>
      <c r="J128" s="1624"/>
      <c r="K128" s="1624"/>
      <c r="L128" s="1624"/>
      <c r="M128" s="1624"/>
      <c r="N128" s="1624"/>
      <c r="O128" s="1624"/>
      <c r="P128" s="162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592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406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37" t="s">
        <v>6</v>
      </c>
      <c r="C14" s="1632" t="s">
        <v>7</v>
      </c>
      <c r="D14" s="1632" t="s">
        <v>8</v>
      </c>
      <c r="E14" s="1632" t="s">
        <v>10</v>
      </c>
      <c r="F14" s="1636" t="s">
        <v>11</v>
      </c>
      <c r="G14" s="1632" t="s">
        <v>208</v>
      </c>
      <c r="H14" s="1632" t="s">
        <v>209</v>
      </c>
      <c r="I14" s="3" t="s">
        <v>12</v>
      </c>
      <c r="J14" s="1635" t="s">
        <v>13</v>
      </c>
      <c r="K14" s="1632" t="s">
        <v>14</v>
      </c>
      <c r="L14" s="1632" t="s">
        <v>15</v>
      </c>
      <c r="M14" s="1632" t="s">
        <v>16</v>
      </c>
      <c r="N14" s="1632" t="s">
        <v>17</v>
      </c>
      <c r="O14" s="1632" t="s">
        <v>18</v>
      </c>
      <c r="P14" s="1632" t="s">
        <v>19</v>
      </c>
      <c r="Q14" s="1633" t="s">
        <v>20</v>
      </c>
    </row>
    <row r="15" spans="2:17" ht="15.75" thickBot="1" x14ac:dyDescent="0.3">
      <c r="B15" s="1637"/>
      <c r="C15" s="1632"/>
      <c r="D15" s="1632"/>
      <c r="E15" s="1632"/>
      <c r="F15" s="1636"/>
      <c r="G15" s="1632"/>
      <c r="H15" s="1632"/>
      <c r="I15" s="4" t="s">
        <v>21</v>
      </c>
      <c r="J15" s="1635"/>
      <c r="K15" s="1632"/>
      <c r="L15" s="1632"/>
      <c r="M15" s="1632"/>
      <c r="N15" s="1632"/>
      <c r="O15" s="1632"/>
      <c r="P15" s="1632"/>
      <c r="Q15" s="1633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666" t="s">
        <v>194</v>
      </c>
      <c r="D36" s="1666"/>
      <c r="E36" s="1666"/>
      <c r="F36" s="1666"/>
      <c r="G36" s="1666"/>
      <c r="H36" s="1666"/>
      <c r="I36" s="1647">
        <v>1070000</v>
      </c>
      <c r="J36" s="1649">
        <f>SUM(J17:J35)</f>
        <v>0</v>
      </c>
      <c r="K36" s="1647">
        <v>1070000</v>
      </c>
      <c r="L36" s="1647">
        <v>30709</v>
      </c>
      <c r="M36" s="1647">
        <v>63242.07</v>
      </c>
      <c r="N36" s="1647">
        <v>32528</v>
      </c>
      <c r="O36" s="1647">
        <v>1695</v>
      </c>
      <c r="P36" s="1647">
        <v>128174.07</v>
      </c>
      <c r="Q36" s="1650">
        <v>941825.93</v>
      </c>
    </row>
    <row r="37" spans="2:17" ht="15.75" thickBot="1" x14ac:dyDescent="0.3">
      <c r="C37" s="1666"/>
      <c r="D37" s="1666"/>
      <c r="E37" s="1666"/>
      <c r="F37" s="1666"/>
      <c r="G37" s="1666"/>
      <c r="H37" s="1666"/>
      <c r="I37" s="1647"/>
      <c r="J37" s="1649"/>
      <c r="K37" s="1647"/>
      <c r="L37" s="1647"/>
      <c r="M37" s="1647"/>
      <c r="N37" s="1647"/>
      <c r="O37" s="1647"/>
      <c r="P37" s="1647"/>
      <c r="Q37" s="165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625" t="s">
        <v>196</v>
      </c>
      <c r="E43" s="1625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624" t="s">
        <v>197</v>
      </c>
      <c r="E45" s="1624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625" t="s">
        <v>199</v>
      </c>
      <c r="E46" s="1625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624" t="s">
        <v>201</v>
      </c>
      <c r="E47" s="1624"/>
      <c r="F47" t="s">
        <v>254</v>
      </c>
      <c r="N47" s="25" t="s">
        <v>493</v>
      </c>
      <c r="O47" s="25"/>
      <c r="P47" s="25"/>
    </row>
    <row r="50" spans="3:16" x14ac:dyDescent="0.25">
      <c r="C50" s="1625"/>
      <c r="D50" s="1625"/>
      <c r="E50" s="1625"/>
      <c r="F50" s="1625"/>
      <c r="G50" s="1625"/>
      <c r="H50" s="1625"/>
      <c r="I50" s="1625"/>
      <c r="J50" s="1625"/>
      <c r="K50" s="1625"/>
      <c r="L50" s="1625"/>
      <c r="M50" s="1625"/>
      <c r="N50" s="1625"/>
      <c r="O50" s="1625"/>
      <c r="P50" s="1625"/>
    </row>
    <row r="53" spans="3:16" x14ac:dyDescent="0.25">
      <c r="C53" s="1624"/>
      <c r="D53" s="1624"/>
      <c r="E53" s="1624"/>
      <c r="F53" s="1624"/>
      <c r="G53" s="1624"/>
      <c r="H53" s="1624"/>
      <c r="I53" s="1624"/>
      <c r="J53" s="1624"/>
      <c r="K53" s="1624"/>
      <c r="L53" s="1624"/>
      <c r="M53" s="1624"/>
      <c r="N53" s="1624"/>
      <c r="O53" s="1624"/>
      <c r="P53" s="1624"/>
    </row>
    <row r="54" spans="3:16" x14ac:dyDescent="0.25">
      <c r="C54" s="1625"/>
      <c r="D54" s="1625"/>
      <c r="E54" s="1625"/>
      <c r="F54" s="1625"/>
      <c r="G54" s="1625"/>
      <c r="H54" s="1625"/>
      <c r="I54" s="1625"/>
      <c r="J54" s="1625"/>
      <c r="K54" s="1625"/>
      <c r="L54" s="1625"/>
      <c r="M54" s="1625"/>
      <c r="N54" s="1625"/>
      <c r="O54" s="1625"/>
      <c r="P54" s="1625"/>
    </row>
    <row r="55" spans="3:16" x14ac:dyDescent="0.25">
      <c r="C55" s="1624"/>
      <c r="D55" s="1624"/>
      <c r="E55" s="1624"/>
      <c r="F55" s="1624"/>
      <c r="G55" s="1624"/>
      <c r="H55" s="1624"/>
      <c r="I55" s="1624"/>
      <c r="J55" s="1624"/>
      <c r="K55" s="1624"/>
      <c r="L55" s="1624"/>
      <c r="M55" s="1624"/>
      <c r="N55" s="1624"/>
      <c r="O55" s="1624"/>
      <c r="P55" s="1624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6" t="s">
        <v>3</v>
      </c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</row>
    <row r="11" spans="1:14" x14ac:dyDescent="0.25">
      <c r="B11" s="1656" t="s">
        <v>612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7" t="s">
        <v>5</v>
      </c>
      <c r="C12" s="1657"/>
      <c r="D12" s="1657"/>
      <c r="E12" s="1657"/>
      <c r="F12" s="1657"/>
      <c r="G12" s="1657"/>
      <c r="H12" s="1657"/>
      <c r="I12" s="1657"/>
      <c r="J12" s="1657"/>
      <c r="K12" s="1657"/>
      <c r="L12" s="1657"/>
      <c r="M12" s="1657"/>
      <c r="N12" s="165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7" t="s">
        <v>6</v>
      </c>
      <c r="B14" s="1667" t="s">
        <v>7</v>
      </c>
      <c r="C14" s="1667" t="s">
        <v>8</v>
      </c>
      <c r="D14" s="1667" t="s">
        <v>10</v>
      </c>
      <c r="E14" s="1667" t="s">
        <v>11</v>
      </c>
      <c r="F14" s="132" t="s">
        <v>12</v>
      </c>
      <c r="G14" s="1667" t="s">
        <v>13</v>
      </c>
      <c r="H14" s="1667" t="s">
        <v>14</v>
      </c>
      <c r="I14" s="1667" t="s">
        <v>15</v>
      </c>
      <c r="J14" s="1667" t="s">
        <v>16</v>
      </c>
      <c r="K14" s="1667" t="s">
        <v>17</v>
      </c>
      <c r="L14" s="1667" t="s">
        <v>18</v>
      </c>
      <c r="M14" s="1667" t="s">
        <v>19</v>
      </c>
      <c r="N14" s="1667" t="s">
        <v>20</v>
      </c>
    </row>
    <row r="15" spans="1:14" x14ac:dyDescent="0.25">
      <c r="A15" s="1667"/>
      <c r="B15" s="1667"/>
      <c r="C15" s="1667"/>
      <c r="D15" s="1667"/>
      <c r="E15" s="1667"/>
      <c r="F15" s="133" t="s">
        <v>21</v>
      </c>
      <c r="G15" s="1667"/>
      <c r="H15" s="1667"/>
      <c r="I15" s="1667"/>
      <c r="J15" s="1667"/>
      <c r="K15" s="1667"/>
      <c r="L15" s="1667"/>
      <c r="M15" s="1667"/>
      <c r="N15" s="1667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59" t="s">
        <v>194</v>
      </c>
      <c r="C28" s="1659"/>
      <c r="D28" s="1659"/>
      <c r="E28" s="1659"/>
      <c r="F28" s="1655">
        <v>191000</v>
      </c>
      <c r="G28" s="1660">
        <v>0</v>
      </c>
      <c r="H28" s="1655">
        <v>191000</v>
      </c>
      <c r="I28" s="1660">
        <v>0</v>
      </c>
      <c r="J28" s="1668">
        <v>1641.75</v>
      </c>
      <c r="K28" s="1660">
        <v>0</v>
      </c>
      <c r="L28" s="1660">
        <v>0</v>
      </c>
      <c r="M28" s="1668">
        <v>1641.75</v>
      </c>
      <c r="N28" s="1655">
        <v>189358.25</v>
      </c>
    </row>
    <row r="29" spans="1:14" x14ac:dyDescent="0.25">
      <c r="A29" s="110"/>
      <c r="B29" s="1659"/>
      <c r="C29" s="1659"/>
      <c r="D29" s="1659"/>
      <c r="E29" s="1659"/>
      <c r="F29" s="1655"/>
      <c r="G29" s="1660"/>
      <c r="H29" s="1655"/>
      <c r="I29" s="1660"/>
      <c r="J29" s="1668"/>
      <c r="K29" s="1660"/>
      <c r="L29" s="1660"/>
      <c r="M29" s="1668"/>
      <c r="N29" s="165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24"/>
      <c r="B42" s="1624"/>
      <c r="C42" s="1624"/>
      <c r="D42" s="1624"/>
      <c r="E42" s="1624"/>
      <c r="F42" s="1624"/>
      <c r="G42" s="1624"/>
      <c r="H42" s="1624"/>
      <c r="I42" s="1624"/>
      <c r="J42" s="1624"/>
      <c r="K42" s="1624"/>
      <c r="L42" s="1624"/>
      <c r="M42" s="1624"/>
      <c r="N42" s="1624"/>
    </row>
    <row r="43" spans="1:14" x14ac:dyDescent="0.25">
      <c r="A43" s="1625"/>
      <c r="B43" s="1625"/>
      <c r="C43" s="1625"/>
      <c r="D43" s="1625"/>
      <c r="E43" s="1625"/>
      <c r="F43" s="1625"/>
      <c r="G43" s="1625"/>
      <c r="H43" s="1625"/>
      <c r="I43" s="1625"/>
      <c r="J43" s="1625"/>
      <c r="K43" s="1625"/>
      <c r="L43" s="1625"/>
      <c r="M43" s="1625"/>
      <c r="N43" s="1625"/>
    </row>
    <row r="44" spans="1:14" x14ac:dyDescent="0.25">
      <c r="A44" s="1624"/>
      <c r="B44" s="1624"/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6" t="s">
        <v>3</v>
      </c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</row>
    <row r="11" spans="1:14" x14ac:dyDescent="0.25">
      <c r="B11" s="1656" t="s">
        <v>620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7" t="s">
        <v>5</v>
      </c>
      <c r="C12" s="1657"/>
      <c r="D12" s="1657"/>
      <c r="E12" s="1657"/>
      <c r="F12" s="1657"/>
      <c r="G12" s="1657"/>
      <c r="H12" s="1657"/>
      <c r="I12" s="1657"/>
      <c r="J12" s="1657"/>
      <c r="K12" s="1657"/>
      <c r="L12" s="1657"/>
      <c r="M12" s="1657"/>
      <c r="N12" s="165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7" t="s">
        <v>6</v>
      </c>
      <c r="B14" s="1667" t="s">
        <v>7</v>
      </c>
      <c r="C14" s="1667" t="s">
        <v>8</v>
      </c>
      <c r="D14" s="1667" t="s">
        <v>10</v>
      </c>
      <c r="E14" s="1667" t="s">
        <v>11</v>
      </c>
      <c r="F14" s="132" t="s">
        <v>12</v>
      </c>
      <c r="G14" s="1667" t="s">
        <v>13</v>
      </c>
      <c r="H14" s="1667" t="s">
        <v>14</v>
      </c>
      <c r="I14" s="1667" t="s">
        <v>15</v>
      </c>
      <c r="J14" s="1667" t="s">
        <v>16</v>
      </c>
      <c r="K14" s="1667" t="s">
        <v>17</v>
      </c>
      <c r="L14" s="1667" t="s">
        <v>18</v>
      </c>
      <c r="M14" s="1667" t="s">
        <v>19</v>
      </c>
      <c r="N14" s="1667" t="s">
        <v>20</v>
      </c>
    </row>
    <row r="15" spans="1:14" x14ac:dyDescent="0.25">
      <c r="A15" s="1667"/>
      <c r="B15" s="1667"/>
      <c r="C15" s="1667"/>
      <c r="D15" s="1667"/>
      <c r="E15" s="1667"/>
      <c r="F15" s="133" t="s">
        <v>21</v>
      </c>
      <c r="G15" s="1667"/>
      <c r="H15" s="1667"/>
      <c r="I15" s="1667"/>
      <c r="J15" s="1667"/>
      <c r="K15" s="1667"/>
      <c r="L15" s="1667"/>
      <c r="M15" s="1667"/>
      <c r="N15" s="166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669" t="s">
        <v>194</v>
      </c>
      <c r="C29" s="1669"/>
      <c r="D29" s="1669"/>
      <c r="E29" s="1669"/>
      <c r="F29" s="1670">
        <v>175000</v>
      </c>
      <c r="G29" s="1672">
        <v>0</v>
      </c>
      <c r="H29" s="1670">
        <v>175000</v>
      </c>
      <c r="I29" s="1672">
        <v>0</v>
      </c>
      <c r="J29" s="1671">
        <v>1594.5</v>
      </c>
      <c r="K29" s="1672">
        <v>0</v>
      </c>
      <c r="L29" s="1672">
        <v>0</v>
      </c>
      <c r="M29" s="1671">
        <v>1594.5</v>
      </c>
      <c r="N29" s="1670">
        <v>173405.5</v>
      </c>
    </row>
    <row r="30" spans="1:14" x14ac:dyDescent="0.25">
      <c r="A30" s="151"/>
      <c r="B30" s="1669"/>
      <c r="C30" s="1669"/>
      <c r="D30" s="1669"/>
      <c r="E30" s="1669"/>
      <c r="F30" s="1670"/>
      <c r="G30" s="1672"/>
      <c r="H30" s="1670"/>
      <c r="I30" s="1672"/>
      <c r="J30" s="1671"/>
      <c r="K30" s="1672"/>
      <c r="L30" s="1672"/>
      <c r="M30" s="1671"/>
      <c r="N30" s="1670"/>
    </row>
    <row r="34" spans="1:14" x14ac:dyDescent="0.25">
      <c r="A34" s="125" t="s">
        <v>257</v>
      </c>
      <c r="B34" s="1625" t="s">
        <v>195</v>
      </c>
      <c r="C34" s="1625"/>
      <c r="D34" s="24"/>
      <c r="E34" s="1625" t="s">
        <v>680</v>
      </c>
      <c r="F34" s="1625"/>
      <c r="G34" s="1625"/>
      <c r="J34" s="1625" t="s">
        <v>196</v>
      </c>
      <c r="K34" s="1625"/>
      <c r="L34" s="1625"/>
      <c r="M34" s="1625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624" t="s">
        <v>197</v>
      </c>
      <c r="C37" s="1624"/>
      <c r="D37" s="25"/>
      <c r="E37" s="1624" t="s">
        <v>684</v>
      </c>
      <c r="F37" s="1624"/>
      <c r="G37" s="1624"/>
      <c r="J37" s="1624" t="s">
        <v>683</v>
      </c>
      <c r="K37" s="1624"/>
      <c r="L37" s="1624"/>
      <c r="M37" s="1624"/>
      <c r="N37" s="25"/>
    </row>
    <row r="38" spans="1:14" x14ac:dyDescent="0.25">
      <c r="A38" s="96"/>
      <c r="B38" s="1625" t="s">
        <v>497</v>
      </c>
      <c r="C38" s="1625"/>
      <c r="D38" s="24"/>
      <c r="E38" s="1656" t="s">
        <v>687</v>
      </c>
      <c r="F38" s="1656"/>
      <c r="G38" s="1656"/>
      <c r="J38" s="1625" t="s">
        <v>537</v>
      </c>
      <c r="K38" s="1625"/>
      <c r="L38" s="1625"/>
      <c r="M38" s="1625"/>
      <c r="N38" s="24"/>
    </row>
    <row r="39" spans="1:14" x14ac:dyDescent="0.25">
      <c r="A39" s="99"/>
      <c r="B39" s="1624" t="s">
        <v>499</v>
      </c>
      <c r="C39" s="1624"/>
      <c r="D39" s="25"/>
      <c r="E39" s="1624" t="s">
        <v>685</v>
      </c>
      <c r="F39" s="1624"/>
      <c r="G39" s="1624"/>
      <c r="J39" s="1624" t="s">
        <v>493</v>
      </c>
      <c r="K39" s="1624"/>
      <c r="L39" s="1624"/>
      <c r="M39" s="1624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  <row r="44" spans="1:14" x14ac:dyDescent="0.25">
      <c r="A44" s="1625"/>
      <c r="B44" s="1625"/>
      <c r="C44" s="1625"/>
      <c r="D44" s="1625"/>
      <c r="E44" s="1625"/>
      <c r="F44" s="1625"/>
      <c r="G44" s="1625"/>
      <c r="H44" s="1625"/>
      <c r="I44" s="1625"/>
      <c r="J44" s="1625"/>
      <c r="K44" s="1625"/>
      <c r="L44" s="1625"/>
      <c r="M44" s="1625"/>
      <c r="N44" s="1625"/>
    </row>
    <row r="45" spans="1:14" x14ac:dyDescent="0.25">
      <c r="A45" s="1624"/>
      <c r="B45" s="1624"/>
      <c r="C45" s="1624"/>
      <c r="D45" s="1624"/>
      <c r="E45" s="1624"/>
      <c r="F45" s="1624"/>
      <c r="G45" s="1624"/>
      <c r="H45" s="1624"/>
      <c r="I45" s="1624"/>
      <c r="J45" s="1624"/>
      <c r="K45" s="1624"/>
      <c r="L45" s="1624"/>
      <c r="M45" s="1624"/>
      <c r="N45" s="1624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623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406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37" t="s">
        <v>6</v>
      </c>
      <c r="C14" s="1632" t="s">
        <v>7</v>
      </c>
      <c r="D14" s="1632" t="s">
        <v>8</v>
      </c>
      <c r="E14" s="1632" t="s">
        <v>10</v>
      </c>
      <c r="F14" s="1636" t="s">
        <v>11</v>
      </c>
      <c r="G14" s="1632" t="s">
        <v>208</v>
      </c>
      <c r="H14" s="1632" t="s">
        <v>209</v>
      </c>
      <c r="I14" s="3" t="s">
        <v>12</v>
      </c>
      <c r="J14" s="1635" t="s">
        <v>13</v>
      </c>
      <c r="K14" s="1632" t="s">
        <v>14</v>
      </c>
      <c r="L14" s="1632" t="s">
        <v>15</v>
      </c>
      <c r="M14" s="1632" t="s">
        <v>16</v>
      </c>
      <c r="N14" s="1632" t="s">
        <v>17</v>
      </c>
      <c r="O14" s="1632" t="s">
        <v>18</v>
      </c>
      <c r="P14" s="1632" t="s">
        <v>19</v>
      </c>
      <c r="Q14" s="1633" t="s">
        <v>20</v>
      </c>
    </row>
    <row r="15" spans="2:17" ht="15.75" thickBot="1" x14ac:dyDescent="0.3">
      <c r="B15" s="1637"/>
      <c r="C15" s="1632"/>
      <c r="D15" s="1632"/>
      <c r="E15" s="1632"/>
      <c r="F15" s="1636"/>
      <c r="G15" s="1632"/>
      <c r="H15" s="1632"/>
      <c r="I15" s="4" t="s">
        <v>21</v>
      </c>
      <c r="J15" s="1635"/>
      <c r="K15" s="1632"/>
      <c r="L15" s="1632"/>
      <c r="M15" s="1632"/>
      <c r="N15" s="1632"/>
      <c r="O15" s="1632"/>
      <c r="P15" s="1632"/>
      <c r="Q15" s="1633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666" t="s">
        <v>194</v>
      </c>
      <c r="D36" s="1666"/>
      <c r="E36" s="1666"/>
      <c r="F36" s="1666"/>
      <c r="G36" s="1666"/>
      <c r="H36" s="1666"/>
      <c r="I36" s="1647" t="s">
        <v>689</v>
      </c>
      <c r="J36" s="1649">
        <f>SUM(J17:J35)</f>
        <v>0</v>
      </c>
      <c r="K36" s="1647">
        <v>1145000</v>
      </c>
      <c r="L36" s="1647">
        <v>32861.5</v>
      </c>
      <c r="M36" s="1647">
        <v>69302.33</v>
      </c>
      <c r="N36" s="1647" t="s">
        <v>690</v>
      </c>
      <c r="O36" s="1647">
        <v>1720</v>
      </c>
      <c r="P36" s="1647">
        <v>138691.82999999999</v>
      </c>
      <c r="Q36" s="1650">
        <v>1006308.17</v>
      </c>
    </row>
    <row r="37" spans="2:17" ht="15.75" thickBot="1" x14ac:dyDescent="0.3">
      <c r="C37" s="1666"/>
      <c r="D37" s="1666"/>
      <c r="E37" s="1666"/>
      <c r="F37" s="1666"/>
      <c r="G37" s="1666"/>
      <c r="H37" s="1666"/>
      <c r="I37" s="1647"/>
      <c r="J37" s="1649"/>
      <c r="K37" s="1647"/>
      <c r="L37" s="1647"/>
      <c r="M37" s="1647"/>
      <c r="N37" s="1647"/>
      <c r="O37" s="1647"/>
      <c r="P37" s="1647"/>
      <c r="Q37" s="165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625" t="s">
        <v>195</v>
      </c>
      <c r="D43" s="1625"/>
      <c r="E43" s="1625" t="s">
        <v>680</v>
      </c>
      <c r="F43" s="1625"/>
      <c r="G43" s="1625"/>
      <c r="H43" s="1625"/>
      <c r="I43" s="1625"/>
      <c r="L43" s="1625" t="s">
        <v>196</v>
      </c>
      <c r="M43" s="1625"/>
      <c r="N43" s="1625"/>
      <c r="O43" s="1625"/>
      <c r="P43" s="1625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624" t="s">
        <v>679</v>
      </c>
      <c r="D45" s="1624"/>
      <c r="E45" s="1624" t="s">
        <v>682</v>
      </c>
      <c r="F45" s="1624"/>
      <c r="G45" s="1624"/>
      <c r="H45" s="1624"/>
      <c r="I45" s="1624"/>
      <c r="L45" s="1624" t="s">
        <v>683</v>
      </c>
      <c r="M45" s="1624"/>
      <c r="N45" s="1624"/>
      <c r="O45" s="1624"/>
      <c r="P45" s="1624"/>
    </row>
    <row r="46" spans="2:17" x14ac:dyDescent="0.25">
      <c r="C46" s="1625" t="s">
        <v>497</v>
      </c>
      <c r="D46" s="1625"/>
      <c r="E46" s="1656" t="s">
        <v>686</v>
      </c>
      <c r="F46" s="1656"/>
      <c r="G46" s="1656"/>
      <c r="H46" s="1656"/>
      <c r="I46" s="1656"/>
      <c r="L46" s="1625" t="s">
        <v>523</v>
      </c>
      <c r="M46" s="1625"/>
      <c r="N46" s="1625"/>
      <c r="O46" s="1625"/>
      <c r="P46" s="1625"/>
    </row>
    <row r="47" spans="2:17" x14ac:dyDescent="0.25">
      <c r="C47" s="1624" t="s">
        <v>499</v>
      </c>
      <c r="D47" s="1624"/>
      <c r="E47" s="1624" t="s">
        <v>681</v>
      </c>
      <c r="F47" s="1624"/>
      <c r="G47" s="1624"/>
      <c r="H47" s="1624"/>
      <c r="I47" s="1624"/>
      <c r="L47" s="1624" t="s">
        <v>493</v>
      </c>
      <c r="M47" s="1624"/>
      <c r="N47" s="1624"/>
      <c r="O47" s="1624"/>
      <c r="P47" s="1624"/>
    </row>
    <row r="50" spans="3:16" x14ac:dyDescent="0.25">
      <c r="C50" s="1625"/>
      <c r="D50" s="1625"/>
      <c r="E50" s="1625"/>
      <c r="F50" s="1625"/>
      <c r="G50" s="1625"/>
      <c r="H50" s="1625"/>
      <c r="I50" s="1625"/>
      <c r="J50" s="1625"/>
      <c r="K50" s="1625"/>
      <c r="L50" s="1625"/>
      <c r="M50" s="1625"/>
      <c r="N50" s="1625"/>
      <c r="O50" s="1625"/>
      <c r="P50" s="1625"/>
    </row>
    <row r="53" spans="3:16" x14ac:dyDescent="0.25">
      <c r="C53" s="1624"/>
      <c r="D53" s="1624"/>
      <c r="E53" s="1624"/>
      <c r="F53" s="1624"/>
      <c r="G53" s="1624"/>
      <c r="H53" s="1624"/>
      <c r="I53" s="1624"/>
      <c r="J53" s="1624"/>
      <c r="K53" s="1624"/>
      <c r="L53" s="1624"/>
      <c r="M53" s="1624"/>
      <c r="N53" s="1624"/>
      <c r="O53" s="1624"/>
      <c r="P53" s="1624"/>
    </row>
    <row r="54" spans="3:16" x14ac:dyDescent="0.25">
      <c r="C54" s="1625"/>
      <c r="D54" s="1625"/>
      <c r="E54" s="1625"/>
      <c r="F54" s="1625"/>
      <c r="G54" s="1625"/>
      <c r="H54" s="1625"/>
      <c r="I54" s="1625"/>
      <c r="J54" s="1625"/>
      <c r="K54" s="1625"/>
      <c r="L54" s="1625"/>
      <c r="M54" s="1625"/>
      <c r="N54" s="1625"/>
      <c r="O54" s="1625"/>
      <c r="P54" s="1625"/>
    </row>
    <row r="55" spans="3:16" x14ac:dyDescent="0.25">
      <c r="C55" s="1624"/>
      <c r="D55" s="1624"/>
      <c r="E55" s="1624"/>
      <c r="F55" s="1624"/>
      <c r="G55" s="1624"/>
      <c r="H55" s="1624"/>
      <c r="I55" s="1624"/>
      <c r="J55" s="1624"/>
      <c r="K55" s="1624"/>
      <c r="L55" s="1624"/>
      <c r="M55" s="1624"/>
      <c r="N55" s="1624"/>
      <c r="O55" s="1624"/>
      <c r="P55" s="1624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3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25" t="s">
        <v>640</v>
      </c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  <c r="P9" s="1625"/>
      <c r="Q9" s="1625"/>
    </row>
    <row r="10" spans="2:17" x14ac:dyDescent="0.25">
      <c r="C10" s="1638" t="s">
        <v>404</v>
      </c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  <c r="N10" s="1638"/>
      <c r="O10" s="1638"/>
      <c r="P10" s="1638"/>
      <c r="Q10" s="1638"/>
    </row>
    <row r="11" spans="2:17" ht="15.75" thickBot="1" x14ac:dyDescent="0.3">
      <c r="D11" t="s">
        <v>641</v>
      </c>
    </row>
    <row r="12" spans="2:17" ht="15.75" thickBot="1" x14ac:dyDescent="0.3">
      <c r="B12" s="1646" t="s">
        <v>6</v>
      </c>
      <c r="C12" s="1642" t="s">
        <v>7</v>
      </c>
      <c r="D12" s="1642" t="s">
        <v>8</v>
      </c>
      <c r="E12" s="1642" t="s">
        <v>9</v>
      </c>
      <c r="F12" s="1642" t="s">
        <v>10</v>
      </c>
      <c r="G12" s="1645" t="s">
        <v>11</v>
      </c>
      <c r="H12" s="1642" t="s">
        <v>11</v>
      </c>
      <c r="I12" s="51" t="s">
        <v>12</v>
      </c>
      <c r="J12" s="1644" t="s">
        <v>13</v>
      </c>
      <c r="K12" s="1642" t="s">
        <v>14</v>
      </c>
      <c r="L12" s="1642" t="s">
        <v>15</v>
      </c>
      <c r="M12" s="1642" t="s">
        <v>16</v>
      </c>
      <c r="N12" s="1642" t="s">
        <v>17</v>
      </c>
      <c r="O12" s="1642" t="s">
        <v>18</v>
      </c>
      <c r="P12" s="1642" t="s">
        <v>19</v>
      </c>
      <c r="Q12" s="1643" t="s">
        <v>20</v>
      </c>
    </row>
    <row r="13" spans="2:17" ht="15.75" thickBot="1" x14ac:dyDescent="0.3">
      <c r="B13" s="1646"/>
      <c r="C13" s="1642"/>
      <c r="D13" s="1642"/>
      <c r="E13" s="1642"/>
      <c r="F13" s="1642"/>
      <c r="G13" s="1645"/>
      <c r="H13" s="1642"/>
      <c r="I13" s="52" t="s">
        <v>21</v>
      </c>
      <c r="J13" s="1644"/>
      <c r="K13" s="1642"/>
      <c r="L13" s="1642"/>
      <c r="M13" s="1642"/>
      <c r="N13" s="1642"/>
      <c r="O13" s="1642"/>
      <c r="P13" s="1642"/>
      <c r="Q13" s="164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634" t="s">
        <v>24</v>
      </c>
      <c r="F15" s="1634"/>
      <c r="G15" s="163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631" t="s">
        <v>36</v>
      </c>
      <c r="F16" s="1631" t="s">
        <v>37</v>
      </c>
      <c r="G16" s="163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631" t="s">
        <v>40</v>
      </c>
      <c r="F17" s="1631" t="s">
        <v>41</v>
      </c>
      <c r="G17" s="163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631" t="s">
        <v>44</v>
      </c>
      <c r="F18" s="1631" t="s">
        <v>45</v>
      </c>
      <c r="G18" s="163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631" t="s">
        <v>49</v>
      </c>
      <c r="F19" s="1631" t="s">
        <v>50</v>
      </c>
      <c r="G19" s="163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631" t="s">
        <v>53</v>
      </c>
      <c r="F20" s="1631" t="s">
        <v>54</v>
      </c>
      <c r="G20" s="163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631" t="s">
        <v>427</v>
      </c>
      <c r="F21" s="1631" t="s">
        <v>57</v>
      </c>
      <c r="G21" s="163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631" t="s">
        <v>53</v>
      </c>
      <c r="F22" s="1631" t="s">
        <v>60</v>
      </c>
      <c r="G22" s="163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631" t="s">
        <v>514</v>
      </c>
      <c r="F23" s="1631" t="s">
        <v>64</v>
      </c>
      <c r="G23" s="163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631" t="s">
        <v>643</v>
      </c>
      <c r="F24" s="1631" t="s">
        <v>68</v>
      </c>
      <c r="G24" s="163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631" t="s">
        <v>71</v>
      </c>
      <c r="F25" s="1631" t="s">
        <v>72</v>
      </c>
      <c r="G25" s="163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631" t="s">
        <v>515</v>
      </c>
      <c r="F26" s="1631" t="s">
        <v>79</v>
      </c>
      <c r="G26" s="163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631" t="s">
        <v>78</v>
      </c>
      <c r="F27" s="1631" t="s">
        <v>79</v>
      </c>
      <c r="G27" s="163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631" t="s">
        <v>82</v>
      </c>
      <c r="F28" s="1631" t="s">
        <v>83</v>
      </c>
      <c r="G28" s="163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631" t="s">
        <v>85</v>
      </c>
      <c r="F29" s="1631" t="s">
        <v>86</v>
      </c>
      <c r="G29" s="163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631" t="s">
        <v>89</v>
      </c>
      <c r="F30" s="1631" t="s">
        <v>90</v>
      </c>
      <c r="G30" s="163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631" t="s">
        <v>92</v>
      </c>
      <c r="F31" s="1631" t="s">
        <v>93</v>
      </c>
      <c r="G31" s="163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631" t="s">
        <v>71</v>
      </c>
      <c r="F32" s="1631" t="s">
        <v>95</v>
      </c>
      <c r="G32" s="163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631" t="s">
        <v>97</v>
      </c>
      <c r="F33" s="1631" t="s">
        <v>98</v>
      </c>
      <c r="G33" s="163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631" t="s">
        <v>92</v>
      </c>
      <c r="F34" s="1631" t="s">
        <v>100</v>
      </c>
      <c r="G34" s="163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631" t="s">
        <v>102</v>
      </c>
      <c r="F35" s="1631" t="s">
        <v>103</v>
      </c>
      <c r="G35" s="163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631" t="s">
        <v>105</v>
      </c>
      <c r="F36" s="1631" t="s">
        <v>106</v>
      </c>
      <c r="G36" s="163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631" t="s">
        <v>105</v>
      </c>
      <c r="F37" s="1631" t="s">
        <v>108</v>
      </c>
      <c r="G37" s="163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631" t="s">
        <v>515</v>
      </c>
      <c r="F38" s="1631" t="s">
        <v>115</v>
      </c>
      <c r="G38" s="163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631" t="s">
        <v>489</v>
      </c>
      <c r="F39" s="1631" t="s">
        <v>118</v>
      </c>
      <c r="G39" s="163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631" t="s">
        <v>120</v>
      </c>
      <c r="F40" s="1631" t="s">
        <v>121</v>
      </c>
      <c r="G40" s="163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631" t="s">
        <v>49</v>
      </c>
      <c r="F41" s="1631" t="s">
        <v>123</v>
      </c>
      <c r="G41" s="163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631" t="s">
        <v>125</v>
      </c>
      <c r="F42" s="1631" t="s">
        <v>126</v>
      </c>
      <c r="G42" s="163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631" t="s">
        <v>105</v>
      </c>
      <c r="F43" s="1631" t="s">
        <v>128</v>
      </c>
      <c r="G43" s="163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631" t="s">
        <v>102</v>
      </c>
      <c r="F44" s="1631" t="s">
        <v>130</v>
      </c>
      <c r="G44" s="163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631" t="s">
        <v>132</v>
      </c>
      <c r="F45" s="1631" t="s">
        <v>133</v>
      </c>
      <c r="G45" s="163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631" t="s">
        <v>489</v>
      </c>
      <c r="F46" s="1631" t="s">
        <v>118</v>
      </c>
      <c r="G46" s="163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631" t="s">
        <v>85</v>
      </c>
      <c r="F47" s="1631" t="s">
        <v>137</v>
      </c>
      <c r="G47" s="163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631" t="s">
        <v>516</v>
      </c>
      <c r="F48" s="1631" t="s">
        <v>140</v>
      </c>
      <c r="G48" s="163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631" t="s">
        <v>658</v>
      </c>
      <c r="F49" s="1631" t="s">
        <v>149</v>
      </c>
      <c r="G49" s="163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631" t="s">
        <v>151</v>
      </c>
      <c r="F50" s="1631" t="s">
        <v>152</v>
      </c>
      <c r="G50" s="163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631" t="s">
        <v>157</v>
      </c>
      <c r="F51" s="1631" t="s">
        <v>158</v>
      </c>
      <c r="G51" s="163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631" t="s">
        <v>160</v>
      </c>
      <c r="F53" s="1631" t="s">
        <v>161</v>
      </c>
      <c r="G53" s="163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631" t="s">
        <v>163</v>
      </c>
      <c r="F54" s="1631" t="s">
        <v>164</v>
      </c>
      <c r="G54" s="163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631" t="s">
        <v>248</v>
      </c>
      <c r="F57" s="1631" t="s">
        <v>170</v>
      </c>
      <c r="G57" s="1631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631" t="s">
        <v>40</v>
      </c>
      <c r="F61" s="1631" t="s">
        <v>172</v>
      </c>
      <c r="G61" s="1631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631" t="s">
        <v>518</v>
      </c>
      <c r="F65" s="1631"/>
      <c r="G65" s="1631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631" t="s">
        <v>178</v>
      </c>
      <c r="F70" s="1631" t="s">
        <v>179</v>
      </c>
      <c r="G70" s="1631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640" t="s">
        <v>92</v>
      </c>
      <c r="F71" s="1640" t="s">
        <v>193</v>
      </c>
      <c r="G71" s="1640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631" t="s">
        <v>44</v>
      </c>
      <c r="F88" s="1631" t="s">
        <v>45</v>
      </c>
      <c r="G88" s="1631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641" t="s">
        <v>288</v>
      </c>
      <c r="D110" s="1641"/>
      <c r="E110" s="1641"/>
      <c r="F110" s="1641"/>
      <c r="G110" s="1641"/>
      <c r="H110" s="164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625" t="s">
        <v>195</v>
      </c>
      <c r="D116" s="1625"/>
      <c r="E116" s="1625" t="s">
        <v>616</v>
      </c>
      <c r="F116" s="1625"/>
      <c r="G116" s="1625"/>
      <c r="H116" s="1625"/>
      <c r="I116" s="1625"/>
      <c r="J116" s="25"/>
      <c r="K116" s="25"/>
      <c r="L116" s="1625" t="s">
        <v>196</v>
      </c>
      <c r="M116" s="1625"/>
      <c r="N116" s="1625"/>
      <c r="O116" s="1625"/>
      <c r="P116" s="162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24" t="s">
        <v>678</v>
      </c>
      <c r="D118" s="1624"/>
      <c r="E118" s="1624" t="s">
        <v>677</v>
      </c>
      <c r="F118" s="1624"/>
      <c r="G118" s="1624"/>
      <c r="H118" s="1624"/>
      <c r="I118" s="1624"/>
      <c r="J118" s="25"/>
      <c r="K118" s="25"/>
      <c r="L118" s="1624" t="s">
        <v>678</v>
      </c>
      <c r="M118" s="1624"/>
      <c r="N118" s="1624"/>
      <c r="O118" s="1624"/>
      <c r="P118" s="1624"/>
    </row>
    <row r="119" spans="3:16" x14ac:dyDescent="0.25">
      <c r="C119" s="1625" t="s">
        <v>497</v>
      </c>
      <c r="D119" s="1625"/>
      <c r="E119" s="1656" t="s">
        <v>688</v>
      </c>
      <c r="F119" s="1656"/>
      <c r="G119" s="1656"/>
      <c r="H119" s="1656"/>
      <c r="I119" s="1656"/>
      <c r="J119" s="125"/>
      <c r="K119" s="125"/>
      <c r="L119" s="1625" t="s">
        <v>523</v>
      </c>
      <c r="M119" s="1625"/>
      <c r="N119" s="1625"/>
      <c r="O119" s="1625"/>
      <c r="P119" s="1625"/>
    </row>
    <row r="120" spans="3:16" x14ac:dyDescent="0.25">
      <c r="C120" s="1624" t="s">
        <v>499</v>
      </c>
      <c r="D120" s="1624"/>
      <c r="E120" s="1624" t="s">
        <v>618</v>
      </c>
      <c r="F120" s="1624"/>
      <c r="G120" s="1624"/>
      <c r="H120" s="1624"/>
      <c r="I120" s="1624"/>
      <c r="J120" s="25"/>
      <c r="K120" s="25"/>
      <c r="L120" s="1624" t="s">
        <v>493</v>
      </c>
      <c r="M120" s="1624"/>
      <c r="N120" s="1624"/>
      <c r="O120" s="1624"/>
      <c r="P120" s="1624"/>
    </row>
    <row r="123" spans="3:16" x14ac:dyDescent="0.25">
      <c r="C123" s="1625"/>
      <c r="D123" s="1625"/>
      <c r="E123" s="1625"/>
      <c r="F123" s="1625"/>
      <c r="G123" s="1625"/>
      <c r="H123" s="1625"/>
      <c r="I123" s="1625"/>
      <c r="J123" s="1625"/>
      <c r="K123" s="1625"/>
      <c r="L123" s="1625"/>
      <c r="M123" s="1625"/>
      <c r="N123" s="1625"/>
      <c r="O123" s="1625"/>
      <c r="P123" s="1625"/>
    </row>
    <row r="126" spans="3:16" x14ac:dyDescent="0.25">
      <c r="C126" s="1624"/>
      <c r="D126" s="1624"/>
      <c r="E126" s="1624"/>
      <c r="F126" s="1624"/>
      <c r="G126" s="1624"/>
      <c r="H126" s="1624"/>
      <c r="I126" s="1624"/>
      <c r="J126" s="1624"/>
      <c r="K126" s="1624"/>
      <c r="L126" s="1624"/>
      <c r="M126" s="1624"/>
      <c r="N126" s="1624"/>
      <c r="O126" s="1624"/>
      <c r="P126" s="1624"/>
    </row>
    <row r="127" spans="3:16" x14ac:dyDescent="0.25">
      <c r="C127" s="1625"/>
      <c r="D127" s="1625"/>
      <c r="E127" s="1625"/>
      <c r="F127" s="1625"/>
      <c r="G127" s="1625"/>
      <c r="H127" s="1625"/>
      <c r="I127" s="1625"/>
      <c r="J127" s="1625"/>
      <c r="K127" s="1625"/>
      <c r="L127" s="1625"/>
      <c r="M127" s="1625"/>
      <c r="N127" s="1625"/>
      <c r="O127" s="1625"/>
      <c r="P127" s="1625"/>
    </row>
    <row r="128" spans="3:16" x14ac:dyDescent="0.25">
      <c r="C128" s="1624"/>
      <c r="D128" s="1624"/>
      <c r="E128" s="1624"/>
      <c r="F128" s="1624"/>
      <c r="G128" s="1624"/>
      <c r="H128" s="1624"/>
      <c r="I128" s="1624"/>
      <c r="J128" s="1624"/>
      <c r="K128" s="1624"/>
      <c r="L128" s="1624"/>
      <c r="M128" s="1624"/>
      <c r="N128" s="1624"/>
      <c r="O128" s="1624"/>
      <c r="P128" s="1624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  <c r="P6" s="1625"/>
      <c r="Q6" s="1625"/>
    </row>
    <row r="7" spans="2:17" x14ac:dyDescent="0.25"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3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625" t="s">
        <v>691</v>
      </c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  <c r="P9" s="1625"/>
      <c r="Q9" s="1625"/>
    </row>
    <row r="10" spans="2:17" x14ac:dyDescent="0.25">
      <c r="C10" s="1638" t="s">
        <v>404</v>
      </c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  <c r="N10" s="1638"/>
      <c r="O10" s="1638"/>
      <c r="P10" s="1638"/>
      <c r="Q10" s="1638"/>
    </row>
    <row r="11" spans="2:17" ht="15.75" thickBot="1" x14ac:dyDescent="0.3">
      <c r="D11" t="s">
        <v>641</v>
      </c>
    </row>
    <row r="12" spans="2:17" ht="15.75" thickBot="1" x14ac:dyDescent="0.3">
      <c r="B12" s="1646" t="s">
        <v>6</v>
      </c>
      <c r="C12" s="1642" t="s">
        <v>7</v>
      </c>
      <c r="D12" s="1642" t="s">
        <v>8</v>
      </c>
      <c r="E12" s="1642" t="s">
        <v>9</v>
      </c>
      <c r="F12" s="1642" t="s">
        <v>10</v>
      </c>
      <c r="G12" s="1645" t="s">
        <v>11</v>
      </c>
      <c r="H12" s="1642" t="s">
        <v>11</v>
      </c>
      <c r="I12" s="51" t="s">
        <v>12</v>
      </c>
      <c r="J12" s="1644" t="s">
        <v>13</v>
      </c>
      <c r="K12" s="1642" t="s">
        <v>14</v>
      </c>
      <c r="L12" s="1642" t="s">
        <v>15</v>
      </c>
      <c r="M12" s="1642" t="s">
        <v>16</v>
      </c>
      <c r="N12" s="1642" t="s">
        <v>17</v>
      </c>
      <c r="O12" s="1642" t="s">
        <v>18</v>
      </c>
      <c r="P12" s="1642" t="s">
        <v>19</v>
      </c>
      <c r="Q12" s="1643" t="s">
        <v>20</v>
      </c>
    </row>
    <row r="13" spans="2:17" ht="15.75" thickBot="1" x14ac:dyDescent="0.3">
      <c r="B13" s="1646"/>
      <c r="C13" s="1642"/>
      <c r="D13" s="1642"/>
      <c r="E13" s="1642"/>
      <c r="F13" s="1642"/>
      <c r="G13" s="1645"/>
      <c r="H13" s="1642"/>
      <c r="I13" s="52" t="s">
        <v>21</v>
      </c>
      <c r="J13" s="1644"/>
      <c r="K13" s="1642"/>
      <c r="L13" s="1642"/>
      <c r="M13" s="1642"/>
      <c r="N13" s="1642"/>
      <c r="O13" s="1642"/>
      <c r="P13" s="1642"/>
      <c r="Q13" s="1643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673" t="s">
        <v>24</v>
      </c>
      <c r="F18" s="1673"/>
      <c r="G18" s="1673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673" t="s">
        <v>36</v>
      </c>
      <c r="F19" s="1673" t="s">
        <v>37</v>
      </c>
      <c r="G19" s="1673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673" t="s">
        <v>105</v>
      </c>
      <c r="F20" s="1673" t="s">
        <v>41</v>
      </c>
      <c r="G20" s="1673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673" t="s">
        <v>449</v>
      </c>
      <c r="F21" s="1673" t="s">
        <v>45</v>
      </c>
      <c r="G21" s="1673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673" t="s">
        <v>49</v>
      </c>
      <c r="F22" s="1673" t="s">
        <v>50</v>
      </c>
      <c r="G22" s="1673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673" t="s">
        <v>53</v>
      </c>
      <c r="F23" s="1673" t="s">
        <v>54</v>
      </c>
      <c r="G23" s="1673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673" t="s">
        <v>427</v>
      </c>
      <c r="F24" s="1673" t="s">
        <v>57</v>
      </c>
      <c r="G24" s="1673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673" t="s">
        <v>53</v>
      </c>
      <c r="F25" s="1673" t="s">
        <v>60</v>
      </c>
      <c r="G25" s="1673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673" t="s">
        <v>514</v>
      </c>
      <c r="F26" s="1673" t="s">
        <v>64</v>
      </c>
      <c r="G26" s="1673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673" t="s">
        <v>643</v>
      </c>
      <c r="F27" s="1673" t="s">
        <v>68</v>
      </c>
      <c r="G27" s="1673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673" t="s">
        <v>71</v>
      </c>
      <c r="F28" s="1673" t="s">
        <v>72</v>
      </c>
      <c r="G28" s="1673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673" t="s">
        <v>515</v>
      </c>
      <c r="F29" s="1673" t="s">
        <v>79</v>
      </c>
      <c r="G29" s="1673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673" t="s">
        <v>78</v>
      </c>
      <c r="F30" s="1673" t="s">
        <v>79</v>
      </c>
      <c r="G30" s="1673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673" t="s">
        <v>82</v>
      </c>
      <c r="F31" s="1673" t="s">
        <v>83</v>
      </c>
      <c r="G31" s="1673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673" t="s">
        <v>85</v>
      </c>
      <c r="F32" s="1673" t="s">
        <v>86</v>
      </c>
      <c r="G32" s="1673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673" t="s">
        <v>89</v>
      </c>
      <c r="F33" s="1673" t="s">
        <v>90</v>
      </c>
      <c r="G33" s="1673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673" t="s">
        <v>92</v>
      </c>
      <c r="F34" s="1673" t="s">
        <v>93</v>
      </c>
      <c r="G34" s="1673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673" t="s">
        <v>71</v>
      </c>
      <c r="F36" s="1673" t="s">
        <v>95</v>
      </c>
      <c r="G36" s="1673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673" t="s">
        <v>92</v>
      </c>
      <c r="F37" s="1673" t="s">
        <v>100</v>
      </c>
      <c r="G37" s="1673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673" t="s">
        <v>102</v>
      </c>
      <c r="F38" s="1673" t="s">
        <v>103</v>
      </c>
      <c r="G38" s="1673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673" t="s">
        <v>105</v>
      </c>
      <c r="F39" s="1673" t="s">
        <v>106</v>
      </c>
      <c r="G39" s="1673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673" t="s">
        <v>105</v>
      </c>
      <c r="F40" s="1673" t="s">
        <v>108</v>
      </c>
      <c r="G40" s="1673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673" t="s">
        <v>515</v>
      </c>
      <c r="F41" s="1673" t="s">
        <v>115</v>
      </c>
      <c r="G41" s="1673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673" t="s">
        <v>489</v>
      </c>
      <c r="F42" s="1673" t="s">
        <v>118</v>
      </c>
      <c r="G42" s="1673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673" t="s">
        <v>120</v>
      </c>
      <c r="F43" s="1673" t="s">
        <v>121</v>
      </c>
      <c r="G43" s="1673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673" t="s">
        <v>49</v>
      </c>
      <c r="F44" s="1673" t="s">
        <v>123</v>
      </c>
      <c r="G44" s="1673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673" t="s">
        <v>125</v>
      </c>
      <c r="F45" s="1673" t="s">
        <v>126</v>
      </c>
      <c r="G45" s="1673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673" t="s">
        <v>105</v>
      </c>
      <c r="F46" s="1673" t="s">
        <v>128</v>
      </c>
      <c r="G46" s="1673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673" t="s">
        <v>102</v>
      </c>
      <c r="F47" s="1673" t="s">
        <v>130</v>
      </c>
      <c r="G47" s="1673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673" t="s">
        <v>132</v>
      </c>
      <c r="F48" s="1673" t="s">
        <v>133</v>
      </c>
      <c r="G48" s="1673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673" t="s">
        <v>489</v>
      </c>
      <c r="F49" s="1673" t="s">
        <v>118</v>
      </c>
      <c r="G49" s="1673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673" t="s">
        <v>85</v>
      </c>
      <c r="F50" s="1673" t="s">
        <v>137</v>
      </c>
      <c r="G50" s="1673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673" t="s">
        <v>516</v>
      </c>
      <c r="F51" s="1673" t="s">
        <v>140</v>
      </c>
      <c r="G51" s="1673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673" t="s">
        <v>658</v>
      </c>
      <c r="F52" s="1673" t="s">
        <v>149</v>
      </c>
      <c r="G52" s="1673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673" t="s">
        <v>151</v>
      </c>
      <c r="F53" s="1673" t="s">
        <v>152</v>
      </c>
      <c r="G53" s="1673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673" t="s">
        <v>157</v>
      </c>
      <c r="F54" s="1673" t="s">
        <v>158</v>
      </c>
      <c r="G54" s="1673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673" t="s">
        <v>160</v>
      </c>
      <c r="F55" s="1673" t="s">
        <v>161</v>
      </c>
      <c r="G55" s="1673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673" t="s">
        <v>163</v>
      </c>
      <c r="F57" s="1673" t="s">
        <v>164</v>
      </c>
      <c r="G57" s="1673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673" t="s">
        <v>695</v>
      </c>
      <c r="F60" s="1673" t="s">
        <v>170</v>
      </c>
      <c r="G60" s="1673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673" t="s">
        <v>40</v>
      </c>
      <c r="F64" s="1673" t="s">
        <v>172</v>
      </c>
      <c r="G64" s="1673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673" t="s">
        <v>518</v>
      </c>
      <c r="F68" s="1673"/>
      <c r="G68" s="1673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673" t="s">
        <v>178</v>
      </c>
      <c r="F73" s="1673" t="s">
        <v>179</v>
      </c>
      <c r="G73" s="1673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673" t="s">
        <v>92</v>
      </c>
      <c r="F74" s="1673" t="s">
        <v>193</v>
      </c>
      <c r="G74" s="1673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673" t="s">
        <v>44</v>
      </c>
      <c r="F89" s="1673" t="s">
        <v>45</v>
      </c>
      <c r="G89" s="1673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674" t="s">
        <v>288</v>
      </c>
      <c r="D110" s="1674"/>
      <c r="E110" s="1674"/>
      <c r="F110" s="1674"/>
      <c r="G110" s="1674"/>
      <c r="H110" s="1674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625" t="s">
        <v>195</v>
      </c>
      <c r="D116" s="1625"/>
      <c r="E116" s="1625" t="s">
        <v>616</v>
      </c>
      <c r="F116" s="1625"/>
      <c r="G116" s="1625"/>
      <c r="H116" s="1625"/>
      <c r="I116" s="1625"/>
      <c r="J116" s="25"/>
      <c r="K116" s="25"/>
      <c r="L116" s="1625" t="s">
        <v>196</v>
      </c>
      <c r="M116" s="1625"/>
      <c r="N116" s="1625"/>
      <c r="O116" s="1625"/>
      <c r="P116" s="162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24" t="s">
        <v>678</v>
      </c>
      <c r="D118" s="1624"/>
      <c r="E118" s="1624" t="s">
        <v>677</v>
      </c>
      <c r="F118" s="1624"/>
      <c r="G118" s="1624"/>
      <c r="H118" s="1624"/>
      <c r="I118" s="1624"/>
      <c r="J118" s="25"/>
      <c r="K118" s="25"/>
      <c r="L118" s="1624" t="s">
        <v>678</v>
      </c>
      <c r="M118" s="1624"/>
      <c r="N118" s="1624"/>
      <c r="O118" s="1624"/>
      <c r="P118" s="1624"/>
    </row>
    <row r="119" spans="3:16" x14ac:dyDescent="0.25">
      <c r="C119" s="1625" t="s">
        <v>709</v>
      </c>
      <c r="D119" s="1625"/>
      <c r="E119" s="1656" t="s">
        <v>688</v>
      </c>
      <c r="F119" s="1656"/>
      <c r="G119" s="1656"/>
      <c r="H119" s="1656"/>
      <c r="I119" s="1656"/>
      <c r="J119" s="125"/>
      <c r="K119" s="125"/>
      <c r="L119" s="1625" t="s">
        <v>523</v>
      </c>
      <c r="M119" s="1625"/>
      <c r="N119" s="1625"/>
      <c r="O119" s="1625"/>
      <c r="P119" s="1625"/>
    </row>
    <row r="120" spans="3:16" x14ac:dyDescent="0.25">
      <c r="C120" s="1624" t="s">
        <v>707</v>
      </c>
      <c r="D120" s="1624"/>
      <c r="E120" s="1624" t="s">
        <v>618</v>
      </c>
      <c r="F120" s="1624"/>
      <c r="G120" s="1624"/>
      <c r="H120" s="1624"/>
      <c r="I120" s="1624"/>
      <c r="J120" s="25"/>
      <c r="K120" s="25"/>
      <c r="L120" s="1624" t="s">
        <v>493</v>
      </c>
      <c r="M120" s="1624"/>
      <c r="N120" s="1624"/>
      <c r="O120" s="1624"/>
      <c r="P120" s="1624"/>
    </row>
    <row r="123" spans="3:16" x14ac:dyDescent="0.25">
      <c r="C123" s="1625"/>
      <c r="D123" s="1625"/>
      <c r="E123" s="1625"/>
      <c r="F123" s="1625"/>
      <c r="G123" s="1625"/>
      <c r="H123" s="1625"/>
      <c r="I123" s="1625"/>
      <c r="J123" s="1625"/>
      <c r="K123" s="1625"/>
      <c r="L123" s="1625"/>
      <c r="M123" s="1625"/>
      <c r="N123" s="1625"/>
      <c r="O123" s="1625"/>
      <c r="P123" s="1625"/>
    </row>
    <row r="126" spans="3:16" x14ac:dyDescent="0.25">
      <c r="C126" s="1624"/>
      <c r="D126" s="1624"/>
      <c r="E126" s="1624"/>
      <c r="F126" s="1624"/>
      <c r="G126" s="1624"/>
      <c r="H126" s="1624"/>
      <c r="I126" s="1624"/>
      <c r="J126" s="1624"/>
      <c r="K126" s="1624"/>
      <c r="L126" s="1624"/>
      <c r="M126" s="1624"/>
      <c r="N126" s="1624"/>
      <c r="O126" s="1624"/>
      <c r="P126" s="1624"/>
    </row>
    <row r="127" spans="3:16" x14ac:dyDescent="0.25">
      <c r="C127" s="1625"/>
      <c r="D127" s="1625"/>
      <c r="E127" s="1625"/>
      <c r="F127" s="1625"/>
      <c r="G127" s="1625"/>
      <c r="H127" s="1625"/>
      <c r="I127" s="1625"/>
      <c r="J127" s="1625"/>
      <c r="K127" s="1625"/>
      <c r="L127" s="1625"/>
      <c r="M127" s="1625"/>
      <c r="N127" s="1625"/>
      <c r="O127" s="1625"/>
      <c r="P127" s="1625"/>
    </row>
    <row r="128" spans="3:16" x14ac:dyDescent="0.25">
      <c r="C128" s="1624"/>
      <c r="D128" s="1624"/>
      <c r="E128" s="1624"/>
      <c r="F128" s="1624"/>
      <c r="G128" s="1624"/>
      <c r="H128" s="1624"/>
      <c r="I128" s="1624"/>
      <c r="J128" s="1624"/>
      <c r="K128" s="1624"/>
      <c r="L128" s="1624"/>
      <c r="M128" s="1624"/>
      <c r="N128" s="1624"/>
      <c r="O128" s="1624"/>
      <c r="P128" s="1624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700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406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676" t="s">
        <v>6</v>
      </c>
      <c r="C14" s="1676" t="s">
        <v>7</v>
      </c>
      <c r="D14" s="1676" t="s">
        <v>8</v>
      </c>
      <c r="E14" s="1676" t="s">
        <v>10</v>
      </c>
      <c r="F14" s="1676" t="s">
        <v>11</v>
      </c>
      <c r="G14" s="1676" t="s">
        <v>208</v>
      </c>
      <c r="H14" s="1676" t="s">
        <v>209</v>
      </c>
      <c r="I14" s="165" t="s">
        <v>12</v>
      </c>
      <c r="J14" s="1676" t="s">
        <v>13</v>
      </c>
      <c r="K14" s="1676" t="s">
        <v>14</v>
      </c>
      <c r="L14" s="1676" t="s">
        <v>15</v>
      </c>
      <c r="M14" s="1676" t="s">
        <v>16</v>
      </c>
      <c r="N14" s="1676" t="s">
        <v>17</v>
      </c>
      <c r="O14" s="1676" t="s">
        <v>18</v>
      </c>
      <c r="P14" s="1676" t="s">
        <v>19</v>
      </c>
      <c r="Q14" s="1676" t="s">
        <v>20</v>
      </c>
    </row>
    <row r="15" spans="2:17" s="153" customFormat="1" x14ac:dyDescent="0.25">
      <c r="B15" s="1676"/>
      <c r="C15" s="1676"/>
      <c r="D15" s="1676"/>
      <c r="E15" s="1676"/>
      <c r="F15" s="1676"/>
      <c r="G15" s="1676"/>
      <c r="H15" s="1676"/>
      <c r="I15" s="165" t="s">
        <v>21</v>
      </c>
      <c r="J15" s="1676"/>
      <c r="K15" s="1676"/>
      <c r="L15" s="1676"/>
      <c r="M15" s="1676"/>
      <c r="N15" s="1676"/>
      <c r="O15" s="1676"/>
      <c r="P15" s="1676"/>
      <c r="Q15" s="1676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677" t="s">
        <v>194</v>
      </c>
      <c r="D34" s="1678"/>
      <c r="E34" s="1678"/>
      <c r="F34" s="1678"/>
      <c r="G34" s="1678"/>
      <c r="H34" s="1678"/>
      <c r="I34" s="1675" t="s">
        <v>704</v>
      </c>
      <c r="J34" s="1679">
        <f>SUM(J17:J33)</f>
        <v>0</v>
      </c>
      <c r="K34" s="1675" t="s">
        <v>704</v>
      </c>
      <c r="L34" s="1675">
        <v>32574.5</v>
      </c>
      <c r="M34" s="1675">
        <v>41809.870000000003</v>
      </c>
      <c r="N34" s="1675">
        <v>34504</v>
      </c>
      <c r="O34" s="1675">
        <v>1670</v>
      </c>
      <c r="P34" s="1675">
        <v>148565.22</v>
      </c>
      <c r="Q34" s="1675">
        <v>986434.78</v>
      </c>
    </row>
    <row r="35" spans="2:17" s="153" customFormat="1" x14ac:dyDescent="0.25">
      <c r="C35" s="1677"/>
      <c r="D35" s="1678"/>
      <c r="E35" s="1678"/>
      <c r="F35" s="1678"/>
      <c r="G35" s="1678"/>
      <c r="H35" s="1678"/>
      <c r="I35" s="1675"/>
      <c r="J35" s="1679"/>
      <c r="K35" s="1675"/>
      <c r="L35" s="1675"/>
      <c r="M35" s="1675"/>
      <c r="N35" s="1675"/>
      <c r="O35" s="1675"/>
      <c r="P35" s="1675"/>
      <c r="Q35" s="1675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625" t="s">
        <v>195</v>
      </c>
      <c r="D41" s="1625"/>
      <c r="E41" s="1625" t="s">
        <v>708</v>
      </c>
      <c r="F41" s="1625"/>
      <c r="G41" s="1625"/>
      <c r="H41" s="1625"/>
      <c r="I41" s="1625"/>
      <c r="L41" s="1625" t="s">
        <v>196</v>
      </c>
      <c r="M41" s="1625"/>
      <c r="N41" s="1625"/>
      <c r="O41" s="1625"/>
      <c r="P41" s="1625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624" t="s">
        <v>679</v>
      </c>
      <c r="D43" s="1624"/>
      <c r="E43" s="1624" t="s">
        <v>682</v>
      </c>
      <c r="F43" s="1624"/>
      <c r="G43" s="1624"/>
      <c r="H43" s="1624"/>
      <c r="I43" s="1624"/>
      <c r="L43" s="1624" t="s">
        <v>683</v>
      </c>
      <c r="M43" s="1624"/>
      <c r="N43" s="1624"/>
      <c r="O43" s="1624"/>
      <c r="P43" s="1624"/>
    </row>
    <row r="44" spans="2:17" x14ac:dyDescent="0.25">
      <c r="C44" s="1625" t="s">
        <v>709</v>
      </c>
      <c r="D44" s="1625"/>
      <c r="E44" s="1656" t="s">
        <v>686</v>
      </c>
      <c r="F44" s="1656"/>
      <c r="G44" s="1656"/>
      <c r="H44" s="1656"/>
      <c r="I44" s="1656"/>
      <c r="L44" s="1625" t="s">
        <v>523</v>
      </c>
      <c r="M44" s="1625"/>
      <c r="N44" s="1625"/>
      <c r="O44" s="1625"/>
      <c r="P44" s="1625"/>
    </row>
    <row r="45" spans="2:17" x14ac:dyDescent="0.25">
      <c r="C45" s="1624" t="s">
        <v>707</v>
      </c>
      <c r="D45" s="1624"/>
      <c r="E45" s="1624" t="s">
        <v>681</v>
      </c>
      <c r="F45" s="1624"/>
      <c r="G45" s="1624"/>
      <c r="H45" s="1624"/>
      <c r="I45" s="1624"/>
      <c r="L45" s="1624" t="s">
        <v>493</v>
      </c>
      <c r="M45" s="1624"/>
      <c r="N45" s="1624"/>
      <c r="O45" s="1624"/>
      <c r="P45" s="1624"/>
    </row>
    <row r="48" spans="2:17" x14ac:dyDescent="0.25">
      <c r="C48" s="1625"/>
      <c r="D48" s="1625"/>
      <c r="E48" s="1625"/>
      <c r="F48" s="1625"/>
      <c r="G48" s="1625"/>
      <c r="H48" s="1625"/>
      <c r="I48" s="1625"/>
      <c r="J48" s="1625"/>
      <c r="K48" s="1625"/>
      <c r="L48" s="1625"/>
      <c r="M48" s="1625"/>
      <c r="N48" s="1625"/>
      <c r="O48" s="1625"/>
      <c r="P48" s="1625"/>
    </row>
    <row r="51" spans="3:16" x14ac:dyDescent="0.25">
      <c r="C51" s="1624"/>
      <c r="D51" s="1624"/>
      <c r="E51" s="1624"/>
      <c r="F51" s="1624"/>
      <c r="G51" s="1624"/>
      <c r="H51" s="1624"/>
      <c r="I51" s="1624"/>
      <c r="J51" s="1624"/>
      <c r="K51" s="1624"/>
      <c r="L51" s="1624"/>
      <c r="M51" s="1624"/>
      <c r="N51" s="1624"/>
      <c r="O51" s="1624"/>
      <c r="P51" s="1624"/>
    </row>
    <row r="52" spans="3:16" x14ac:dyDescent="0.25">
      <c r="C52" s="1625"/>
      <c r="D52" s="1625"/>
      <c r="E52" s="1625"/>
      <c r="F52" s="1625"/>
      <c r="G52" s="1625"/>
      <c r="H52" s="1625"/>
      <c r="I52" s="1625"/>
      <c r="J52" s="1625"/>
      <c r="K52" s="1625"/>
      <c r="L52" s="1625"/>
      <c r="M52" s="1625"/>
      <c r="N52" s="1625"/>
      <c r="O52" s="1625"/>
      <c r="P52" s="1625"/>
    </row>
    <row r="53" spans="3:16" x14ac:dyDescent="0.25">
      <c r="C53" s="1624"/>
      <c r="D53" s="1624"/>
      <c r="E53" s="1624"/>
      <c r="F53" s="1624"/>
      <c r="G53" s="1624"/>
      <c r="H53" s="1624"/>
      <c r="I53" s="1624"/>
      <c r="J53" s="1624"/>
      <c r="K53" s="1624"/>
      <c r="L53" s="1624"/>
      <c r="M53" s="1624"/>
      <c r="N53" s="1624"/>
      <c r="O53" s="1624"/>
      <c r="P53" s="1624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6" t="s">
        <v>3</v>
      </c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</row>
    <row r="11" spans="1:14" x14ac:dyDescent="0.25">
      <c r="B11" s="1656" t="s">
        <v>705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7" t="s">
        <v>5</v>
      </c>
      <c r="C12" s="1657"/>
      <c r="D12" s="1657"/>
      <c r="E12" s="1657"/>
      <c r="F12" s="1657"/>
      <c r="G12" s="1657"/>
      <c r="H12" s="1657"/>
      <c r="I12" s="1657"/>
      <c r="J12" s="1657"/>
      <c r="K12" s="1657"/>
      <c r="L12" s="1657"/>
      <c r="M12" s="1657"/>
      <c r="N12" s="165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7" t="s">
        <v>6</v>
      </c>
      <c r="B14" s="1667" t="s">
        <v>7</v>
      </c>
      <c r="C14" s="1667" t="s">
        <v>8</v>
      </c>
      <c r="D14" s="1667" t="s">
        <v>10</v>
      </c>
      <c r="E14" s="1667" t="s">
        <v>11</v>
      </c>
      <c r="F14" s="132" t="s">
        <v>12</v>
      </c>
      <c r="G14" s="1667" t="s">
        <v>13</v>
      </c>
      <c r="H14" s="1667" t="s">
        <v>14</v>
      </c>
      <c r="I14" s="1667" t="s">
        <v>15</v>
      </c>
      <c r="J14" s="1667" t="s">
        <v>16</v>
      </c>
      <c r="K14" s="1667" t="s">
        <v>17</v>
      </c>
      <c r="L14" s="1667" t="s">
        <v>18</v>
      </c>
      <c r="M14" s="1667" t="s">
        <v>19</v>
      </c>
      <c r="N14" s="1667" t="s">
        <v>20</v>
      </c>
    </row>
    <row r="15" spans="1:14" x14ac:dyDescent="0.25">
      <c r="A15" s="1667"/>
      <c r="B15" s="1667"/>
      <c r="C15" s="1667"/>
      <c r="D15" s="1667"/>
      <c r="E15" s="1667"/>
      <c r="F15" s="133" t="s">
        <v>21</v>
      </c>
      <c r="G15" s="1667"/>
      <c r="H15" s="1667"/>
      <c r="I15" s="1667"/>
      <c r="J15" s="1667"/>
      <c r="K15" s="1667"/>
      <c r="L15" s="1667"/>
      <c r="M15" s="1667"/>
      <c r="N15" s="166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669" t="s">
        <v>194</v>
      </c>
      <c r="C30" s="1669"/>
      <c r="D30" s="1669"/>
      <c r="E30" s="1669"/>
      <c r="F30" s="1670">
        <v>191000</v>
      </c>
      <c r="G30" s="1672">
        <v>0</v>
      </c>
      <c r="H30" s="1670">
        <v>191000</v>
      </c>
      <c r="I30" s="1672">
        <v>0</v>
      </c>
      <c r="J30" s="1671">
        <v>1594.5</v>
      </c>
      <c r="K30" s="1672">
        <v>0</v>
      </c>
      <c r="L30" s="1672">
        <v>0</v>
      </c>
      <c r="M30" s="1671">
        <v>1594.5</v>
      </c>
      <c r="N30" s="1670">
        <v>189405.5</v>
      </c>
    </row>
    <row r="31" spans="1:14" x14ac:dyDescent="0.25">
      <c r="A31" s="151"/>
      <c r="B31" s="1669"/>
      <c r="C31" s="1669"/>
      <c r="D31" s="1669"/>
      <c r="E31" s="1669"/>
      <c r="F31" s="1670"/>
      <c r="G31" s="1672"/>
      <c r="H31" s="1670"/>
      <c r="I31" s="1672"/>
      <c r="J31" s="1671"/>
      <c r="K31" s="1672"/>
      <c r="L31" s="1672"/>
      <c r="M31" s="1671"/>
      <c r="N31" s="1670"/>
    </row>
    <row r="35" spans="1:14" x14ac:dyDescent="0.25">
      <c r="A35" s="125" t="s">
        <v>257</v>
      </c>
      <c r="B35" s="1625" t="s">
        <v>195</v>
      </c>
      <c r="C35" s="1625"/>
      <c r="D35" s="24"/>
      <c r="E35" s="1625" t="s">
        <v>680</v>
      </c>
      <c r="F35" s="1625"/>
      <c r="G35" s="1625"/>
      <c r="J35" s="1625" t="s">
        <v>196</v>
      </c>
      <c r="K35" s="1625"/>
      <c r="L35" s="1625"/>
      <c r="M35" s="1625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624" t="s">
        <v>197</v>
      </c>
      <c r="C38" s="1624"/>
      <c r="D38" s="25"/>
      <c r="E38" s="1624" t="s">
        <v>684</v>
      </c>
      <c r="F38" s="1624"/>
      <c r="G38" s="1624"/>
      <c r="J38" s="1624" t="s">
        <v>683</v>
      </c>
      <c r="K38" s="1624"/>
      <c r="L38" s="1624"/>
      <c r="M38" s="1624"/>
      <c r="N38" s="25"/>
    </row>
    <row r="39" spans="1:14" x14ac:dyDescent="0.25">
      <c r="A39" s="96"/>
      <c r="B39" s="1625" t="s">
        <v>709</v>
      </c>
      <c r="C39" s="1625"/>
      <c r="D39" s="24"/>
      <c r="E39" s="1656" t="s">
        <v>687</v>
      </c>
      <c r="F39" s="1656"/>
      <c r="G39" s="1656"/>
      <c r="J39" s="1625" t="s">
        <v>537</v>
      </c>
      <c r="K39" s="1625"/>
      <c r="L39" s="1625"/>
      <c r="M39" s="1625"/>
      <c r="N39" s="24"/>
    </row>
    <row r="40" spans="1:14" x14ac:dyDescent="0.25">
      <c r="A40" s="99"/>
      <c r="B40" s="1624" t="s">
        <v>707</v>
      </c>
      <c r="C40" s="1624"/>
      <c r="D40" s="25"/>
      <c r="E40" s="1624" t="s">
        <v>685</v>
      </c>
      <c r="F40" s="1624"/>
      <c r="G40" s="1624"/>
      <c r="J40" s="1624" t="s">
        <v>493</v>
      </c>
      <c r="K40" s="1624"/>
      <c r="L40" s="1624"/>
      <c r="M40" s="1624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24"/>
      <c r="B44" s="1624"/>
      <c r="C44" s="1624"/>
      <c r="D44" s="1624"/>
      <c r="E44" s="1624"/>
      <c r="F44" s="1624"/>
      <c r="G44" s="1624"/>
      <c r="H44" s="1624"/>
      <c r="I44" s="1624"/>
      <c r="J44" s="1624"/>
      <c r="K44" s="1624"/>
      <c r="L44" s="1624"/>
      <c r="M44" s="1624"/>
      <c r="N44" s="1624"/>
    </row>
    <row r="45" spans="1:14" x14ac:dyDescent="0.25">
      <c r="A45" s="1625"/>
      <c r="B45" s="1625"/>
      <c r="C45" s="1625"/>
      <c r="D45" s="1625"/>
      <c r="E45" s="1625"/>
      <c r="F45" s="1625"/>
      <c r="G45" s="1625"/>
      <c r="H45" s="1625"/>
      <c r="I45" s="1625"/>
      <c r="J45" s="1625"/>
      <c r="K45" s="1625"/>
      <c r="L45" s="1625"/>
      <c r="M45" s="1625"/>
      <c r="N45" s="1625"/>
    </row>
    <row r="46" spans="1:14" x14ac:dyDescent="0.25">
      <c r="A46" s="1624"/>
      <c r="B46" s="1624"/>
      <c r="C46" s="1624"/>
      <c r="D46" s="1624"/>
      <c r="E46" s="1624"/>
      <c r="F46" s="1624"/>
      <c r="G46" s="1624"/>
      <c r="H46" s="1624"/>
      <c r="I46" s="1624"/>
      <c r="J46" s="1624"/>
      <c r="K46" s="1624"/>
      <c r="L46" s="1624"/>
      <c r="M46" s="1624"/>
      <c r="N46" s="1624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</row>
    <row r="7" spans="2:15" x14ac:dyDescent="0.25"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C8" s="1625" t="s">
        <v>3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C9" s="1625" t="s">
        <v>710</v>
      </c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C10" s="1638" t="s">
        <v>404</v>
      </c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  <c r="N10" s="1638"/>
      <c r="O10" s="1638"/>
    </row>
    <row r="11" spans="2:15" ht="15.75" thickBot="1" x14ac:dyDescent="0.3">
      <c r="D11" t="s">
        <v>641</v>
      </c>
    </row>
    <row r="12" spans="2:15" ht="15.75" thickBot="1" x14ac:dyDescent="0.3">
      <c r="B12" s="1646" t="s">
        <v>6</v>
      </c>
      <c r="C12" s="1642" t="s">
        <v>7</v>
      </c>
      <c r="D12" s="1642" t="s">
        <v>8</v>
      </c>
      <c r="E12" s="1642" t="s">
        <v>9</v>
      </c>
      <c r="F12" s="1642" t="s">
        <v>11</v>
      </c>
      <c r="G12" s="51" t="s">
        <v>12</v>
      </c>
      <c r="H12" s="1644" t="s">
        <v>13</v>
      </c>
      <c r="I12" s="1642" t="s">
        <v>14</v>
      </c>
      <c r="J12" s="1642" t="s">
        <v>15</v>
      </c>
      <c r="K12" s="1642" t="s">
        <v>16</v>
      </c>
      <c r="L12" s="1642" t="s">
        <v>17</v>
      </c>
      <c r="M12" s="1642" t="s">
        <v>18</v>
      </c>
      <c r="N12" s="1645" t="s">
        <v>19</v>
      </c>
      <c r="O12" s="1683" t="s">
        <v>20</v>
      </c>
    </row>
    <row r="13" spans="2:15" ht="15.75" thickBot="1" x14ac:dyDescent="0.3">
      <c r="B13" s="1646"/>
      <c r="C13" s="1642"/>
      <c r="D13" s="1642"/>
      <c r="E13" s="1642"/>
      <c r="F13" s="1642"/>
      <c r="G13" s="52" t="s">
        <v>21</v>
      </c>
      <c r="H13" s="1644"/>
      <c r="I13" s="1642"/>
      <c r="J13" s="1642"/>
      <c r="K13" s="1642"/>
      <c r="L13" s="1642"/>
      <c r="M13" s="1642"/>
      <c r="N13" s="1645"/>
      <c r="O13" s="168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680" t="s">
        <v>288</v>
      </c>
      <c r="D101" s="1681"/>
      <c r="E101" s="1681"/>
      <c r="F101" s="1682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625" t="s">
        <v>195</v>
      </c>
      <c r="C105" s="1625"/>
      <c r="E105" s="1625" t="s">
        <v>616</v>
      </c>
      <c r="F105" s="1625"/>
      <c r="G105" s="5"/>
      <c r="H105" s="25"/>
      <c r="I105" s="25"/>
      <c r="J105" s="1625" t="s">
        <v>196</v>
      </c>
      <c r="K105" s="1625"/>
      <c r="L105" s="1625"/>
      <c r="M105" s="1625"/>
      <c r="N105" s="1625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624" t="s">
        <v>678</v>
      </c>
      <c r="C107" s="1624"/>
      <c r="E107" s="1624" t="s">
        <v>677</v>
      </c>
      <c r="F107" s="1624"/>
      <c r="H107" s="25"/>
      <c r="I107" s="25"/>
      <c r="J107" s="1624" t="s">
        <v>678</v>
      </c>
      <c r="K107" s="1624"/>
      <c r="L107" s="1624"/>
      <c r="M107" s="1624"/>
      <c r="N107" s="1624"/>
    </row>
    <row r="108" spans="2:15" x14ac:dyDescent="0.25">
      <c r="B108" s="1625" t="s">
        <v>709</v>
      </c>
      <c r="C108" s="1625"/>
      <c r="E108" s="1625" t="s">
        <v>688</v>
      </c>
      <c r="F108" s="1625"/>
      <c r="G108" s="126"/>
      <c r="H108" s="125"/>
      <c r="I108" s="125"/>
      <c r="J108" s="1625" t="s">
        <v>523</v>
      </c>
      <c r="K108" s="1625"/>
      <c r="L108" s="1625"/>
      <c r="M108" s="1625"/>
      <c r="N108" s="1625"/>
    </row>
    <row r="109" spans="2:15" x14ac:dyDescent="0.25">
      <c r="B109" s="1624" t="s">
        <v>707</v>
      </c>
      <c r="C109" s="1624"/>
      <c r="E109" s="1624" t="s">
        <v>618</v>
      </c>
      <c r="F109" s="1624"/>
      <c r="H109" s="25"/>
      <c r="I109" s="25"/>
      <c r="J109" s="1624" t="s">
        <v>493</v>
      </c>
      <c r="K109" s="1624"/>
      <c r="L109" s="1624"/>
      <c r="M109" s="1624"/>
      <c r="N109" s="1624"/>
    </row>
    <row r="112" spans="2:15" x14ac:dyDescent="0.25">
      <c r="C112" s="1625"/>
      <c r="D112" s="1625"/>
      <c r="E112" s="1625"/>
      <c r="F112" s="1625"/>
      <c r="G112" s="1625"/>
      <c r="H112" s="1625"/>
      <c r="I112" s="1625"/>
      <c r="J112" s="1625"/>
      <c r="K112" s="1625"/>
      <c r="L112" s="1625"/>
      <c r="M112" s="1625"/>
      <c r="N112" s="1625"/>
    </row>
    <row r="115" spans="3:14" x14ac:dyDescent="0.25">
      <c r="C115" s="1624"/>
      <c r="D115" s="1624"/>
      <c r="E115" s="1624"/>
      <c r="F115" s="1624"/>
      <c r="G115" s="1624"/>
      <c r="H115" s="1624"/>
      <c r="I115" s="1624"/>
      <c r="J115" s="1624"/>
      <c r="K115" s="1624"/>
      <c r="L115" s="1624"/>
      <c r="M115" s="1624"/>
      <c r="N115" s="1624"/>
    </row>
    <row r="116" spans="3:14" x14ac:dyDescent="0.25">
      <c r="C116" s="1625"/>
      <c r="D116" s="1625"/>
      <c r="E116" s="1625"/>
      <c r="F116" s="1625"/>
      <c r="G116" s="1625"/>
      <c r="H116" s="1625"/>
      <c r="I116" s="1625"/>
      <c r="J116" s="1625"/>
      <c r="K116" s="1625"/>
      <c r="L116" s="1625"/>
      <c r="M116" s="1625"/>
      <c r="N116" s="1625"/>
    </row>
    <row r="117" spans="3:14" x14ac:dyDescent="0.25">
      <c r="C117" s="1624"/>
      <c r="D117" s="1624"/>
      <c r="E117" s="1624"/>
      <c r="F117" s="1624"/>
      <c r="G117" s="1624"/>
      <c r="H117" s="1624"/>
      <c r="I117" s="1624"/>
      <c r="J117" s="1624"/>
      <c r="K117" s="1624"/>
      <c r="L117" s="1624"/>
      <c r="M117" s="1624"/>
      <c r="N117" s="1624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6" t="s">
        <v>3</v>
      </c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</row>
    <row r="11" spans="1:14" x14ac:dyDescent="0.25">
      <c r="B11" s="1656" t="s">
        <v>714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7" t="s">
        <v>5</v>
      </c>
      <c r="C12" s="1657"/>
      <c r="D12" s="1657"/>
      <c r="E12" s="1657"/>
      <c r="F12" s="1657"/>
      <c r="G12" s="1657"/>
      <c r="H12" s="1657"/>
      <c r="I12" s="1657"/>
      <c r="J12" s="1657"/>
      <c r="K12" s="1657"/>
      <c r="L12" s="1657"/>
      <c r="M12" s="1657"/>
      <c r="N12" s="165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7" t="s">
        <v>6</v>
      </c>
      <c r="B14" s="1667" t="s">
        <v>7</v>
      </c>
      <c r="C14" s="1667" t="s">
        <v>8</v>
      </c>
      <c r="D14" s="1667" t="s">
        <v>10</v>
      </c>
      <c r="E14" s="1667" t="s">
        <v>11</v>
      </c>
      <c r="F14" s="132" t="s">
        <v>12</v>
      </c>
      <c r="G14" s="1667" t="s">
        <v>13</v>
      </c>
      <c r="H14" s="1667" t="s">
        <v>14</v>
      </c>
      <c r="I14" s="1667" t="s">
        <v>15</v>
      </c>
      <c r="J14" s="1667" t="s">
        <v>16</v>
      </c>
      <c r="K14" s="1667" t="s">
        <v>17</v>
      </c>
      <c r="L14" s="1667" t="s">
        <v>18</v>
      </c>
      <c r="M14" s="1667" t="s">
        <v>19</v>
      </c>
      <c r="N14" s="1667" t="s">
        <v>20</v>
      </c>
    </row>
    <row r="15" spans="1:14" x14ac:dyDescent="0.25">
      <c r="A15" s="1667"/>
      <c r="B15" s="1667"/>
      <c r="C15" s="1667"/>
      <c r="D15" s="1667"/>
      <c r="E15" s="1667"/>
      <c r="F15" s="133" t="s">
        <v>21</v>
      </c>
      <c r="G15" s="1667"/>
      <c r="H15" s="1667"/>
      <c r="I15" s="1667"/>
      <c r="J15" s="1667"/>
      <c r="K15" s="1667"/>
      <c r="L15" s="1667"/>
      <c r="M15" s="1667"/>
      <c r="N15" s="166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85" t="s">
        <v>194</v>
      </c>
      <c r="B29" s="1686"/>
      <c r="C29" s="1686"/>
      <c r="D29" s="1686"/>
      <c r="E29" s="168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625" t="s">
        <v>195</v>
      </c>
      <c r="C32" s="1625"/>
      <c r="D32" s="24"/>
      <c r="E32" s="1625" t="s">
        <v>680</v>
      </c>
      <c r="F32" s="1625"/>
      <c r="G32" s="1625"/>
      <c r="J32" s="1625" t="s">
        <v>196</v>
      </c>
      <c r="K32" s="1625"/>
      <c r="L32" s="1625"/>
      <c r="M32" s="1625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624" t="s">
        <v>197</v>
      </c>
      <c r="C35" s="1624"/>
      <c r="D35" s="25"/>
      <c r="E35" s="1624" t="s">
        <v>684</v>
      </c>
      <c r="F35" s="1624"/>
      <c r="G35" s="1624"/>
      <c r="J35" s="1624" t="s">
        <v>683</v>
      </c>
      <c r="K35" s="1624"/>
      <c r="L35" s="1624"/>
      <c r="M35" s="1624"/>
      <c r="N35" s="25"/>
    </row>
    <row r="36" spans="1:14" x14ac:dyDescent="0.25">
      <c r="A36" s="96"/>
      <c r="B36" s="1625" t="s">
        <v>709</v>
      </c>
      <c r="C36" s="1625"/>
      <c r="D36" s="24"/>
      <c r="E36" s="1625" t="s">
        <v>687</v>
      </c>
      <c r="F36" s="1625"/>
      <c r="G36" s="1625"/>
      <c r="J36" s="1625" t="s">
        <v>537</v>
      </c>
      <c r="K36" s="1625"/>
      <c r="L36" s="1625"/>
      <c r="M36" s="1625"/>
      <c r="N36" s="24"/>
    </row>
    <row r="37" spans="1:14" x14ac:dyDescent="0.25">
      <c r="A37" s="99"/>
      <c r="B37" s="1624" t="s">
        <v>707</v>
      </c>
      <c r="C37" s="1624"/>
      <c r="D37" s="25"/>
      <c r="E37" s="1624" t="s">
        <v>685</v>
      </c>
      <c r="F37" s="1624"/>
      <c r="G37" s="1624"/>
      <c r="J37" s="1624" t="s">
        <v>493</v>
      </c>
      <c r="K37" s="1624"/>
      <c r="L37" s="1624"/>
      <c r="M37" s="1624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4"/>
      <c r="B41" s="1624"/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</row>
    <row r="42" spans="1:14" x14ac:dyDescent="0.25">
      <c r="A42" s="1625"/>
      <c r="B42" s="1625"/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717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406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76" t="s">
        <v>6</v>
      </c>
      <c r="C14" s="1676" t="s">
        <v>7</v>
      </c>
      <c r="D14" s="1676" t="s">
        <v>8</v>
      </c>
      <c r="E14" s="1676" t="s">
        <v>10</v>
      </c>
      <c r="F14" s="1676" t="s">
        <v>11</v>
      </c>
      <c r="G14" s="1676" t="s">
        <v>208</v>
      </c>
      <c r="H14" s="1688" t="s">
        <v>209</v>
      </c>
      <c r="I14" s="165" t="s">
        <v>12</v>
      </c>
      <c r="J14" s="1676" t="s">
        <v>13</v>
      </c>
      <c r="K14" s="1676" t="s">
        <v>14</v>
      </c>
      <c r="L14" s="1676" t="s">
        <v>15</v>
      </c>
      <c r="M14" s="1676" t="s">
        <v>16</v>
      </c>
      <c r="N14" s="1676" t="s">
        <v>17</v>
      </c>
      <c r="O14" s="1676" t="s">
        <v>18</v>
      </c>
      <c r="P14" s="1676" t="s">
        <v>19</v>
      </c>
      <c r="Q14" s="1676" t="s">
        <v>20</v>
      </c>
    </row>
    <row r="15" spans="2:17" x14ac:dyDescent="0.25">
      <c r="B15" s="1676"/>
      <c r="C15" s="1676"/>
      <c r="D15" s="1676"/>
      <c r="E15" s="1676"/>
      <c r="F15" s="1676"/>
      <c r="G15" s="1676"/>
      <c r="H15" s="1688"/>
      <c r="I15" s="165" t="s">
        <v>21</v>
      </c>
      <c r="J15" s="1676"/>
      <c r="K15" s="1676"/>
      <c r="L15" s="1676"/>
      <c r="M15" s="1676"/>
      <c r="N15" s="1676"/>
      <c r="O15" s="1676"/>
      <c r="P15" s="1676"/>
      <c r="Q15" s="1676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677" t="s">
        <v>719</v>
      </c>
      <c r="D34" s="1678"/>
      <c r="E34" s="1678"/>
      <c r="F34" s="1678"/>
      <c r="G34" s="1678"/>
      <c r="H34" s="1678"/>
      <c r="I34" s="1689" t="s">
        <v>704</v>
      </c>
      <c r="J34" s="1679">
        <f>SUM(J16:J33)</f>
        <v>0</v>
      </c>
      <c r="K34" s="1675" t="s">
        <v>704</v>
      </c>
      <c r="L34" s="1675">
        <v>32574.5</v>
      </c>
      <c r="M34" s="1675">
        <v>79816.72</v>
      </c>
      <c r="N34" s="1675">
        <v>34504</v>
      </c>
      <c r="O34" s="1675">
        <v>1670</v>
      </c>
      <c r="P34" s="1675">
        <v>148565.22</v>
      </c>
      <c r="Q34" s="1675">
        <v>986434.78</v>
      </c>
    </row>
    <row r="35" spans="2:17" x14ac:dyDescent="0.25">
      <c r="B35" s="153"/>
      <c r="C35" s="1677"/>
      <c r="D35" s="1678"/>
      <c r="E35" s="1678"/>
      <c r="F35" s="1678"/>
      <c r="G35" s="1678"/>
      <c r="H35" s="1678"/>
      <c r="I35" s="1689"/>
      <c r="J35" s="1679"/>
      <c r="K35" s="1675"/>
      <c r="L35" s="1675"/>
      <c r="M35" s="1675"/>
      <c r="N35" s="1675"/>
      <c r="O35" s="1675"/>
      <c r="P35" s="1675"/>
      <c r="Q35" s="1675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625" t="s">
        <v>708</v>
      </c>
      <c r="F41" s="1625"/>
      <c r="G41" s="5"/>
      <c r="H41" s="199"/>
      <c r="I41" s="5"/>
      <c r="L41" s="1625" t="s">
        <v>196</v>
      </c>
      <c r="M41" s="1625"/>
      <c r="N41" s="1625"/>
      <c r="O41" s="1625"/>
      <c r="P41" s="1625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624" t="s">
        <v>718</v>
      </c>
      <c r="F43" s="1624"/>
      <c r="L43" s="1624" t="s">
        <v>683</v>
      </c>
      <c r="M43" s="1624"/>
      <c r="N43" s="1624"/>
      <c r="O43" s="1624"/>
      <c r="P43" s="1624"/>
    </row>
    <row r="44" spans="2:17" x14ac:dyDescent="0.25">
      <c r="C44" s="24" t="s">
        <v>709</v>
      </c>
      <c r="D44" s="5"/>
      <c r="E44" s="1625" t="s">
        <v>686</v>
      </c>
      <c r="F44" s="1625"/>
      <c r="G44" s="126"/>
      <c r="H44" s="201"/>
      <c r="I44" s="126"/>
      <c r="L44" s="1625" t="s">
        <v>523</v>
      </c>
      <c r="M44" s="1625"/>
      <c r="N44" s="1625"/>
      <c r="O44" s="1625"/>
      <c r="P44" s="1625"/>
    </row>
    <row r="45" spans="2:17" x14ac:dyDescent="0.25">
      <c r="C45" s="25" t="s">
        <v>707</v>
      </c>
      <c r="E45" s="1624" t="s">
        <v>681</v>
      </c>
      <c r="F45" s="1624"/>
      <c r="L45" s="1624" t="s">
        <v>493</v>
      </c>
      <c r="M45" s="1624"/>
      <c r="N45" s="1624"/>
      <c r="O45" s="1624"/>
      <c r="P45" s="1624"/>
    </row>
    <row r="48" spans="2:17" x14ac:dyDescent="0.25">
      <c r="C48" s="1625"/>
      <c r="D48" s="1625"/>
      <c r="E48" s="1625"/>
      <c r="F48" s="1625"/>
      <c r="G48" s="1625"/>
      <c r="H48" s="1625"/>
      <c r="I48" s="1625"/>
      <c r="J48" s="1625"/>
      <c r="K48" s="1625"/>
      <c r="L48" s="1625"/>
      <c r="M48" s="1625"/>
      <c r="N48" s="1625"/>
      <c r="O48" s="1625"/>
      <c r="P48" s="1625"/>
    </row>
    <row r="51" spans="3:16" x14ac:dyDescent="0.25">
      <c r="C51" s="1624"/>
      <c r="D51" s="1624"/>
      <c r="E51" s="1624"/>
      <c r="F51" s="1624"/>
      <c r="G51" s="1624"/>
      <c r="H51" s="1624"/>
      <c r="I51" s="1624"/>
      <c r="J51" s="1624"/>
      <c r="K51" s="1624"/>
      <c r="L51" s="1624"/>
      <c r="M51" s="1624"/>
      <c r="N51" s="1624"/>
      <c r="O51" s="1624"/>
      <c r="P51" s="1624"/>
    </row>
    <row r="52" spans="3:16" x14ac:dyDescent="0.25">
      <c r="C52" s="1625"/>
      <c r="D52" s="1625"/>
      <c r="E52" s="1625"/>
      <c r="F52" s="1625"/>
      <c r="G52" s="1625"/>
      <c r="H52" s="1625"/>
      <c r="I52" s="1625"/>
      <c r="J52" s="1625"/>
      <c r="K52" s="1625"/>
      <c r="L52" s="1625"/>
      <c r="M52" s="1625"/>
      <c r="N52" s="1625"/>
      <c r="O52" s="1625"/>
      <c r="P52" s="1625"/>
    </row>
    <row r="53" spans="3:16" x14ac:dyDescent="0.25">
      <c r="C53" s="1624"/>
      <c r="D53" s="1624"/>
      <c r="E53" s="1624"/>
      <c r="F53" s="1624"/>
      <c r="G53" s="1624"/>
      <c r="H53" s="1624"/>
      <c r="I53" s="1624"/>
      <c r="J53" s="1624"/>
      <c r="K53" s="1624"/>
      <c r="L53" s="1624"/>
      <c r="M53" s="1624"/>
      <c r="N53" s="1624"/>
      <c r="O53" s="1624"/>
      <c r="P53" s="1624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25" t="s">
        <v>0</v>
      </c>
      <c r="D6" s="1625"/>
      <c r="E6" s="1625"/>
      <c r="F6" s="1625"/>
      <c r="G6" s="1625"/>
      <c r="H6" s="1625"/>
      <c r="I6" s="1625"/>
      <c r="J6" s="1625"/>
      <c r="K6" s="1625"/>
      <c r="L6" s="1625"/>
      <c r="M6" s="1625"/>
      <c r="N6" s="1625"/>
      <c r="O6" s="1625"/>
    </row>
    <row r="7" spans="2:15" x14ac:dyDescent="0.25"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2:15" x14ac:dyDescent="0.25">
      <c r="C8" s="1625" t="s">
        <v>3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2:15" x14ac:dyDescent="0.25">
      <c r="C9" s="1625" t="s">
        <v>722</v>
      </c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2:15" x14ac:dyDescent="0.25">
      <c r="C10" s="1638" t="s">
        <v>404</v>
      </c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  <c r="N10" s="1638"/>
      <c r="O10" s="1638"/>
    </row>
    <row r="11" spans="2:15" ht="15.75" thickBot="1" x14ac:dyDescent="0.3">
      <c r="D11" t="s">
        <v>641</v>
      </c>
    </row>
    <row r="12" spans="2:15" ht="15.75" thickBot="1" x14ac:dyDescent="0.3">
      <c r="B12" s="1646" t="s">
        <v>6</v>
      </c>
      <c r="C12" s="1642" t="s">
        <v>7</v>
      </c>
      <c r="D12" s="1642" t="s">
        <v>8</v>
      </c>
      <c r="E12" s="1642" t="s">
        <v>9</v>
      </c>
      <c r="F12" s="1642" t="s">
        <v>11</v>
      </c>
      <c r="G12" s="51" t="s">
        <v>12</v>
      </c>
      <c r="H12" s="1644" t="s">
        <v>13</v>
      </c>
      <c r="I12" s="1642" t="s">
        <v>14</v>
      </c>
      <c r="J12" s="1642" t="s">
        <v>15</v>
      </c>
      <c r="K12" s="1642" t="s">
        <v>16</v>
      </c>
      <c r="L12" s="1642" t="s">
        <v>17</v>
      </c>
      <c r="M12" s="1642" t="s">
        <v>18</v>
      </c>
      <c r="N12" s="1645" t="s">
        <v>19</v>
      </c>
      <c r="O12" s="1683" t="s">
        <v>20</v>
      </c>
    </row>
    <row r="13" spans="2:15" x14ac:dyDescent="0.25">
      <c r="B13" s="1696"/>
      <c r="C13" s="1690"/>
      <c r="D13" s="1690"/>
      <c r="E13" s="1690"/>
      <c r="F13" s="1690"/>
      <c r="G13" s="203" t="s">
        <v>21</v>
      </c>
      <c r="H13" s="1691"/>
      <c r="I13" s="1690"/>
      <c r="J13" s="1690"/>
      <c r="K13" s="1690"/>
      <c r="L13" s="1690"/>
      <c r="M13" s="1690"/>
      <c r="N13" s="1697"/>
      <c r="O13" s="168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694" t="s">
        <v>288</v>
      </c>
      <c r="D98" s="1695"/>
      <c r="E98" s="1695"/>
      <c r="F98" s="1677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693" t="s">
        <v>195</v>
      </c>
      <c r="C102" s="1693"/>
      <c r="D102" s="205"/>
      <c r="E102" s="1693" t="s">
        <v>616</v>
      </c>
      <c r="F102" s="1693"/>
      <c r="G102" s="206"/>
      <c r="H102" s="207"/>
      <c r="I102" s="207"/>
      <c r="J102" s="1693" t="s">
        <v>196</v>
      </c>
      <c r="K102" s="1693"/>
      <c r="L102" s="1693"/>
      <c r="M102" s="1693"/>
      <c r="N102" s="1693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692" t="s">
        <v>678</v>
      </c>
      <c r="C104" s="1692"/>
      <c r="D104" s="205"/>
      <c r="E104" s="1692" t="s">
        <v>677</v>
      </c>
      <c r="F104" s="1692"/>
      <c r="G104" s="205"/>
      <c r="H104" s="207"/>
      <c r="I104" s="207"/>
      <c r="J104" s="1692" t="s">
        <v>678</v>
      </c>
      <c r="K104" s="1692"/>
      <c r="L104" s="1692"/>
      <c r="M104" s="1692"/>
      <c r="N104" s="1692"/>
      <c r="O104" s="205"/>
    </row>
    <row r="105" spans="2:15" ht="15.75" x14ac:dyDescent="0.25">
      <c r="B105" s="1693" t="s">
        <v>709</v>
      </c>
      <c r="C105" s="1693"/>
      <c r="D105" s="205"/>
      <c r="E105" s="1693" t="s">
        <v>735</v>
      </c>
      <c r="F105" s="1693"/>
      <c r="G105" s="206"/>
      <c r="H105" s="204"/>
      <c r="I105" s="204"/>
      <c r="J105" s="1693" t="s">
        <v>736</v>
      </c>
      <c r="K105" s="1693"/>
      <c r="L105" s="1693"/>
      <c r="M105" s="1693"/>
      <c r="N105" s="1693"/>
      <c r="O105" s="205"/>
    </row>
    <row r="106" spans="2:15" ht="15.75" x14ac:dyDescent="0.25">
      <c r="B106" s="1692" t="s">
        <v>707</v>
      </c>
      <c r="C106" s="1692"/>
      <c r="D106" s="205"/>
      <c r="E106" s="1692" t="s">
        <v>618</v>
      </c>
      <c r="F106" s="1692"/>
      <c r="G106" s="205"/>
      <c r="H106" s="207"/>
      <c r="I106" s="207"/>
      <c r="J106" s="1692" t="s">
        <v>493</v>
      </c>
      <c r="K106" s="1692"/>
      <c r="L106" s="1692"/>
      <c r="M106" s="1692"/>
      <c r="N106" s="1692"/>
      <c r="O106" s="205"/>
    </row>
    <row r="109" spans="2:15" x14ac:dyDescent="0.25">
      <c r="C109" s="1625"/>
      <c r="D109" s="1625"/>
      <c r="E109" s="1625"/>
      <c r="F109" s="1625"/>
      <c r="G109" s="1625"/>
      <c r="H109" s="1625"/>
      <c r="I109" s="1625"/>
      <c r="J109" s="1625"/>
      <c r="K109" s="1625"/>
      <c r="L109" s="1625"/>
      <c r="M109" s="1625"/>
      <c r="N109" s="1625"/>
    </row>
    <row r="112" spans="2:15" x14ac:dyDescent="0.25">
      <c r="C112" s="1624"/>
      <c r="D112" s="1624"/>
      <c r="E112" s="1624"/>
      <c r="F112" s="1624"/>
      <c r="G112" s="1624"/>
      <c r="H112" s="1624"/>
      <c r="I112" s="1624"/>
      <c r="J112" s="1624"/>
      <c r="K112" s="1624"/>
      <c r="L112" s="1624"/>
      <c r="M112" s="1624"/>
      <c r="N112" s="1624"/>
    </row>
    <row r="113" spans="3:14" x14ac:dyDescent="0.25">
      <c r="C113" s="1625"/>
      <c r="D113" s="1625"/>
      <c r="E113" s="1625"/>
      <c r="F113" s="1625"/>
      <c r="G113" s="1625"/>
      <c r="H113" s="1625"/>
      <c r="I113" s="1625"/>
      <c r="J113" s="1625"/>
      <c r="K113" s="1625"/>
      <c r="L113" s="1625"/>
      <c r="M113" s="1625"/>
      <c r="N113" s="1625"/>
    </row>
    <row r="114" spans="3:14" x14ac:dyDescent="0.25">
      <c r="C114" s="1624"/>
      <c r="D114" s="1624"/>
      <c r="E114" s="1624"/>
      <c r="F114" s="1624"/>
      <c r="G114" s="1624"/>
      <c r="H114" s="1624"/>
      <c r="I114" s="1624"/>
      <c r="J114" s="1624"/>
      <c r="K114" s="1624"/>
      <c r="L114" s="1624"/>
      <c r="M114" s="1624"/>
      <c r="N114" s="1624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625" t="s">
        <v>0</v>
      </c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  <c r="P7" s="1625"/>
      <c r="Q7" s="1625"/>
    </row>
    <row r="8" spans="2:17" x14ac:dyDescent="0.25">
      <c r="C8" s="1625" t="s">
        <v>1</v>
      </c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  <c r="P8" s="1625"/>
      <c r="Q8" s="162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5" t="s">
        <v>3</v>
      </c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  <c r="P10" s="1625"/>
      <c r="Q10" s="1625"/>
    </row>
    <row r="11" spans="2:17" x14ac:dyDescent="0.25">
      <c r="C11" s="1625" t="s">
        <v>723</v>
      </c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  <c r="P11" s="1625"/>
      <c r="Q11" s="1625"/>
    </row>
    <row r="12" spans="2:17" x14ac:dyDescent="0.25">
      <c r="C12" s="1638" t="s">
        <v>406</v>
      </c>
      <c r="D12" s="1638"/>
      <c r="E12" s="1638"/>
      <c r="F12" s="1638"/>
      <c r="G12" s="1638"/>
      <c r="H12" s="1638"/>
      <c r="I12" s="1638"/>
      <c r="J12" s="1638"/>
      <c r="K12" s="1638"/>
      <c r="L12" s="1638"/>
      <c r="M12" s="1638"/>
      <c r="N12" s="1638"/>
      <c r="O12" s="1638"/>
      <c r="P12" s="1638"/>
      <c r="Q12" s="163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76" t="s">
        <v>6</v>
      </c>
      <c r="C14" s="1676" t="s">
        <v>7</v>
      </c>
      <c r="D14" s="1676" t="s">
        <v>8</v>
      </c>
      <c r="E14" s="1676" t="s">
        <v>10</v>
      </c>
      <c r="F14" s="1676" t="s">
        <v>11</v>
      </c>
      <c r="G14" s="1676" t="s">
        <v>208</v>
      </c>
      <c r="H14" s="1688" t="s">
        <v>209</v>
      </c>
      <c r="I14" s="165" t="s">
        <v>12</v>
      </c>
      <c r="J14" s="1676" t="s">
        <v>13</v>
      </c>
      <c r="K14" s="1676" t="s">
        <v>14</v>
      </c>
      <c r="L14" s="1676" t="s">
        <v>15</v>
      </c>
      <c r="M14" s="1676" t="s">
        <v>16</v>
      </c>
      <c r="N14" s="1676" t="s">
        <v>17</v>
      </c>
      <c r="O14" s="1676" t="s">
        <v>18</v>
      </c>
      <c r="P14" s="1676" t="s">
        <v>19</v>
      </c>
      <c r="Q14" s="1676" t="s">
        <v>20</v>
      </c>
    </row>
    <row r="15" spans="2:17" x14ac:dyDescent="0.25">
      <c r="B15" s="1676"/>
      <c r="C15" s="1676"/>
      <c r="D15" s="1676"/>
      <c r="E15" s="1676"/>
      <c r="F15" s="1676"/>
      <c r="G15" s="1676"/>
      <c r="H15" s="1688"/>
      <c r="I15" s="165" t="s">
        <v>21</v>
      </c>
      <c r="J15" s="1676"/>
      <c r="K15" s="1676"/>
      <c r="L15" s="1676"/>
      <c r="M15" s="1676"/>
      <c r="N15" s="1676"/>
      <c r="O15" s="1676"/>
      <c r="P15" s="1676"/>
      <c r="Q15" s="1676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677" t="s">
        <v>719</v>
      </c>
      <c r="D39" s="1678"/>
      <c r="E39" s="1678"/>
      <c r="F39" s="1678"/>
      <c r="G39" s="1678"/>
      <c r="H39" s="1678"/>
      <c r="I39" s="1698">
        <v>1336500</v>
      </c>
      <c r="J39" s="1700">
        <f>SUM(J16:J38)</f>
        <v>0</v>
      </c>
      <c r="K39" s="1698">
        <v>1336500</v>
      </c>
      <c r="L39" s="1701">
        <v>38357.550000000003</v>
      </c>
      <c r="M39" s="1701">
        <v>85140.7</v>
      </c>
      <c r="N39" s="1701">
        <v>40629.599999999999</v>
      </c>
      <c r="O39" s="1701">
        <v>2985.12</v>
      </c>
      <c r="P39" s="1701">
        <v>167112.97</v>
      </c>
      <c r="Q39" s="1701">
        <v>1169387.03</v>
      </c>
    </row>
    <row r="40" spans="2:17" x14ac:dyDescent="0.25">
      <c r="B40" s="153"/>
      <c r="C40" s="1677"/>
      <c r="D40" s="1678"/>
      <c r="E40" s="1678"/>
      <c r="F40" s="1678"/>
      <c r="G40" s="1678"/>
      <c r="H40" s="1678"/>
      <c r="I40" s="1699"/>
      <c r="J40" s="1700"/>
      <c r="K40" s="1699"/>
      <c r="L40" s="1701"/>
      <c r="M40" s="1701"/>
      <c r="N40" s="1701"/>
      <c r="O40" s="1701"/>
      <c r="P40" s="1701"/>
      <c r="Q40" s="1701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693" t="s">
        <v>741</v>
      </c>
      <c r="F46" s="1693"/>
      <c r="G46" s="206"/>
      <c r="H46" s="206"/>
      <c r="I46" s="206"/>
      <c r="J46" s="205"/>
      <c r="K46" s="205"/>
      <c r="L46" s="1693" t="s">
        <v>196</v>
      </c>
      <c r="M46" s="1693"/>
      <c r="N46" s="1693"/>
      <c r="O46" s="1693"/>
      <c r="P46" s="1693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692" t="s">
        <v>683</v>
      </c>
      <c r="M48" s="1692"/>
      <c r="N48" s="1692"/>
      <c r="O48" s="1692"/>
      <c r="P48" s="1692"/>
    </row>
    <row r="49" spans="3:16" ht="15.75" x14ac:dyDescent="0.25">
      <c r="C49" s="204" t="s">
        <v>709</v>
      </c>
      <c r="D49" s="206"/>
      <c r="E49" s="1693" t="s">
        <v>737</v>
      </c>
      <c r="F49" s="1693"/>
      <c r="G49" s="206"/>
      <c r="H49" s="206"/>
      <c r="I49" s="206"/>
      <c r="J49" s="205"/>
      <c r="K49" s="205"/>
      <c r="L49" s="1693" t="s">
        <v>736</v>
      </c>
      <c r="M49" s="1693"/>
      <c r="N49" s="1693"/>
      <c r="O49" s="1693"/>
      <c r="P49" s="1693"/>
    </row>
    <row r="50" spans="3:16" ht="15.75" x14ac:dyDescent="0.25">
      <c r="C50" s="207" t="s">
        <v>707</v>
      </c>
      <c r="D50" s="205"/>
      <c r="E50" s="1692" t="s">
        <v>743</v>
      </c>
      <c r="F50" s="1692"/>
      <c r="G50" s="205"/>
      <c r="H50" s="205"/>
      <c r="I50" s="205"/>
      <c r="J50" s="205"/>
      <c r="K50" s="205"/>
      <c r="L50" s="1692" t="s">
        <v>493</v>
      </c>
      <c r="M50" s="1692"/>
      <c r="N50" s="1692"/>
      <c r="O50" s="1692"/>
      <c r="P50" s="1692"/>
    </row>
    <row r="53" spans="3:16" x14ac:dyDescent="0.25">
      <c r="C53" s="1625"/>
      <c r="D53" s="1625"/>
      <c r="E53" s="1625"/>
      <c r="F53" s="1625"/>
      <c r="G53" s="1625"/>
      <c r="H53" s="1625"/>
      <c r="I53" s="1625"/>
      <c r="J53" s="1625"/>
      <c r="K53" s="1625"/>
      <c r="L53" s="1625"/>
      <c r="M53" s="1625"/>
      <c r="N53" s="1625"/>
      <c r="O53" s="1625"/>
      <c r="P53" s="1625"/>
    </row>
    <row r="56" spans="3:16" x14ac:dyDescent="0.25">
      <c r="C56" s="1624"/>
      <c r="D56" s="1624"/>
      <c r="E56" s="1624"/>
      <c r="F56" s="1624"/>
      <c r="G56" s="1624"/>
      <c r="H56" s="1624"/>
      <c r="I56" s="1624"/>
      <c r="J56" s="1624"/>
      <c r="K56" s="1624"/>
      <c r="L56" s="1624"/>
      <c r="M56" s="1624"/>
      <c r="N56" s="1624"/>
      <c r="O56" s="1624"/>
      <c r="P56" s="1624"/>
    </row>
    <row r="57" spans="3:16" x14ac:dyDescent="0.25">
      <c r="C57" s="1625"/>
      <c r="D57" s="1625"/>
      <c r="E57" s="1625"/>
      <c r="F57" s="1625"/>
      <c r="G57" s="1625"/>
      <c r="H57" s="1625"/>
      <c r="I57" s="1625"/>
      <c r="J57" s="1625"/>
      <c r="K57" s="1625"/>
      <c r="L57" s="1625"/>
      <c r="M57" s="1625"/>
      <c r="N57" s="1625"/>
      <c r="O57" s="1625"/>
      <c r="P57" s="1625"/>
    </row>
    <row r="58" spans="3:16" x14ac:dyDescent="0.25">
      <c r="C58" s="1624"/>
      <c r="D58" s="1624"/>
      <c r="E58" s="1624"/>
      <c r="F58" s="1624"/>
      <c r="G58" s="1624"/>
      <c r="H58" s="1624"/>
      <c r="I58" s="1624"/>
      <c r="J58" s="1624"/>
      <c r="K58" s="1624"/>
      <c r="L58" s="1624"/>
      <c r="M58" s="1624"/>
      <c r="N58" s="1624"/>
      <c r="O58" s="1624"/>
      <c r="P58" s="1624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6" t="s">
        <v>0</v>
      </c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</row>
    <row r="8" spans="1:14" x14ac:dyDescent="0.25">
      <c r="B8" s="1656" t="s">
        <v>1</v>
      </c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6" t="s">
        <v>3</v>
      </c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</row>
    <row r="11" spans="1:14" x14ac:dyDescent="0.25">
      <c r="B11" s="1656" t="s">
        <v>733</v>
      </c>
      <c r="C11" s="1656"/>
      <c r="D11" s="1656"/>
      <c r="E11" s="1656"/>
      <c r="F11" s="1656"/>
      <c r="G11" s="1656"/>
      <c r="H11" s="1656"/>
      <c r="I11" s="1656"/>
      <c r="J11" s="1656"/>
      <c r="K11" s="1656"/>
      <c r="L11" s="1656"/>
      <c r="M11" s="1656"/>
      <c r="N11" s="1656"/>
    </row>
    <row r="12" spans="1:14" x14ac:dyDescent="0.25">
      <c r="B12" s="1657" t="s">
        <v>5</v>
      </c>
      <c r="C12" s="1657"/>
      <c r="D12" s="1657"/>
      <c r="E12" s="1657"/>
      <c r="F12" s="1657"/>
      <c r="G12" s="1657"/>
      <c r="H12" s="1657"/>
      <c r="I12" s="1657"/>
      <c r="J12" s="1657"/>
      <c r="K12" s="1657"/>
      <c r="L12" s="1657"/>
      <c r="M12" s="1657"/>
      <c r="N12" s="165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7" t="s">
        <v>6</v>
      </c>
      <c r="B14" s="1667" t="s">
        <v>7</v>
      </c>
      <c r="C14" s="1667" t="s">
        <v>8</v>
      </c>
      <c r="D14" s="1667" t="s">
        <v>10</v>
      </c>
      <c r="E14" s="1667" t="s">
        <v>11</v>
      </c>
      <c r="F14" s="132" t="s">
        <v>12</v>
      </c>
      <c r="G14" s="1667" t="s">
        <v>13</v>
      </c>
      <c r="H14" s="1667" t="s">
        <v>14</v>
      </c>
      <c r="I14" s="1667" t="s">
        <v>15</v>
      </c>
      <c r="J14" s="1667" t="s">
        <v>16</v>
      </c>
      <c r="K14" s="1667" t="s">
        <v>17</v>
      </c>
      <c r="L14" s="1667" t="s">
        <v>18</v>
      </c>
      <c r="M14" s="1667" t="s">
        <v>19</v>
      </c>
      <c r="N14" s="1667" t="s">
        <v>20</v>
      </c>
    </row>
    <row r="15" spans="1:14" x14ac:dyDescent="0.25">
      <c r="A15" s="1667"/>
      <c r="B15" s="1667"/>
      <c r="C15" s="1667"/>
      <c r="D15" s="1667"/>
      <c r="E15" s="1667"/>
      <c r="F15" s="133" t="s">
        <v>21</v>
      </c>
      <c r="G15" s="1667"/>
      <c r="H15" s="1667"/>
      <c r="I15" s="1667"/>
      <c r="J15" s="1667"/>
      <c r="K15" s="1667"/>
      <c r="L15" s="1667"/>
      <c r="M15" s="1667"/>
      <c r="N15" s="166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85" t="s">
        <v>194</v>
      </c>
      <c r="B29" s="1686"/>
      <c r="C29" s="1686"/>
      <c r="D29" s="1686"/>
      <c r="E29" s="168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693" t="s">
        <v>195</v>
      </c>
      <c r="C32" s="1693"/>
      <c r="D32" s="204"/>
      <c r="E32" s="1693" t="s">
        <v>680</v>
      </c>
      <c r="F32" s="1693"/>
      <c r="G32" s="1693"/>
      <c r="H32" s="205"/>
      <c r="I32" s="205"/>
      <c r="J32" s="1693" t="s">
        <v>196</v>
      </c>
      <c r="K32" s="1693"/>
      <c r="L32" s="1693"/>
      <c r="M32" s="1693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692" t="s">
        <v>197</v>
      </c>
      <c r="C35" s="1692"/>
      <c r="D35" s="207"/>
      <c r="E35" s="1692" t="s">
        <v>684</v>
      </c>
      <c r="F35" s="1692"/>
      <c r="G35" s="1692"/>
      <c r="H35" s="205"/>
      <c r="I35" s="205"/>
      <c r="J35" s="1692" t="s">
        <v>683</v>
      </c>
      <c r="K35" s="1692"/>
      <c r="L35" s="1692"/>
      <c r="M35" s="1692"/>
      <c r="N35" s="25"/>
    </row>
    <row r="36" spans="1:14" ht="15.75" x14ac:dyDescent="0.25">
      <c r="A36" s="207"/>
      <c r="B36" s="1693" t="s">
        <v>709</v>
      </c>
      <c r="C36" s="1693"/>
      <c r="D36" s="204"/>
      <c r="E36" s="1693" t="s">
        <v>739</v>
      </c>
      <c r="F36" s="1693"/>
      <c r="G36" s="1693"/>
      <c r="H36" s="205"/>
      <c r="I36" s="205"/>
      <c r="J36" s="1693" t="s">
        <v>738</v>
      </c>
      <c r="K36" s="1693"/>
      <c r="L36" s="1693"/>
      <c r="M36" s="1693"/>
      <c r="N36" s="24"/>
    </row>
    <row r="37" spans="1:14" ht="15.75" x14ac:dyDescent="0.25">
      <c r="A37" s="205"/>
      <c r="B37" s="1692" t="s">
        <v>707</v>
      </c>
      <c r="C37" s="1692"/>
      <c r="D37" s="207"/>
      <c r="E37" s="1692" t="s">
        <v>685</v>
      </c>
      <c r="F37" s="1692"/>
      <c r="G37" s="1692"/>
      <c r="H37" s="205"/>
      <c r="I37" s="205"/>
      <c r="J37" s="1692" t="s">
        <v>493</v>
      </c>
      <c r="K37" s="1692"/>
      <c r="L37" s="1692"/>
      <c r="M37" s="1692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4"/>
      <c r="B41" s="1624"/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</row>
    <row r="42" spans="1:14" x14ac:dyDescent="0.25">
      <c r="A42" s="1625"/>
      <c r="B42" s="1625"/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3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745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38" t="s">
        <v>404</v>
      </c>
      <c r="B10" s="1638"/>
      <c r="C10" s="1638"/>
      <c r="D10" s="1638"/>
      <c r="E10" s="1638"/>
      <c r="F10" s="1638"/>
      <c r="G10" s="1638"/>
      <c r="H10" s="1638"/>
      <c r="I10" s="1638"/>
      <c r="J10" s="1638"/>
      <c r="K10" s="1638"/>
      <c r="L10" s="1638"/>
      <c r="M10" s="1638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642" t="s">
        <v>7</v>
      </c>
      <c r="B12" s="1642" t="s">
        <v>802</v>
      </c>
      <c r="C12" s="1690" t="s">
        <v>9</v>
      </c>
      <c r="D12" s="1642" t="s">
        <v>11</v>
      </c>
      <c r="E12" s="307" t="s">
        <v>12</v>
      </c>
      <c r="F12" s="1703" t="s">
        <v>13</v>
      </c>
      <c r="G12" s="1705" t="s">
        <v>14</v>
      </c>
      <c r="H12" s="1705" t="s">
        <v>15</v>
      </c>
      <c r="I12" s="1705" t="s">
        <v>16</v>
      </c>
      <c r="J12" s="1705" t="s">
        <v>17</v>
      </c>
      <c r="K12" s="1705" t="s">
        <v>18</v>
      </c>
      <c r="L12" s="1711" t="s">
        <v>19</v>
      </c>
      <c r="M12" s="1709" t="s">
        <v>20</v>
      </c>
    </row>
    <row r="13" spans="1:13" ht="13.5" customHeight="1" x14ac:dyDescent="0.25">
      <c r="A13" s="1690"/>
      <c r="B13" s="1690"/>
      <c r="C13" s="1702"/>
      <c r="D13" s="1690"/>
      <c r="E13" s="306" t="s">
        <v>21</v>
      </c>
      <c r="F13" s="1704"/>
      <c r="G13" s="1706"/>
      <c r="H13" s="1706"/>
      <c r="I13" s="1706"/>
      <c r="J13" s="1706"/>
      <c r="K13" s="1706"/>
      <c r="L13" s="1712"/>
      <c r="M13" s="1710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693"/>
      <c r="B181" s="1693"/>
      <c r="C181" s="204"/>
      <c r="D181" s="1693"/>
      <c r="E181" s="1693"/>
      <c r="F181" s="1693"/>
      <c r="G181" s="205"/>
      <c r="H181" s="205"/>
      <c r="I181" s="1693"/>
      <c r="J181" s="1693"/>
      <c r="K181" s="1693"/>
      <c r="L181" s="1693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692" t="s">
        <v>684</v>
      </c>
      <c r="H184" s="1692"/>
      <c r="I184" s="1692"/>
      <c r="J184" s="1692"/>
      <c r="K184" s="1692"/>
    </row>
    <row r="185" spans="1:13" ht="15.75" customHeight="1" x14ac:dyDescent="0.25">
      <c r="A185" s="204" t="s">
        <v>833</v>
      </c>
      <c r="B185" s="204"/>
      <c r="C185" s="204"/>
      <c r="G185" s="1707" t="s">
        <v>852</v>
      </c>
      <c r="H185" s="1707"/>
      <c r="I185" s="1707"/>
      <c r="J185" s="1707"/>
      <c r="K185" s="1707"/>
    </row>
    <row r="186" spans="1:13" ht="15.75" x14ac:dyDescent="0.25">
      <c r="A186" s="207" t="s">
        <v>851</v>
      </c>
      <c r="B186" s="207"/>
      <c r="C186" s="207"/>
      <c r="G186" s="1708" t="s">
        <v>853</v>
      </c>
      <c r="H186" s="1708"/>
      <c r="I186" s="1708"/>
      <c r="J186" s="1708"/>
      <c r="K186" s="1708"/>
    </row>
    <row r="189" spans="1:13" x14ac:dyDescent="0.25">
      <c r="B189" s="1625"/>
      <c r="C189" s="1625"/>
      <c r="D189" s="1625"/>
      <c r="E189" s="1625"/>
      <c r="F189" s="1625"/>
      <c r="G189" s="1625"/>
      <c r="H189" s="1625"/>
      <c r="I189" s="1625"/>
      <c r="J189" s="1625"/>
      <c r="K189" s="1625"/>
      <c r="L189" s="1625"/>
    </row>
    <row r="192" spans="1:13" x14ac:dyDescent="0.25">
      <c r="B192" s="1624"/>
      <c r="C192" s="1624"/>
      <c r="D192" s="1624"/>
      <c r="E192" s="1624"/>
      <c r="F192" s="1624"/>
      <c r="G192" s="1624"/>
      <c r="H192" s="1624"/>
      <c r="I192" s="1624"/>
      <c r="J192" s="1624"/>
      <c r="K192" s="1624"/>
      <c r="L192" s="1624"/>
    </row>
    <row r="193" spans="2:12" x14ac:dyDescent="0.25">
      <c r="B193" s="1625"/>
      <c r="C193" s="1625"/>
      <c r="D193" s="1625"/>
      <c r="E193" s="1625"/>
      <c r="F193" s="1625"/>
      <c r="G193" s="1625"/>
      <c r="H193" s="1625"/>
      <c r="I193" s="1625"/>
      <c r="J193" s="1625"/>
      <c r="K193" s="1625"/>
      <c r="L193" s="1625"/>
    </row>
    <row r="194" spans="2:12" x14ac:dyDescent="0.25">
      <c r="B194" s="1624"/>
      <c r="C194" s="1624"/>
      <c r="D194" s="1624"/>
      <c r="E194" s="1624"/>
      <c r="F194" s="1624"/>
      <c r="G194" s="1624"/>
      <c r="H194" s="1624"/>
      <c r="I194" s="1624"/>
      <c r="J194" s="1624"/>
      <c r="K194" s="1624"/>
      <c r="L194" s="1624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1:15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1:15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1:15" x14ac:dyDescent="0.25">
      <c r="A10" s="1625" t="s">
        <v>811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1:15" x14ac:dyDescent="0.25">
      <c r="A11" s="1638" t="s">
        <v>406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  <c r="N11" s="1638"/>
      <c r="O11" s="1638"/>
    </row>
    <row r="13" spans="1:15" ht="15.75" thickBot="1" x14ac:dyDescent="0.3">
      <c r="A13" s="1713" t="s">
        <v>7</v>
      </c>
      <c r="B13" s="1715" t="s">
        <v>802</v>
      </c>
      <c r="C13" s="1716" t="s">
        <v>9</v>
      </c>
      <c r="D13" s="1722" t="s">
        <v>832</v>
      </c>
      <c r="E13" s="1722" t="s">
        <v>834</v>
      </c>
      <c r="F13" s="1726" t="s">
        <v>835</v>
      </c>
      <c r="G13" s="305" t="s">
        <v>12</v>
      </c>
      <c r="H13" s="1718" t="s">
        <v>13</v>
      </c>
      <c r="I13" s="1724" t="s">
        <v>14</v>
      </c>
      <c r="J13" s="1724" t="s">
        <v>15</v>
      </c>
      <c r="K13" s="1724" t="s">
        <v>16</v>
      </c>
      <c r="L13" s="1724" t="s">
        <v>17</v>
      </c>
      <c r="M13" s="1724" t="s">
        <v>18</v>
      </c>
      <c r="N13" s="1725" t="s">
        <v>19</v>
      </c>
      <c r="O13" s="1720" t="s">
        <v>20</v>
      </c>
    </row>
    <row r="14" spans="1:15" x14ac:dyDescent="0.25">
      <c r="A14" s="1714"/>
      <c r="B14" s="1702"/>
      <c r="C14" s="1717"/>
      <c r="D14" s="1723"/>
      <c r="E14" s="1723"/>
      <c r="F14" s="1727"/>
      <c r="G14" s="306" t="s">
        <v>21</v>
      </c>
      <c r="H14" s="1719"/>
      <c r="I14" s="1706"/>
      <c r="J14" s="1706"/>
      <c r="K14" s="1706"/>
      <c r="L14" s="1706"/>
      <c r="M14" s="1706"/>
      <c r="N14" s="1712"/>
      <c r="O14" s="1721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692" t="s">
        <v>684</v>
      </c>
      <c r="H81" s="1692"/>
      <c r="I81" s="1692"/>
      <c r="J81" s="1692"/>
      <c r="K81" s="1692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707" t="s">
        <v>852</v>
      </c>
      <c r="H82" s="1707"/>
      <c r="I82" s="1707"/>
      <c r="J82" s="1707"/>
      <c r="K82" s="1707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708" t="s">
        <v>853</v>
      </c>
      <c r="H83" s="1708"/>
      <c r="I83" s="1708"/>
      <c r="J83" s="1708"/>
      <c r="K83" s="1708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812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38" t="s">
        <v>412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728" t="s">
        <v>7</v>
      </c>
      <c r="B13" s="1730" t="s">
        <v>802</v>
      </c>
      <c r="C13" s="1722" t="s">
        <v>9</v>
      </c>
      <c r="D13" s="1722" t="s">
        <v>832</v>
      </c>
      <c r="E13" s="305" t="s">
        <v>12</v>
      </c>
      <c r="F13" s="1718" t="s">
        <v>13</v>
      </c>
      <c r="G13" s="1724" t="s">
        <v>14</v>
      </c>
      <c r="H13" s="1724" t="s">
        <v>15</v>
      </c>
      <c r="I13" s="1724" t="s">
        <v>16</v>
      </c>
      <c r="J13" s="1724" t="s">
        <v>17</v>
      </c>
      <c r="K13" s="1724" t="s">
        <v>18</v>
      </c>
      <c r="L13" s="1725" t="s">
        <v>19</v>
      </c>
      <c r="M13" s="1720" t="s">
        <v>20</v>
      </c>
    </row>
    <row r="14" spans="1:13" x14ac:dyDescent="0.25">
      <c r="A14" s="1729"/>
      <c r="B14" s="1730"/>
      <c r="C14" s="1723"/>
      <c r="D14" s="1723"/>
      <c r="E14" s="306" t="s">
        <v>21</v>
      </c>
      <c r="F14" s="1719"/>
      <c r="G14" s="1706"/>
      <c r="H14" s="1706"/>
      <c r="I14" s="1706"/>
      <c r="J14" s="1706"/>
      <c r="K14" s="1706"/>
      <c r="L14" s="1712"/>
      <c r="M14" s="1721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2" t="s">
        <v>684</v>
      </c>
      <c r="H26" s="1692"/>
      <c r="I26" s="1692"/>
      <c r="J26" s="1692"/>
      <c r="K26" s="169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07" t="s">
        <v>852</v>
      </c>
      <c r="H27" s="1707"/>
      <c r="I27" s="1707"/>
      <c r="J27" s="1707"/>
      <c r="K27" s="170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08" t="s">
        <v>853</v>
      </c>
      <c r="H28" s="1708"/>
      <c r="I28" s="1708"/>
      <c r="J28" s="1708"/>
      <c r="K28" s="1708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</row>
    <row r="8" spans="1:14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</row>
    <row r="9" spans="1:14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  <c r="N9" s="1617"/>
    </row>
    <row r="10" spans="1:14" x14ac:dyDescent="0.25">
      <c r="A10" s="1617" t="s">
        <v>850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  <c r="N10" s="1617"/>
    </row>
    <row r="11" spans="1:14" x14ac:dyDescent="0.25">
      <c r="A11" s="1731" t="s">
        <v>5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  <c r="M11" s="1731"/>
      <c r="N11" s="1731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730" t="s">
        <v>7</v>
      </c>
      <c r="B13" s="1730" t="s">
        <v>802</v>
      </c>
      <c r="C13" s="1728" t="s">
        <v>8</v>
      </c>
      <c r="D13" s="1728" t="s">
        <v>10</v>
      </c>
      <c r="E13" s="1728" t="s">
        <v>11</v>
      </c>
      <c r="F13" s="220" t="s">
        <v>12</v>
      </c>
      <c r="G13" s="1736" t="s">
        <v>13</v>
      </c>
      <c r="H13" s="1728" t="s">
        <v>14</v>
      </c>
      <c r="I13" s="1728" t="s">
        <v>15</v>
      </c>
      <c r="J13" s="1728" t="s">
        <v>16</v>
      </c>
      <c r="K13" s="1728" t="s">
        <v>17</v>
      </c>
      <c r="L13" s="1728" t="s">
        <v>18</v>
      </c>
      <c r="M13" s="1728" t="s">
        <v>19</v>
      </c>
      <c r="N13" s="1730" t="s">
        <v>20</v>
      </c>
    </row>
    <row r="14" spans="1:14" x14ac:dyDescent="0.25">
      <c r="A14" s="1730"/>
      <c r="B14" s="1730"/>
      <c r="C14" s="1729"/>
      <c r="D14" s="1729"/>
      <c r="E14" s="1729"/>
      <c r="F14" s="220" t="s">
        <v>21</v>
      </c>
      <c r="G14" s="1737"/>
      <c r="H14" s="1729"/>
      <c r="I14" s="1729"/>
      <c r="J14" s="1729"/>
      <c r="K14" s="1729"/>
      <c r="L14" s="1729"/>
      <c r="M14" s="1729"/>
      <c r="N14" s="173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5" t="s">
        <v>854</v>
      </c>
      <c r="I31" s="1735"/>
      <c r="J31" s="1735"/>
      <c r="K31" s="1735"/>
      <c r="L31" s="1735"/>
      <c r="M31" s="173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732" t="s">
        <v>852</v>
      </c>
      <c r="I32" s="1732"/>
      <c r="J32" s="1732"/>
      <c r="K32" s="1732"/>
      <c r="L32" s="1732"/>
      <c r="M32" s="173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734" t="s">
        <v>853</v>
      </c>
      <c r="I33" s="1734"/>
      <c r="J33" s="1734"/>
      <c r="K33" s="1734"/>
      <c r="L33" s="1734"/>
      <c r="M33" s="173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3"/>
      <c r="J34" s="1733"/>
      <c r="K34" s="1733"/>
      <c r="L34" s="1733"/>
      <c r="M34" s="1733"/>
      <c r="N34" s="1733"/>
    </row>
    <row r="35" spans="1:14" ht="15.75" x14ac:dyDescent="0.25">
      <c r="A35" s="267"/>
      <c r="B35" s="267"/>
      <c r="C35" s="268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3"/>
      <c r="H36" s="1733"/>
      <c r="I36" s="1733"/>
      <c r="J36" s="1733"/>
      <c r="K36" s="173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08"/>
      <c r="H37" s="1708"/>
      <c r="I37" s="1708"/>
      <c r="J37" s="1708"/>
      <c r="K37" s="170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4"/>
      <c r="B41" s="1624"/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</row>
    <row r="42" spans="1:14" x14ac:dyDescent="0.25">
      <c r="A42" s="1625"/>
      <c r="B42" s="1625"/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56" t="s">
        <v>0</v>
      </c>
      <c r="B8" s="1656"/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</row>
    <row r="9" spans="1:13" x14ac:dyDescent="0.25">
      <c r="A9" s="1656" t="s">
        <v>3</v>
      </c>
      <c r="B9" s="1656"/>
      <c r="C9" s="1656"/>
      <c r="D9" s="1656"/>
      <c r="E9" s="1656"/>
      <c r="F9" s="1656"/>
      <c r="G9" s="1656"/>
      <c r="H9" s="1656"/>
      <c r="I9" s="1656"/>
      <c r="J9" s="1656"/>
      <c r="K9" s="1656"/>
      <c r="L9" s="1656"/>
      <c r="M9" s="1656"/>
    </row>
    <row r="10" spans="1:13" x14ac:dyDescent="0.25">
      <c r="A10" s="1656" t="s">
        <v>871</v>
      </c>
      <c r="B10" s="1656"/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</row>
    <row r="11" spans="1:13" x14ac:dyDescent="0.25">
      <c r="A11" s="1657" t="s">
        <v>404</v>
      </c>
      <c r="B11" s="1657"/>
      <c r="C11" s="1657"/>
      <c r="D11" s="1657"/>
      <c r="E11" s="1657"/>
      <c r="F11" s="1657"/>
      <c r="G11" s="1657"/>
      <c r="H11" s="1657"/>
      <c r="I11" s="1657"/>
      <c r="J11" s="1657"/>
      <c r="K11" s="1657"/>
      <c r="L11" s="1657"/>
      <c r="M11" s="165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43" t="s">
        <v>7</v>
      </c>
      <c r="B14" s="1743" t="s">
        <v>802</v>
      </c>
      <c r="C14" s="1745" t="s">
        <v>9</v>
      </c>
      <c r="D14" s="1747" t="s">
        <v>11</v>
      </c>
      <c r="E14" s="391" t="s">
        <v>12</v>
      </c>
      <c r="F14" s="1749" t="s">
        <v>13</v>
      </c>
      <c r="G14" s="1751" t="s">
        <v>14</v>
      </c>
      <c r="H14" s="1751" t="s">
        <v>15</v>
      </c>
      <c r="I14" s="1751" t="s">
        <v>16</v>
      </c>
      <c r="J14" s="1751" t="s">
        <v>17</v>
      </c>
      <c r="K14" s="1751" t="s">
        <v>18</v>
      </c>
      <c r="L14" s="1753" t="s">
        <v>19</v>
      </c>
      <c r="M14" s="1741" t="s">
        <v>20</v>
      </c>
    </row>
    <row r="15" spans="1:13" ht="14.25" customHeight="1" thickBot="1" x14ac:dyDescent="0.3">
      <c r="A15" s="1744"/>
      <c r="B15" s="1744"/>
      <c r="C15" s="1746"/>
      <c r="D15" s="1748"/>
      <c r="E15" s="392" t="s">
        <v>21</v>
      </c>
      <c r="F15" s="1750"/>
      <c r="G15" s="1752"/>
      <c r="H15" s="1752"/>
      <c r="I15" s="1752"/>
      <c r="J15" s="1752"/>
      <c r="K15" s="1752"/>
      <c r="L15" s="1754"/>
      <c r="M15" s="1742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656"/>
      <c r="K184" s="1656"/>
      <c r="L184" s="1656"/>
      <c r="M184" s="388"/>
    </row>
    <row r="185" spans="1:13" ht="15" customHeight="1" x14ac:dyDescent="0.25">
      <c r="A185" s="1656"/>
      <c r="B185" s="1656"/>
      <c r="C185" s="125"/>
      <c r="D185" s="1656"/>
      <c r="E185" s="1656"/>
      <c r="F185" s="1656"/>
      <c r="G185" s="99"/>
      <c r="H185" s="99"/>
      <c r="I185" s="1656"/>
      <c r="J185" s="1656"/>
      <c r="K185" s="1656"/>
      <c r="L185" s="1656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657" t="s">
        <v>684</v>
      </c>
      <c r="H188" s="1657"/>
      <c r="I188" s="1657"/>
      <c r="J188" s="1657"/>
      <c r="K188" s="1657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739" t="s">
        <v>852</v>
      </c>
      <c r="H189" s="1739"/>
      <c r="I189" s="1739"/>
      <c r="J189" s="1739"/>
      <c r="K189" s="1739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740" t="s">
        <v>853</v>
      </c>
      <c r="H190" s="1740"/>
      <c r="I190" s="1740"/>
      <c r="J190" s="1740"/>
      <c r="K190" s="1740"/>
      <c r="L190" s="385"/>
      <c r="M190" s="385"/>
    </row>
    <row r="193" spans="2:12" x14ac:dyDescent="0.25">
      <c r="B193" s="1656"/>
      <c r="C193" s="1656"/>
      <c r="D193" s="1656"/>
      <c r="E193" s="1656"/>
      <c r="F193" s="1656"/>
      <c r="G193" s="1656"/>
      <c r="H193" s="1656"/>
      <c r="I193" s="1656"/>
      <c r="J193" s="1656"/>
      <c r="K193" s="1656"/>
      <c r="L193" s="1656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657"/>
      <c r="C196" s="1657"/>
      <c r="D196" s="1657"/>
      <c r="E196" s="1657"/>
      <c r="F196" s="1657"/>
      <c r="G196" s="1657"/>
      <c r="H196" s="1657"/>
      <c r="I196" s="1657"/>
      <c r="J196" s="1657"/>
      <c r="K196" s="1657"/>
      <c r="L196" s="1657"/>
    </row>
    <row r="197" spans="2:12" s="213" customFormat="1" x14ac:dyDescent="0.25">
      <c r="B197" s="1625"/>
      <c r="C197" s="1625"/>
      <c r="D197" s="1625"/>
      <c r="E197" s="1625"/>
      <c r="F197" s="1625"/>
      <c r="G197" s="1625"/>
      <c r="H197" s="1625"/>
      <c r="I197" s="1625"/>
      <c r="J197" s="1625"/>
      <c r="K197" s="1625"/>
      <c r="L197" s="1625"/>
    </row>
    <row r="198" spans="2:12" s="213" customFormat="1" x14ac:dyDescent="0.25">
      <c r="B198" s="1624"/>
      <c r="C198" s="1624"/>
      <c r="D198" s="1624"/>
      <c r="E198" s="1624"/>
      <c r="F198" s="1624"/>
      <c r="G198" s="1624"/>
      <c r="H198" s="1624"/>
      <c r="I198" s="1624"/>
      <c r="J198" s="1624"/>
      <c r="K198" s="1624"/>
      <c r="L198" s="1624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  <c r="N7" s="1625"/>
      <c r="O7" s="1625"/>
    </row>
    <row r="8" spans="1:15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  <c r="N8" s="1625"/>
      <c r="O8" s="1625"/>
    </row>
    <row r="9" spans="1:15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  <c r="N9" s="1625"/>
      <c r="O9" s="1625"/>
    </row>
    <row r="10" spans="1:15" x14ac:dyDescent="0.25">
      <c r="A10" s="1625" t="s">
        <v>863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1:15" x14ac:dyDescent="0.25">
      <c r="A11" s="1761" t="s">
        <v>406</v>
      </c>
      <c r="B11" s="1761"/>
      <c r="C11" s="1761"/>
      <c r="D11" s="1761"/>
      <c r="E11" s="1761"/>
      <c r="F11" s="1761"/>
      <c r="G11" s="1761"/>
      <c r="H11" s="1761"/>
      <c r="I11" s="1761"/>
      <c r="J11" s="1761"/>
      <c r="K11" s="1761"/>
      <c r="L11" s="1761"/>
      <c r="M11" s="1761"/>
      <c r="N11" s="1761"/>
      <c r="O11" s="176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59" t="s">
        <v>7</v>
      </c>
      <c r="B13" s="1759" t="s">
        <v>802</v>
      </c>
      <c r="C13" s="1762" t="s">
        <v>9</v>
      </c>
      <c r="D13" s="1759" t="s">
        <v>832</v>
      </c>
      <c r="E13" s="1759" t="s">
        <v>834</v>
      </c>
      <c r="F13" s="1759" t="s">
        <v>835</v>
      </c>
      <c r="G13" s="384" t="s">
        <v>12</v>
      </c>
      <c r="H13" s="1760" t="s">
        <v>13</v>
      </c>
      <c r="I13" s="1755" t="s">
        <v>14</v>
      </c>
      <c r="J13" s="1755" t="s">
        <v>15</v>
      </c>
      <c r="K13" s="1755" t="s">
        <v>16</v>
      </c>
      <c r="L13" s="1755" t="s">
        <v>17</v>
      </c>
      <c r="M13" s="1755" t="s">
        <v>18</v>
      </c>
      <c r="N13" s="1755" t="s">
        <v>19</v>
      </c>
      <c r="O13" s="1755" t="s">
        <v>20</v>
      </c>
    </row>
    <row r="14" spans="1:15" x14ac:dyDescent="0.25">
      <c r="A14" s="1759"/>
      <c r="B14" s="1759"/>
      <c r="C14" s="1762"/>
      <c r="D14" s="1759"/>
      <c r="E14" s="1759"/>
      <c r="F14" s="1759"/>
      <c r="G14" s="384" t="s">
        <v>21</v>
      </c>
      <c r="H14" s="1760"/>
      <c r="I14" s="1755"/>
      <c r="J14" s="1755"/>
      <c r="K14" s="1755"/>
      <c r="L14" s="1755"/>
      <c r="M14" s="1755"/>
      <c r="N14" s="1755"/>
      <c r="O14" s="1755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756" t="s">
        <v>684</v>
      </c>
      <c r="H81" s="1756"/>
      <c r="I81" s="1756"/>
      <c r="J81" s="1756"/>
      <c r="K81" s="1756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757" t="s">
        <v>852</v>
      </c>
      <c r="H82" s="1757"/>
      <c r="I82" s="1757"/>
      <c r="J82" s="1757"/>
      <c r="K82" s="1757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758" t="s">
        <v>853</v>
      </c>
      <c r="H83" s="1758"/>
      <c r="I83" s="1758"/>
      <c r="J83" s="1758"/>
      <c r="K83" s="1758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864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38" t="s">
        <v>412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30" t="s">
        <v>7</v>
      </c>
      <c r="B13" s="1730" t="s">
        <v>802</v>
      </c>
      <c r="C13" s="1730" t="s">
        <v>9</v>
      </c>
      <c r="D13" s="1730" t="s">
        <v>832</v>
      </c>
      <c r="E13" s="220" t="s">
        <v>12</v>
      </c>
      <c r="F13" s="1764" t="s">
        <v>13</v>
      </c>
      <c r="G13" s="1763" t="s">
        <v>14</v>
      </c>
      <c r="H13" s="1763" t="s">
        <v>15</v>
      </c>
      <c r="I13" s="1763" t="s">
        <v>16</v>
      </c>
      <c r="J13" s="1763" t="s">
        <v>17</v>
      </c>
      <c r="K13" s="1763" t="s">
        <v>18</v>
      </c>
      <c r="L13" s="1763" t="s">
        <v>19</v>
      </c>
      <c r="M13" s="1763" t="s">
        <v>20</v>
      </c>
    </row>
    <row r="14" spans="1:13" x14ac:dyDescent="0.25">
      <c r="A14" s="1730"/>
      <c r="B14" s="1730"/>
      <c r="C14" s="1730"/>
      <c r="D14" s="1730"/>
      <c r="E14" s="220" t="s">
        <v>21</v>
      </c>
      <c r="F14" s="1764"/>
      <c r="G14" s="1763"/>
      <c r="H14" s="1763"/>
      <c r="I14" s="1763"/>
      <c r="J14" s="1763"/>
      <c r="K14" s="1763"/>
      <c r="L14" s="1763"/>
      <c r="M14" s="1763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2" t="s">
        <v>684</v>
      </c>
      <c r="H26" s="1692"/>
      <c r="I26" s="1692"/>
      <c r="J26" s="1692"/>
      <c r="K26" s="169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07" t="s">
        <v>852</v>
      </c>
      <c r="H27" s="1707"/>
      <c r="I27" s="1707"/>
      <c r="J27" s="1707"/>
      <c r="K27" s="170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08" t="s">
        <v>853</v>
      </c>
      <c r="H28" s="1708"/>
      <c r="I28" s="1708"/>
      <c r="J28" s="1708"/>
      <c r="K28" s="1708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5" t="s">
        <v>0</v>
      </c>
      <c r="B7" s="1765"/>
      <c r="C7" s="1765"/>
      <c r="D7" s="1765"/>
      <c r="E7" s="1765"/>
      <c r="F7" s="1765"/>
      <c r="G7" s="1765"/>
      <c r="H7" s="1765"/>
      <c r="I7" s="1765"/>
      <c r="J7" s="1765"/>
      <c r="K7" s="1765"/>
      <c r="L7" s="1765"/>
      <c r="M7" s="1765"/>
      <c r="N7" s="1765"/>
    </row>
    <row r="8" spans="1:14" ht="15.75" x14ac:dyDescent="0.25">
      <c r="A8" s="1765" t="s">
        <v>1</v>
      </c>
      <c r="B8" s="1765"/>
      <c r="C8" s="1765"/>
      <c r="D8" s="1765"/>
      <c r="E8" s="1765"/>
      <c r="F8" s="1765"/>
      <c r="G8" s="1765"/>
      <c r="H8" s="1765"/>
      <c r="I8" s="1765"/>
      <c r="J8" s="1765"/>
      <c r="K8" s="1765"/>
      <c r="L8" s="1765"/>
      <c r="M8" s="1765"/>
      <c r="N8" s="1765"/>
    </row>
    <row r="9" spans="1:14" ht="15.75" x14ac:dyDescent="0.25">
      <c r="A9" s="1765" t="s">
        <v>3</v>
      </c>
      <c r="B9" s="1765"/>
      <c r="C9" s="1765"/>
      <c r="D9" s="1765"/>
      <c r="E9" s="1765"/>
      <c r="F9" s="1765"/>
      <c r="G9" s="1765"/>
      <c r="H9" s="1765"/>
      <c r="I9" s="1765"/>
      <c r="J9" s="1765"/>
      <c r="K9" s="1765"/>
      <c r="L9" s="1765"/>
      <c r="M9" s="1765"/>
      <c r="N9" s="1765"/>
    </row>
    <row r="10" spans="1:14" ht="15.75" x14ac:dyDescent="0.25">
      <c r="A10" s="1765" t="s">
        <v>866</v>
      </c>
      <c r="B10" s="1765"/>
      <c r="C10" s="1765"/>
      <c r="D10" s="1765"/>
      <c r="E10" s="1765"/>
      <c r="F10" s="1765"/>
      <c r="G10" s="1765"/>
      <c r="H10" s="1765"/>
      <c r="I10" s="1765"/>
      <c r="J10" s="1765"/>
      <c r="K10" s="1765"/>
      <c r="L10" s="1765"/>
      <c r="M10" s="1765"/>
      <c r="N10" s="1765"/>
    </row>
    <row r="11" spans="1:14" ht="15.75" x14ac:dyDescent="0.25">
      <c r="A11" s="1738" t="s">
        <v>5</v>
      </c>
      <c r="B11" s="1738"/>
      <c r="C11" s="1738"/>
      <c r="D11" s="1738"/>
      <c r="E11" s="1738"/>
      <c r="F11" s="1738"/>
      <c r="G11" s="1738"/>
      <c r="H11" s="1738"/>
      <c r="I11" s="1738"/>
      <c r="J11" s="1738"/>
      <c r="K11" s="1738"/>
      <c r="L11" s="1738"/>
      <c r="M11" s="1738"/>
      <c r="N11" s="173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30" t="s">
        <v>7</v>
      </c>
      <c r="B13" s="1730" t="s">
        <v>802</v>
      </c>
      <c r="C13" s="1728" t="s">
        <v>8</v>
      </c>
      <c r="D13" s="1728" t="s">
        <v>10</v>
      </c>
      <c r="E13" s="1728" t="s">
        <v>11</v>
      </c>
      <c r="F13" s="220" t="s">
        <v>12</v>
      </c>
      <c r="G13" s="1736" t="s">
        <v>13</v>
      </c>
      <c r="H13" s="1728" t="s">
        <v>14</v>
      </c>
      <c r="I13" s="1728" t="s">
        <v>15</v>
      </c>
      <c r="J13" s="1728" t="s">
        <v>16</v>
      </c>
      <c r="K13" s="1728" t="s">
        <v>17</v>
      </c>
      <c r="L13" s="1728" t="s">
        <v>18</v>
      </c>
      <c r="M13" s="1728" t="s">
        <v>19</v>
      </c>
      <c r="N13" s="1730" t="s">
        <v>20</v>
      </c>
    </row>
    <row r="14" spans="1:14" x14ac:dyDescent="0.25">
      <c r="A14" s="1730"/>
      <c r="B14" s="1730"/>
      <c r="C14" s="1729"/>
      <c r="D14" s="1729"/>
      <c r="E14" s="1729"/>
      <c r="F14" s="220" t="s">
        <v>21</v>
      </c>
      <c r="G14" s="1737"/>
      <c r="H14" s="1729"/>
      <c r="I14" s="1729"/>
      <c r="J14" s="1729"/>
      <c r="K14" s="1729"/>
      <c r="L14" s="1729"/>
      <c r="M14" s="1729"/>
      <c r="N14" s="173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5" t="s">
        <v>854</v>
      </c>
      <c r="I31" s="1735"/>
      <c r="J31" s="1735"/>
      <c r="K31" s="1735"/>
      <c r="L31" s="1735"/>
      <c r="M31" s="173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732" t="s">
        <v>852</v>
      </c>
      <c r="I32" s="1732"/>
      <c r="J32" s="1732"/>
      <c r="K32" s="1732"/>
      <c r="L32" s="1732"/>
      <c r="M32" s="173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734" t="s">
        <v>853</v>
      </c>
      <c r="I33" s="1734"/>
      <c r="J33" s="1734"/>
      <c r="K33" s="1734"/>
      <c r="L33" s="1734"/>
      <c r="M33" s="173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3"/>
      <c r="J34" s="1733"/>
      <c r="K34" s="1733"/>
      <c r="L34" s="1733"/>
      <c r="M34" s="1733"/>
      <c r="N34" s="1733"/>
    </row>
    <row r="35" spans="1:14" ht="15.75" x14ac:dyDescent="0.25">
      <c r="A35" s="267"/>
      <c r="B35" s="267"/>
      <c r="C35" s="268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3"/>
      <c r="H36" s="1733"/>
      <c r="I36" s="1733"/>
      <c r="J36" s="1733"/>
      <c r="K36" s="173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08"/>
      <c r="H37" s="1708"/>
      <c r="I37" s="1708"/>
      <c r="J37" s="1708"/>
      <c r="K37" s="170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4"/>
      <c r="B41" s="1624"/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</row>
    <row r="42" spans="1:14" x14ac:dyDescent="0.25">
      <c r="A42" s="1625"/>
      <c r="B42" s="1625"/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</row>
    <row r="7" spans="1:14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</row>
    <row r="8" spans="1:14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</row>
    <row r="9" spans="1:14" x14ac:dyDescent="0.25">
      <c r="A9" s="1617" t="s">
        <v>873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  <c r="N9" s="1617"/>
    </row>
    <row r="10" spans="1:14" x14ac:dyDescent="0.25">
      <c r="A10" s="1731" t="s">
        <v>870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  <c r="N10" s="1731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730" t="s">
        <v>7</v>
      </c>
      <c r="B12" s="1730" t="s">
        <v>802</v>
      </c>
      <c r="C12" s="1730" t="s">
        <v>9</v>
      </c>
      <c r="D12" s="1730" t="s">
        <v>832</v>
      </c>
      <c r="E12" s="1730" t="s">
        <v>867</v>
      </c>
      <c r="F12" s="390" t="s">
        <v>12</v>
      </c>
      <c r="G12" s="1766" t="s">
        <v>13</v>
      </c>
      <c r="H12" s="1767" t="s">
        <v>14</v>
      </c>
      <c r="I12" s="1767" t="s">
        <v>15</v>
      </c>
      <c r="J12" s="1767" t="s">
        <v>16</v>
      </c>
      <c r="K12" s="1767" t="s">
        <v>17</v>
      </c>
      <c r="L12" s="1767" t="s">
        <v>18</v>
      </c>
      <c r="M12" s="1767" t="s">
        <v>19</v>
      </c>
      <c r="N12" s="1767" t="s">
        <v>20</v>
      </c>
    </row>
    <row r="13" spans="1:14" ht="16.5" customHeight="1" x14ac:dyDescent="0.25">
      <c r="A13" s="1730"/>
      <c r="B13" s="1730"/>
      <c r="C13" s="1730"/>
      <c r="D13" s="1730"/>
      <c r="E13" s="1730"/>
      <c r="F13" s="390" t="s">
        <v>21</v>
      </c>
      <c r="G13" s="1766"/>
      <c r="H13" s="1767"/>
      <c r="I13" s="1767"/>
      <c r="J13" s="1767"/>
      <c r="K13" s="1767"/>
      <c r="L13" s="1767"/>
      <c r="M13" s="1767"/>
      <c r="N13" s="1767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735" t="s">
        <v>854</v>
      </c>
      <c r="I21" s="1735"/>
      <c r="J21" s="1735"/>
      <c r="K21" s="1735"/>
      <c r="L21" s="1735"/>
      <c r="M21" s="1735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732" t="s">
        <v>852</v>
      </c>
      <c r="I22" s="1732"/>
      <c r="J22" s="1732"/>
      <c r="K22" s="1732"/>
      <c r="L22" s="1732"/>
      <c r="M22" s="1732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734" t="s">
        <v>853</v>
      </c>
      <c r="I23" s="1734"/>
      <c r="J23" s="1734"/>
      <c r="K23" s="1734"/>
      <c r="L23" s="1734"/>
      <c r="M23" s="1734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733"/>
      <c r="J24" s="1733"/>
      <c r="K24" s="1733"/>
      <c r="L24" s="1733"/>
      <c r="M24" s="1733"/>
      <c r="N24" s="1733"/>
    </row>
    <row r="25" spans="1:14" ht="15.75" x14ac:dyDescent="0.25">
      <c r="A25" s="267"/>
      <c r="B25" s="267"/>
      <c r="C25" s="268"/>
      <c r="D25" s="268"/>
      <c r="E25" s="268"/>
      <c r="F25" s="269"/>
      <c r="G25" s="1738"/>
      <c r="H25" s="1738"/>
      <c r="I25" s="1738"/>
      <c r="J25" s="1738"/>
      <c r="K25" s="1738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656" t="s">
        <v>0</v>
      </c>
      <c r="B8" s="1656"/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</row>
    <row r="9" spans="1:13" x14ac:dyDescent="0.25">
      <c r="A9" s="1656" t="s">
        <v>3</v>
      </c>
      <c r="B9" s="1656"/>
      <c r="C9" s="1656"/>
      <c r="D9" s="1656"/>
      <c r="E9" s="1656"/>
      <c r="F9" s="1656"/>
      <c r="G9" s="1656"/>
      <c r="H9" s="1656"/>
      <c r="I9" s="1656"/>
      <c r="J9" s="1656"/>
      <c r="K9" s="1656"/>
      <c r="L9" s="1656"/>
      <c r="M9" s="1656"/>
    </row>
    <row r="10" spans="1:13" x14ac:dyDescent="0.25">
      <c r="A10" s="1656" t="s">
        <v>876</v>
      </c>
      <c r="B10" s="1656"/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</row>
    <row r="11" spans="1:13" x14ac:dyDescent="0.25">
      <c r="A11" s="1657" t="s">
        <v>404</v>
      </c>
      <c r="B11" s="1657"/>
      <c r="C11" s="1657"/>
      <c r="D11" s="1657"/>
      <c r="E11" s="1657"/>
      <c r="F11" s="1657"/>
      <c r="G11" s="1657"/>
      <c r="H11" s="1657"/>
      <c r="I11" s="1657"/>
      <c r="J11" s="1657"/>
      <c r="K11" s="1657"/>
      <c r="L11" s="1657"/>
      <c r="M11" s="165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6" t="s">
        <v>7</v>
      </c>
      <c r="B14" s="1776" t="s">
        <v>802</v>
      </c>
      <c r="C14" s="1778" t="s">
        <v>9</v>
      </c>
      <c r="D14" s="1780" t="s">
        <v>11</v>
      </c>
      <c r="E14" s="451" t="s">
        <v>12</v>
      </c>
      <c r="F14" s="1782" t="s">
        <v>13</v>
      </c>
      <c r="G14" s="1786" t="s">
        <v>14</v>
      </c>
      <c r="H14" s="1786" t="s">
        <v>15</v>
      </c>
      <c r="I14" s="1786" t="s">
        <v>16</v>
      </c>
      <c r="J14" s="1786" t="s">
        <v>17</v>
      </c>
      <c r="K14" s="1786" t="s">
        <v>18</v>
      </c>
      <c r="L14" s="1784" t="s">
        <v>19</v>
      </c>
      <c r="M14" s="1769" t="s">
        <v>20</v>
      </c>
    </row>
    <row r="15" spans="1:13" ht="14.25" customHeight="1" thickBot="1" x14ac:dyDescent="0.3">
      <c r="A15" s="1777"/>
      <c r="B15" s="1777"/>
      <c r="C15" s="1779"/>
      <c r="D15" s="1781"/>
      <c r="E15" s="452" t="s">
        <v>21</v>
      </c>
      <c r="F15" s="1783"/>
      <c r="G15" s="1787"/>
      <c r="H15" s="1787"/>
      <c r="I15" s="1787"/>
      <c r="J15" s="1787"/>
      <c r="K15" s="1787"/>
      <c r="L15" s="1785"/>
      <c r="M15" s="1770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773"/>
      <c r="K181" s="1773"/>
      <c r="L181" s="1773"/>
      <c r="M181" s="480"/>
    </row>
    <row r="182" spans="1:13" ht="15" customHeight="1" x14ac:dyDescent="0.25">
      <c r="A182" s="1772" t="s">
        <v>892</v>
      </c>
      <c r="B182" s="1772"/>
      <c r="C182" s="482"/>
      <c r="D182" s="1772"/>
      <c r="E182" s="1772"/>
      <c r="F182" s="1772"/>
      <c r="G182" s="467"/>
      <c r="H182" s="568"/>
      <c r="I182" s="1774"/>
      <c r="J182" s="1774"/>
      <c r="K182" s="1774"/>
      <c r="L182" s="1774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772"/>
      <c r="J183" s="1772"/>
      <c r="K183" s="1772"/>
      <c r="L183" s="1772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775" t="s">
        <v>684</v>
      </c>
      <c r="H185" s="1775"/>
      <c r="I185" s="1775"/>
      <c r="J185" s="1775"/>
      <c r="K185" s="1775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768" t="s">
        <v>895</v>
      </c>
      <c r="H186" s="1768"/>
      <c r="I186" s="1768"/>
      <c r="J186" s="1768"/>
      <c r="K186" s="1768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771" t="s">
        <v>896</v>
      </c>
      <c r="H187" s="1771"/>
      <c r="I187" s="1771"/>
      <c r="J187" s="1771"/>
      <c r="K187" s="1771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656"/>
      <c r="C190" s="1656"/>
      <c r="D190" s="1656"/>
      <c r="E190" s="1656"/>
      <c r="F190" s="1656"/>
      <c r="G190" s="1656"/>
      <c r="H190" s="1656"/>
      <c r="I190" s="1656"/>
      <c r="J190" s="1656"/>
      <c r="K190" s="1656"/>
      <c r="L190" s="1656"/>
      <c r="M190" s="385"/>
    </row>
    <row r="193" spans="2:12" x14ac:dyDescent="0.25">
      <c r="B193" s="1657"/>
      <c r="C193" s="1657"/>
      <c r="D193" s="1657"/>
      <c r="E193" s="1657"/>
      <c r="F193" s="1657"/>
      <c r="G193" s="1657"/>
      <c r="H193" s="1657"/>
      <c r="I193" s="1657"/>
      <c r="J193" s="1657"/>
      <c r="K193" s="1657"/>
      <c r="L193" s="1657"/>
    </row>
    <row r="194" spans="2:12" s="213" customFormat="1" x14ac:dyDescent="0.25">
      <c r="B194" s="1625"/>
      <c r="C194" s="1625"/>
      <c r="D194" s="1625"/>
      <c r="E194" s="1625"/>
      <c r="F194" s="1625"/>
      <c r="G194" s="1625"/>
      <c r="H194" s="1625"/>
      <c r="I194" s="1625"/>
      <c r="J194" s="1625"/>
      <c r="K194" s="1625"/>
      <c r="L194" s="1625"/>
    </row>
    <row r="195" spans="2:12" s="213" customFormat="1" x14ac:dyDescent="0.25">
      <c r="B195" s="1624"/>
      <c r="C195" s="1624"/>
      <c r="D195" s="1624"/>
      <c r="E195" s="1624"/>
      <c r="F195" s="1624"/>
      <c r="G195" s="1624"/>
      <c r="H195" s="1624"/>
      <c r="I195" s="1624"/>
      <c r="J195" s="1624"/>
      <c r="K195" s="1624"/>
      <c r="L195" s="1624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56" t="s">
        <v>0</v>
      </c>
      <c r="B7" s="1656"/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  <c r="O7" s="1656"/>
    </row>
    <row r="8" spans="1:15" x14ac:dyDescent="0.25">
      <c r="A8" s="1656" t="s">
        <v>1</v>
      </c>
      <c r="B8" s="1656"/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  <c r="O8" s="1656"/>
    </row>
    <row r="9" spans="1:15" x14ac:dyDescent="0.25">
      <c r="A9" s="1656" t="s">
        <v>3</v>
      </c>
      <c r="B9" s="1656"/>
      <c r="C9" s="1656"/>
      <c r="D9" s="1656"/>
      <c r="E9" s="1656"/>
      <c r="F9" s="1656"/>
      <c r="G9" s="1656"/>
      <c r="H9" s="1656"/>
      <c r="I9" s="1656"/>
      <c r="J9" s="1656"/>
      <c r="K9" s="1656"/>
      <c r="L9" s="1656"/>
      <c r="M9" s="1656"/>
      <c r="N9" s="1656"/>
      <c r="O9" s="1656"/>
    </row>
    <row r="10" spans="1:15" x14ac:dyDescent="0.25">
      <c r="A10" s="1656" t="s">
        <v>881</v>
      </c>
      <c r="B10" s="1656"/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  <c r="O10" s="1656"/>
    </row>
    <row r="11" spans="1:15" x14ac:dyDescent="0.25">
      <c r="A11" s="1788" t="s">
        <v>406</v>
      </c>
      <c r="B11" s="1788"/>
      <c r="C11" s="1788"/>
      <c r="D11" s="1788"/>
      <c r="E11" s="1788"/>
      <c r="F11" s="1788"/>
      <c r="G11" s="1788"/>
      <c r="H11" s="1788"/>
      <c r="I11" s="1788"/>
      <c r="J11" s="1788"/>
      <c r="K11" s="1788"/>
      <c r="L11" s="1788"/>
      <c r="M11" s="1788"/>
      <c r="N11" s="1788"/>
      <c r="O11" s="178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89" t="s">
        <v>7</v>
      </c>
      <c r="B13" s="1789" t="s">
        <v>802</v>
      </c>
      <c r="C13" s="1790" t="s">
        <v>9</v>
      </c>
      <c r="D13" s="1789" t="s">
        <v>832</v>
      </c>
      <c r="E13" s="1789" t="s">
        <v>834</v>
      </c>
      <c r="F13" s="1789" t="s">
        <v>835</v>
      </c>
      <c r="G13" s="476" t="s">
        <v>12</v>
      </c>
      <c r="H13" s="1793" t="s">
        <v>13</v>
      </c>
      <c r="I13" s="1791" t="s">
        <v>14</v>
      </c>
      <c r="J13" s="1791" t="s">
        <v>15</v>
      </c>
      <c r="K13" s="1791" t="s">
        <v>16</v>
      </c>
      <c r="L13" s="1791" t="s">
        <v>17</v>
      </c>
      <c r="M13" s="1791" t="s">
        <v>18</v>
      </c>
      <c r="N13" s="1791" t="s">
        <v>19</v>
      </c>
      <c r="O13" s="1791" t="s">
        <v>20</v>
      </c>
    </row>
    <row r="14" spans="1:15" x14ac:dyDescent="0.25">
      <c r="A14" s="1789"/>
      <c r="B14" s="1789"/>
      <c r="C14" s="1790"/>
      <c r="D14" s="1789"/>
      <c r="E14" s="1789"/>
      <c r="F14" s="1789"/>
      <c r="G14" s="476" t="s">
        <v>21</v>
      </c>
      <c r="H14" s="1793"/>
      <c r="I14" s="1791"/>
      <c r="J14" s="1791"/>
      <c r="K14" s="1791"/>
      <c r="L14" s="1791"/>
      <c r="M14" s="1791"/>
      <c r="N14" s="1791"/>
      <c r="O14" s="1791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792" t="s">
        <v>684</v>
      </c>
      <c r="H63" s="1792"/>
      <c r="I63" s="1792"/>
      <c r="J63" s="1792"/>
      <c r="K63" s="1792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794" t="s">
        <v>852</v>
      </c>
      <c r="H64" s="1794"/>
      <c r="I64" s="1794"/>
      <c r="J64" s="1794"/>
      <c r="K64" s="1794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795" t="s">
        <v>853</v>
      </c>
      <c r="H65" s="1795"/>
      <c r="I65" s="1795"/>
      <c r="J65" s="1795"/>
      <c r="K65" s="1795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56" t="s">
        <v>0</v>
      </c>
      <c r="B7" s="1656"/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  <c r="O7" s="1656"/>
    </row>
    <row r="8" spans="1:15" x14ac:dyDescent="0.25">
      <c r="A8" s="1656" t="s">
        <v>1</v>
      </c>
      <c r="B8" s="1656"/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  <c r="O8" s="1656"/>
    </row>
    <row r="9" spans="1:15" x14ac:dyDescent="0.25">
      <c r="A9" s="1656" t="s">
        <v>3</v>
      </c>
      <c r="B9" s="1656"/>
      <c r="C9" s="1656"/>
      <c r="D9" s="1656"/>
      <c r="E9" s="1656"/>
      <c r="F9" s="1656"/>
      <c r="G9" s="1656"/>
      <c r="H9" s="1656"/>
      <c r="I9" s="1656"/>
      <c r="J9" s="1656"/>
      <c r="K9" s="1656"/>
      <c r="L9" s="1656"/>
      <c r="M9" s="1656"/>
      <c r="N9" s="1656"/>
      <c r="O9" s="1656"/>
    </row>
    <row r="10" spans="1:15" x14ac:dyDescent="0.25">
      <c r="A10" s="1656" t="s">
        <v>879</v>
      </c>
      <c r="B10" s="1656"/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  <c r="O10" s="1656"/>
    </row>
    <row r="11" spans="1:15" x14ac:dyDescent="0.25">
      <c r="A11" s="1788" t="s">
        <v>441</v>
      </c>
      <c r="B11" s="1788"/>
      <c r="C11" s="1788"/>
      <c r="D11" s="1788"/>
      <c r="E11" s="1788"/>
      <c r="F11" s="1788"/>
      <c r="G11" s="1788"/>
      <c r="H11" s="1788"/>
      <c r="I11" s="1788"/>
      <c r="J11" s="1788"/>
      <c r="K11" s="1788"/>
      <c r="L11" s="1788"/>
      <c r="M11" s="1788"/>
      <c r="N11" s="1788"/>
      <c r="O11" s="178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89" t="s">
        <v>7</v>
      </c>
      <c r="B13" s="1789" t="s">
        <v>802</v>
      </c>
      <c r="C13" s="1790" t="s">
        <v>9</v>
      </c>
      <c r="D13" s="1789" t="s">
        <v>832</v>
      </c>
      <c r="E13" s="1789" t="s">
        <v>834</v>
      </c>
      <c r="F13" s="1789" t="s">
        <v>835</v>
      </c>
      <c r="G13" s="476" t="s">
        <v>12</v>
      </c>
      <c r="H13" s="1793" t="s">
        <v>13</v>
      </c>
      <c r="I13" s="1791" t="s">
        <v>14</v>
      </c>
      <c r="J13" s="1791" t="s">
        <v>15</v>
      </c>
      <c r="K13" s="1791" t="s">
        <v>16</v>
      </c>
      <c r="L13" s="1791" t="s">
        <v>17</v>
      </c>
      <c r="M13" s="1791" t="s">
        <v>18</v>
      </c>
      <c r="N13" s="1791" t="s">
        <v>19</v>
      </c>
      <c r="O13" s="1791" t="s">
        <v>20</v>
      </c>
    </row>
    <row r="14" spans="1:15" x14ac:dyDescent="0.25">
      <c r="A14" s="1789"/>
      <c r="B14" s="1789"/>
      <c r="C14" s="1790"/>
      <c r="D14" s="1789"/>
      <c r="E14" s="1789"/>
      <c r="F14" s="1789"/>
      <c r="G14" s="476" t="s">
        <v>21</v>
      </c>
      <c r="H14" s="1793"/>
      <c r="I14" s="1791"/>
      <c r="J14" s="1791"/>
      <c r="K14" s="1791"/>
      <c r="L14" s="1791"/>
      <c r="M14" s="1791"/>
      <c r="N14" s="1791"/>
      <c r="O14" s="1791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792" t="s">
        <v>684</v>
      </c>
      <c r="H46" s="1792"/>
      <c r="I46" s="1792"/>
      <c r="J46" s="1792"/>
      <c r="K46" s="1792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794" t="s">
        <v>887</v>
      </c>
      <c r="H47" s="1794"/>
      <c r="I47" s="1794"/>
      <c r="J47" s="1794"/>
      <c r="K47" s="1794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795" t="s">
        <v>853</v>
      </c>
      <c r="H48" s="1795"/>
      <c r="I48" s="1795"/>
      <c r="J48" s="1795"/>
      <c r="K48" s="1795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880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38" t="s">
        <v>412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96" t="s">
        <v>7</v>
      </c>
      <c r="B13" s="1796" t="s">
        <v>802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796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24" t="s">
        <v>684</v>
      </c>
      <c r="H26" s="1624"/>
      <c r="I26" s="1624"/>
      <c r="J26" s="1624"/>
      <c r="K26" s="162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99" t="s">
        <v>852</v>
      </c>
      <c r="H27" s="1799"/>
      <c r="I27" s="1799"/>
      <c r="J27" s="1799"/>
      <c r="K27" s="1799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800" t="s">
        <v>853</v>
      </c>
      <c r="H28" s="1800"/>
      <c r="I28" s="1800"/>
      <c r="J28" s="1800"/>
      <c r="K28" s="1800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5" t="s">
        <v>0</v>
      </c>
      <c r="B7" s="1765"/>
      <c r="C7" s="1765"/>
      <c r="D7" s="1765"/>
      <c r="E7" s="1765"/>
      <c r="F7" s="1765"/>
      <c r="G7" s="1765"/>
      <c r="H7" s="1765"/>
      <c r="I7" s="1765"/>
      <c r="J7" s="1765"/>
      <c r="K7" s="1765"/>
      <c r="L7" s="1765"/>
      <c r="M7" s="1765"/>
      <c r="N7" s="1765"/>
    </row>
    <row r="8" spans="1:14" ht="15.75" x14ac:dyDescent="0.25">
      <c r="A8" s="1765" t="s">
        <v>1</v>
      </c>
      <c r="B8" s="1765"/>
      <c r="C8" s="1765"/>
      <c r="D8" s="1765"/>
      <c r="E8" s="1765"/>
      <c r="F8" s="1765"/>
      <c r="G8" s="1765"/>
      <c r="H8" s="1765"/>
      <c r="I8" s="1765"/>
      <c r="J8" s="1765"/>
      <c r="K8" s="1765"/>
      <c r="L8" s="1765"/>
      <c r="M8" s="1765"/>
      <c r="N8" s="1765"/>
    </row>
    <row r="9" spans="1:14" ht="15.75" x14ac:dyDescent="0.25">
      <c r="A9" s="1765" t="s">
        <v>3</v>
      </c>
      <c r="B9" s="1765"/>
      <c r="C9" s="1765"/>
      <c r="D9" s="1765"/>
      <c r="E9" s="1765"/>
      <c r="F9" s="1765"/>
      <c r="G9" s="1765"/>
      <c r="H9" s="1765"/>
      <c r="I9" s="1765"/>
      <c r="J9" s="1765"/>
      <c r="K9" s="1765"/>
      <c r="L9" s="1765"/>
      <c r="M9" s="1765"/>
      <c r="N9" s="1765"/>
    </row>
    <row r="10" spans="1:14" ht="15.75" x14ac:dyDescent="0.25">
      <c r="A10" s="1765" t="s">
        <v>882</v>
      </c>
      <c r="B10" s="1765"/>
      <c r="C10" s="1765"/>
      <c r="D10" s="1765"/>
      <c r="E10" s="1765"/>
      <c r="F10" s="1765"/>
      <c r="G10" s="1765"/>
      <c r="H10" s="1765"/>
      <c r="I10" s="1765"/>
      <c r="J10" s="1765"/>
      <c r="K10" s="1765"/>
      <c r="L10" s="1765"/>
      <c r="M10" s="1765"/>
      <c r="N10" s="1765"/>
    </row>
    <row r="11" spans="1:14" ht="15.75" x14ac:dyDescent="0.25">
      <c r="A11" s="1738" t="s">
        <v>5</v>
      </c>
      <c r="B11" s="1738"/>
      <c r="C11" s="1738"/>
      <c r="D11" s="1738"/>
      <c r="E11" s="1738"/>
      <c r="F11" s="1738"/>
      <c r="G11" s="1738"/>
      <c r="H11" s="1738"/>
      <c r="I11" s="1738"/>
      <c r="J11" s="1738"/>
      <c r="K11" s="1738"/>
      <c r="L11" s="1738"/>
      <c r="M11" s="1738"/>
      <c r="N11" s="173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89" t="s">
        <v>7</v>
      </c>
      <c r="B13" s="1789" t="s">
        <v>802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789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5" t="s">
        <v>854</v>
      </c>
      <c r="I31" s="1735"/>
      <c r="J31" s="1735"/>
      <c r="K31" s="1735"/>
      <c r="L31" s="1735"/>
      <c r="M31" s="173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732" t="s">
        <v>852</v>
      </c>
      <c r="I32" s="1732"/>
      <c r="J32" s="1732"/>
      <c r="K32" s="1732"/>
      <c r="L32" s="1732"/>
      <c r="M32" s="173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734" t="s">
        <v>853</v>
      </c>
      <c r="I33" s="1734"/>
      <c r="J33" s="1734"/>
      <c r="K33" s="1734"/>
      <c r="L33" s="1734"/>
      <c r="M33" s="173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3"/>
      <c r="J34" s="1733"/>
      <c r="K34" s="1733"/>
      <c r="L34" s="1733"/>
      <c r="M34" s="1733"/>
      <c r="N34" s="1733"/>
    </row>
    <row r="35" spans="1:14" ht="15.75" x14ac:dyDescent="0.25">
      <c r="A35" s="267"/>
      <c r="B35" s="267"/>
      <c r="C35" s="268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3"/>
      <c r="H36" s="1733"/>
      <c r="I36" s="1733"/>
      <c r="J36" s="1733"/>
      <c r="K36" s="173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08"/>
      <c r="H37" s="1708"/>
      <c r="I37" s="1708"/>
      <c r="J37" s="1708"/>
      <c r="K37" s="170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4"/>
      <c r="B41" s="1624"/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</row>
    <row r="42" spans="1:14" x14ac:dyDescent="0.25">
      <c r="A42" s="1625"/>
      <c r="B42" s="1625"/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891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870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5" t="s">
        <v>854</v>
      </c>
      <c r="H21" s="1805"/>
      <c r="I21" s="1805"/>
      <c r="J21" s="1805"/>
      <c r="K21" s="1805"/>
      <c r="L21" s="180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732" t="s">
        <v>852</v>
      </c>
      <c r="H22" s="1732"/>
      <c r="I22" s="1732"/>
      <c r="J22" s="1732"/>
      <c r="K22" s="1732"/>
      <c r="L22" s="173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734" t="s">
        <v>853</v>
      </c>
      <c r="H23" s="1734"/>
      <c r="I23" s="1734"/>
      <c r="J23" s="1734"/>
      <c r="K23" s="1734"/>
      <c r="L23" s="173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6"/>
      <c r="I24" s="1806"/>
      <c r="J24" s="1806"/>
      <c r="K24" s="1806"/>
      <c r="L24" s="1806"/>
      <c r="M24" s="1806"/>
    </row>
    <row r="25" spans="1:13" x14ac:dyDescent="0.25">
      <c r="A25" s="531"/>
      <c r="B25" s="531"/>
      <c r="C25" s="259"/>
      <c r="D25" s="259"/>
      <c r="E25" s="269"/>
      <c r="F25" s="1734"/>
      <c r="G25" s="1734"/>
      <c r="H25" s="1734"/>
      <c r="I25" s="1734"/>
      <c r="J25" s="1734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885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7" t="s">
        <v>854</v>
      </c>
      <c r="H21" s="1807"/>
      <c r="I21" s="1807"/>
      <c r="J21" s="1807"/>
      <c r="K21" s="1807"/>
      <c r="L21" s="180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8" t="s">
        <v>852</v>
      </c>
      <c r="H22" s="1808"/>
      <c r="I22" s="1808"/>
      <c r="J22" s="1808"/>
      <c r="K22" s="1808"/>
      <c r="L22" s="180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09" t="s">
        <v>853</v>
      </c>
      <c r="H23" s="1809"/>
      <c r="I23" s="1809"/>
      <c r="J23" s="1809"/>
      <c r="K23" s="1809"/>
      <c r="L23" s="180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0"/>
      <c r="I24" s="1810"/>
      <c r="J24" s="1810"/>
      <c r="K24" s="1810"/>
      <c r="L24" s="1810"/>
      <c r="M24" s="1810"/>
    </row>
    <row r="25" spans="1:13" ht="15.75" x14ac:dyDescent="0.25">
      <c r="A25" s="267"/>
      <c r="B25" s="267"/>
      <c r="C25" s="268"/>
      <c r="D25" s="268"/>
      <c r="E25" s="269"/>
      <c r="F25" s="1738"/>
      <c r="G25" s="1738"/>
      <c r="H25" s="1738"/>
      <c r="I25" s="1738"/>
      <c r="J25" s="173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56" t="s">
        <v>0</v>
      </c>
      <c r="B8" s="1656"/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</row>
    <row r="9" spans="1:13" x14ac:dyDescent="0.25">
      <c r="A9" s="1656" t="s">
        <v>3</v>
      </c>
      <c r="B9" s="1656"/>
      <c r="C9" s="1656"/>
      <c r="D9" s="1656"/>
      <c r="E9" s="1656"/>
      <c r="F9" s="1656"/>
      <c r="G9" s="1656"/>
      <c r="H9" s="1656"/>
      <c r="I9" s="1656"/>
      <c r="J9" s="1656"/>
      <c r="K9" s="1656"/>
      <c r="L9" s="1656"/>
      <c r="M9" s="1656"/>
    </row>
    <row r="10" spans="1:13" x14ac:dyDescent="0.25">
      <c r="A10" s="1656" t="s">
        <v>900</v>
      </c>
      <c r="B10" s="1656"/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</row>
    <row r="11" spans="1:13" x14ac:dyDescent="0.25">
      <c r="A11" s="1657" t="s">
        <v>404</v>
      </c>
      <c r="B11" s="1657"/>
      <c r="C11" s="1657"/>
      <c r="D11" s="1657"/>
      <c r="E11" s="1657"/>
      <c r="F11" s="1657"/>
      <c r="G11" s="1657"/>
      <c r="H11" s="1657"/>
      <c r="I11" s="1657"/>
      <c r="J11" s="1657"/>
      <c r="K11" s="1657"/>
      <c r="L11" s="1657"/>
      <c r="M11" s="165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6" t="s">
        <v>7</v>
      </c>
      <c r="B14" s="1776" t="s">
        <v>802</v>
      </c>
      <c r="C14" s="1778" t="s">
        <v>9</v>
      </c>
      <c r="D14" s="1780" t="s">
        <v>11</v>
      </c>
      <c r="E14" s="451" t="s">
        <v>12</v>
      </c>
      <c r="F14" s="1782" t="s">
        <v>13</v>
      </c>
      <c r="G14" s="1786" t="s">
        <v>14</v>
      </c>
      <c r="H14" s="1786" t="s">
        <v>15</v>
      </c>
      <c r="I14" s="1786" t="s">
        <v>16</v>
      </c>
      <c r="J14" s="1786" t="s">
        <v>17</v>
      </c>
      <c r="K14" s="1786" t="s">
        <v>18</v>
      </c>
      <c r="L14" s="1784" t="s">
        <v>19</v>
      </c>
      <c r="M14" s="1769" t="s">
        <v>20</v>
      </c>
    </row>
    <row r="15" spans="1:13" ht="14.25" customHeight="1" thickBot="1" x14ac:dyDescent="0.3">
      <c r="A15" s="1777"/>
      <c r="B15" s="1777"/>
      <c r="C15" s="1779"/>
      <c r="D15" s="1781"/>
      <c r="E15" s="452" t="s">
        <v>21</v>
      </c>
      <c r="F15" s="1783"/>
      <c r="G15" s="1787"/>
      <c r="H15" s="1787"/>
      <c r="I15" s="1787"/>
      <c r="J15" s="1787"/>
      <c r="K15" s="1787"/>
      <c r="L15" s="1785"/>
      <c r="M15" s="1770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773"/>
      <c r="K180" s="1773"/>
      <c r="L180" s="1773"/>
      <c r="M180" s="480"/>
    </row>
    <row r="181" spans="1:13" ht="15" customHeight="1" x14ac:dyDescent="0.25">
      <c r="A181" s="1772" t="s">
        <v>892</v>
      </c>
      <c r="B181" s="1772"/>
      <c r="C181" s="482"/>
      <c r="D181" s="1772"/>
      <c r="E181" s="1772"/>
      <c r="F181" s="1772"/>
      <c r="G181" s="467"/>
      <c r="H181" s="568"/>
      <c r="I181" s="1774"/>
      <c r="J181" s="1774"/>
      <c r="K181" s="1774"/>
      <c r="L181" s="1774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772"/>
      <c r="J182" s="1772"/>
      <c r="K182" s="1772"/>
      <c r="L182" s="1772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775" t="s">
        <v>684</v>
      </c>
      <c r="H184" s="1775"/>
      <c r="I184" s="1775"/>
      <c r="J184" s="1775"/>
      <c r="K184" s="1775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768" t="s">
        <v>895</v>
      </c>
      <c r="H185" s="1768"/>
      <c r="I185" s="1768"/>
      <c r="J185" s="1768"/>
      <c r="K185" s="1768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771" t="s">
        <v>896</v>
      </c>
      <c r="H186" s="1771"/>
      <c r="I186" s="1771"/>
      <c r="J186" s="1771"/>
      <c r="K186" s="1771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656"/>
      <c r="C189" s="1656"/>
      <c r="D189" s="1656"/>
      <c r="E189" s="1656"/>
      <c r="F189" s="1656"/>
      <c r="G189" s="1656"/>
      <c r="H189" s="1656"/>
      <c r="I189" s="1656"/>
      <c r="J189" s="1656"/>
      <c r="K189" s="1656"/>
      <c r="L189" s="1656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657"/>
      <c r="C192" s="1657"/>
      <c r="D192" s="1657"/>
      <c r="E192" s="1657"/>
      <c r="F192" s="1657"/>
      <c r="G192" s="1657"/>
      <c r="H192" s="1657"/>
      <c r="I192" s="1657"/>
      <c r="J192" s="1657"/>
      <c r="K192" s="1657"/>
      <c r="L192" s="1657"/>
      <c r="M192" s="385"/>
    </row>
    <row r="193" spans="2:12" s="213" customFormat="1" x14ac:dyDescent="0.25">
      <c r="B193" s="1625"/>
      <c r="C193" s="1625"/>
      <c r="D193" s="1625"/>
      <c r="E193" s="1625"/>
      <c r="F193" s="1625"/>
      <c r="G193" s="1625"/>
      <c r="H193" s="1625"/>
      <c r="I193" s="1625"/>
      <c r="J193" s="1625"/>
      <c r="K193" s="1625"/>
      <c r="L193" s="1625"/>
    </row>
    <row r="194" spans="2:12" s="213" customFormat="1" x14ac:dyDescent="0.25">
      <c r="B194" s="1624"/>
      <c r="C194" s="1624"/>
      <c r="D194" s="1624"/>
      <c r="E194" s="1624"/>
      <c r="F194" s="1624"/>
      <c r="G194" s="1624"/>
      <c r="H194" s="1624"/>
      <c r="I194" s="1624"/>
      <c r="J194" s="1624"/>
      <c r="K194" s="1624"/>
      <c r="L194" s="1624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56" t="s">
        <v>0</v>
      </c>
      <c r="B7" s="1656"/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  <c r="O7" s="1656"/>
    </row>
    <row r="8" spans="1:15" x14ac:dyDescent="0.25">
      <c r="A8" s="1656" t="s">
        <v>1</v>
      </c>
      <c r="B8" s="1656"/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  <c r="O8" s="1656"/>
    </row>
    <row r="9" spans="1:15" x14ac:dyDescent="0.25">
      <c r="A9" s="1656" t="s">
        <v>3</v>
      </c>
      <c r="B9" s="1656"/>
      <c r="C9" s="1656"/>
      <c r="D9" s="1656"/>
      <c r="E9" s="1656"/>
      <c r="F9" s="1656"/>
      <c r="G9" s="1656"/>
      <c r="H9" s="1656"/>
      <c r="I9" s="1656"/>
      <c r="J9" s="1656"/>
      <c r="K9" s="1656"/>
      <c r="L9" s="1656"/>
      <c r="M9" s="1656"/>
      <c r="N9" s="1656"/>
      <c r="O9" s="1656"/>
    </row>
    <row r="10" spans="1:15" x14ac:dyDescent="0.25">
      <c r="A10" s="1656" t="s">
        <v>901</v>
      </c>
      <c r="B10" s="1656"/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  <c r="O10" s="1656"/>
    </row>
    <row r="11" spans="1:15" x14ac:dyDescent="0.25">
      <c r="A11" s="1788" t="s">
        <v>406</v>
      </c>
      <c r="B11" s="1788"/>
      <c r="C11" s="1788"/>
      <c r="D11" s="1788"/>
      <c r="E11" s="1788"/>
      <c r="F11" s="1788"/>
      <c r="G11" s="1788"/>
      <c r="H11" s="1788"/>
      <c r="I11" s="1788"/>
      <c r="J11" s="1788"/>
      <c r="K11" s="1788"/>
      <c r="L11" s="1788"/>
      <c r="M11" s="1788"/>
      <c r="N11" s="1788"/>
      <c r="O11" s="178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6" t="s">
        <v>7</v>
      </c>
      <c r="B13" s="1796" t="s">
        <v>802</v>
      </c>
      <c r="C13" s="1811" t="s">
        <v>9</v>
      </c>
      <c r="D13" s="1796" t="s">
        <v>832</v>
      </c>
      <c r="E13" s="1796" t="s">
        <v>834</v>
      </c>
      <c r="F13" s="1796" t="s">
        <v>835</v>
      </c>
      <c r="G13" s="421" t="s">
        <v>12</v>
      </c>
      <c r="H13" s="1797" t="s">
        <v>13</v>
      </c>
      <c r="I13" s="1798" t="s">
        <v>14</v>
      </c>
      <c r="J13" s="1798" t="s">
        <v>15</v>
      </c>
      <c r="K13" s="1798" t="s">
        <v>16</v>
      </c>
      <c r="L13" s="1798" t="s">
        <v>17</v>
      </c>
      <c r="M13" s="1798" t="s">
        <v>18</v>
      </c>
      <c r="N13" s="1798" t="s">
        <v>19</v>
      </c>
      <c r="O13" s="1798" t="s">
        <v>20</v>
      </c>
    </row>
    <row r="14" spans="1:15" x14ac:dyDescent="0.25">
      <c r="A14" s="1796"/>
      <c r="B14" s="1796"/>
      <c r="C14" s="1811"/>
      <c r="D14" s="1796"/>
      <c r="E14" s="1796"/>
      <c r="F14" s="1796"/>
      <c r="G14" s="421" t="s">
        <v>21</v>
      </c>
      <c r="H14" s="1797"/>
      <c r="I14" s="1798"/>
      <c r="J14" s="1798"/>
      <c r="K14" s="1798"/>
      <c r="L14" s="1798"/>
      <c r="M14" s="1798"/>
      <c r="N14" s="1798"/>
      <c r="O14" s="1798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792" t="s">
        <v>684</v>
      </c>
      <c r="H50" s="1792"/>
      <c r="I50" s="1792"/>
      <c r="J50" s="1792"/>
      <c r="K50" s="1792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794" t="s">
        <v>852</v>
      </c>
      <c r="H51" s="1794"/>
      <c r="I51" s="1794"/>
      <c r="J51" s="1794"/>
      <c r="K51" s="1794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795" t="s">
        <v>853</v>
      </c>
      <c r="H52" s="1795"/>
      <c r="I52" s="1795"/>
      <c r="J52" s="1795"/>
      <c r="K52" s="1795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56" t="s">
        <v>0</v>
      </c>
      <c r="B7" s="1656"/>
      <c r="C7" s="1656"/>
      <c r="D7" s="1656"/>
      <c r="E7" s="1656"/>
      <c r="F7" s="1656"/>
      <c r="G7" s="1656"/>
      <c r="H7" s="1656"/>
      <c r="I7" s="1656"/>
      <c r="J7" s="1656"/>
      <c r="K7" s="1656"/>
      <c r="L7" s="1656"/>
      <c r="M7" s="1656"/>
      <c r="N7" s="1656"/>
      <c r="O7" s="1656"/>
    </row>
    <row r="8" spans="1:15" x14ac:dyDescent="0.25">
      <c r="A8" s="1656" t="s">
        <v>1</v>
      </c>
      <c r="B8" s="1656"/>
      <c r="C8" s="1656"/>
      <c r="D8" s="1656"/>
      <c r="E8" s="1656"/>
      <c r="F8" s="1656"/>
      <c r="G8" s="1656"/>
      <c r="H8" s="1656"/>
      <c r="I8" s="1656"/>
      <c r="J8" s="1656"/>
      <c r="K8" s="1656"/>
      <c r="L8" s="1656"/>
      <c r="M8" s="1656"/>
      <c r="N8" s="1656"/>
      <c r="O8" s="1656"/>
    </row>
    <row r="9" spans="1:15" x14ac:dyDescent="0.25">
      <c r="A9" s="1656" t="s">
        <v>3</v>
      </c>
      <c r="B9" s="1656"/>
      <c r="C9" s="1656"/>
      <c r="D9" s="1656"/>
      <c r="E9" s="1656"/>
      <c r="F9" s="1656"/>
      <c r="G9" s="1656"/>
      <c r="H9" s="1656"/>
      <c r="I9" s="1656"/>
      <c r="J9" s="1656"/>
      <c r="K9" s="1656"/>
      <c r="L9" s="1656"/>
      <c r="M9" s="1656"/>
      <c r="N9" s="1656"/>
      <c r="O9" s="1656"/>
    </row>
    <row r="10" spans="1:15" x14ac:dyDescent="0.25">
      <c r="A10" s="1656" t="s">
        <v>903</v>
      </c>
      <c r="B10" s="1656"/>
      <c r="C10" s="1656"/>
      <c r="D10" s="1656"/>
      <c r="E10" s="1656"/>
      <c r="F10" s="1656"/>
      <c r="G10" s="1656"/>
      <c r="H10" s="1656"/>
      <c r="I10" s="1656"/>
      <c r="J10" s="1656"/>
      <c r="K10" s="1656"/>
      <c r="L10" s="1656"/>
      <c r="M10" s="1656"/>
      <c r="N10" s="1656"/>
      <c r="O10" s="1656"/>
    </row>
    <row r="11" spans="1:15" x14ac:dyDescent="0.25">
      <c r="A11" s="1788" t="s">
        <v>441</v>
      </c>
      <c r="B11" s="1788"/>
      <c r="C11" s="1788"/>
      <c r="D11" s="1788"/>
      <c r="E11" s="1788"/>
      <c r="F11" s="1788"/>
      <c r="G11" s="1788"/>
      <c r="H11" s="1788"/>
      <c r="I11" s="1788"/>
      <c r="J11" s="1788"/>
      <c r="K11" s="1788"/>
      <c r="L11" s="1788"/>
      <c r="M11" s="1788"/>
      <c r="N11" s="1788"/>
      <c r="O11" s="1788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89" t="s">
        <v>7</v>
      </c>
      <c r="B13" s="1789" t="s">
        <v>802</v>
      </c>
      <c r="C13" s="1790" t="s">
        <v>9</v>
      </c>
      <c r="D13" s="1789" t="s">
        <v>832</v>
      </c>
      <c r="E13" s="1789" t="s">
        <v>834</v>
      </c>
      <c r="F13" s="1789" t="s">
        <v>835</v>
      </c>
      <c r="G13" s="476" t="s">
        <v>12</v>
      </c>
      <c r="H13" s="1793" t="s">
        <v>13</v>
      </c>
      <c r="I13" s="1791" t="s">
        <v>14</v>
      </c>
      <c r="J13" s="1791" t="s">
        <v>15</v>
      </c>
      <c r="K13" s="1791" t="s">
        <v>16</v>
      </c>
      <c r="L13" s="1791" t="s">
        <v>17</v>
      </c>
      <c r="M13" s="1791" t="s">
        <v>18</v>
      </c>
      <c r="N13" s="1791" t="s">
        <v>19</v>
      </c>
      <c r="O13" s="1791" t="s">
        <v>20</v>
      </c>
    </row>
    <row r="14" spans="1:15" x14ac:dyDescent="0.25">
      <c r="A14" s="1789"/>
      <c r="B14" s="1789"/>
      <c r="C14" s="1790"/>
      <c r="D14" s="1789"/>
      <c r="E14" s="1789"/>
      <c r="F14" s="1789"/>
      <c r="G14" s="476" t="s">
        <v>21</v>
      </c>
      <c r="H14" s="1793"/>
      <c r="I14" s="1791"/>
      <c r="J14" s="1791"/>
      <c r="K14" s="1791"/>
      <c r="L14" s="1791"/>
      <c r="M14" s="1791"/>
      <c r="N14" s="1791"/>
      <c r="O14" s="1791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792" t="s">
        <v>684</v>
      </c>
      <c r="H61" s="1792"/>
      <c r="I61" s="1792"/>
      <c r="J61" s="1792"/>
      <c r="K61" s="1792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794" t="s">
        <v>887</v>
      </c>
      <c r="H62" s="1794"/>
      <c r="I62" s="1794"/>
      <c r="J62" s="1794"/>
      <c r="K62" s="1794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795" t="s">
        <v>853</v>
      </c>
      <c r="H63" s="1795"/>
      <c r="I63" s="1795"/>
      <c r="J63" s="1795"/>
      <c r="K63" s="1795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25" t="s">
        <v>0</v>
      </c>
      <c r="B7" s="1625"/>
      <c r="C7" s="1625"/>
      <c r="D7" s="1625"/>
      <c r="E7" s="1625"/>
      <c r="F7" s="1625"/>
      <c r="G7" s="1625"/>
      <c r="H7" s="1625"/>
      <c r="I7" s="1625"/>
      <c r="J7" s="1625"/>
      <c r="K7" s="1625"/>
      <c r="L7" s="1625"/>
      <c r="M7" s="1625"/>
    </row>
    <row r="8" spans="1:13" x14ac:dyDescent="0.25">
      <c r="A8" s="1625" t="s">
        <v>1</v>
      </c>
      <c r="B8" s="1625"/>
      <c r="C8" s="1625"/>
      <c r="D8" s="1625"/>
      <c r="E8" s="1625"/>
      <c r="F8" s="1625"/>
      <c r="G8" s="1625"/>
      <c r="H8" s="1625"/>
      <c r="I8" s="1625"/>
      <c r="J8" s="1625"/>
      <c r="K8" s="1625"/>
      <c r="L8" s="1625"/>
      <c r="M8" s="1625"/>
    </row>
    <row r="9" spans="1:13" x14ac:dyDescent="0.25">
      <c r="A9" s="1625" t="s">
        <v>3</v>
      </c>
      <c r="B9" s="1625"/>
      <c r="C9" s="1625"/>
      <c r="D9" s="1625"/>
      <c r="E9" s="1625"/>
      <c r="F9" s="1625"/>
      <c r="G9" s="1625"/>
      <c r="H9" s="1625"/>
      <c r="I9" s="1625"/>
      <c r="J9" s="1625"/>
      <c r="K9" s="1625"/>
      <c r="L9" s="1625"/>
      <c r="M9" s="1625"/>
    </row>
    <row r="10" spans="1:13" x14ac:dyDescent="0.25">
      <c r="A10" s="1625" t="s">
        <v>906</v>
      </c>
      <c r="B10" s="1625"/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1:13" x14ac:dyDescent="0.25">
      <c r="A11" s="1638" t="s">
        <v>412</v>
      </c>
      <c r="B11" s="1638"/>
      <c r="C11" s="1638"/>
      <c r="D11" s="1638"/>
      <c r="E11" s="1638"/>
      <c r="F11" s="1638"/>
      <c r="G11" s="1638"/>
      <c r="H11" s="1638"/>
      <c r="I11" s="1638"/>
      <c r="J11" s="1638"/>
      <c r="K11" s="1638"/>
      <c r="L11" s="1638"/>
      <c r="M11" s="163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96" t="s">
        <v>7</v>
      </c>
      <c r="B13" s="1796" t="s">
        <v>802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796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24" t="s">
        <v>684</v>
      </c>
      <c r="H26" s="1624"/>
      <c r="I26" s="1624"/>
      <c r="J26" s="1624"/>
      <c r="K26" s="162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99" t="s">
        <v>852</v>
      </c>
      <c r="H27" s="1799"/>
      <c r="I27" s="1799"/>
      <c r="J27" s="1799"/>
      <c r="K27" s="1799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800" t="s">
        <v>853</v>
      </c>
      <c r="H28" s="1800"/>
      <c r="I28" s="1800"/>
      <c r="J28" s="1800"/>
      <c r="K28" s="1800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765" t="s">
        <v>0</v>
      </c>
      <c r="B7" s="1765"/>
      <c r="C7" s="1765"/>
      <c r="D7" s="1765"/>
      <c r="E7" s="1765"/>
      <c r="F7" s="1765"/>
      <c r="G7" s="1765"/>
      <c r="H7" s="1765"/>
      <c r="I7" s="1765"/>
      <c r="J7" s="1765"/>
      <c r="K7" s="1765"/>
      <c r="L7" s="1765"/>
      <c r="M7" s="1765"/>
      <c r="N7" s="1765"/>
    </row>
    <row r="8" spans="1:14" ht="15.75" x14ac:dyDescent="0.25">
      <c r="A8" s="1765" t="s">
        <v>1</v>
      </c>
      <c r="B8" s="1765"/>
      <c r="C8" s="1765"/>
      <c r="D8" s="1765"/>
      <c r="E8" s="1765"/>
      <c r="F8" s="1765"/>
      <c r="G8" s="1765"/>
      <c r="H8" s="1765"/>
      <c r="I8" s="1765"/>
      <c r="J8" s="1765"/>
      <c r="K8" s="1765"/>
      <c r="L8" s="1765"/>
      <c r="M8" s="1765"/>
      <c r="N8" s="1765"/>
    </row>
    <row r="9" spans="1:14" ht="15.75" x14ac:dyDescent="0.25">
      <c r="A9" s="1765" t="s">
        <v>3</v>
      </c>
      <c r="B9" s="1765"/>
      <c r="C9" s="1765"/>
      <c r="D9" s="1765"/>
      <c r="E9" s="1765"/>
      <c r="F9" s="1765"/>
      <c r="G9" s="1765"/>
      <c r="H9" s="1765"/>
      <c r="I9" s="1765"/>
      <c r="J9" s="1765"/>
      <c r="K9" s="1765"/>
      <c r="L9" s="1765"/>
      <c r="M9" s="1765"/>
      <c r="N9" s="1765"/>
    </row>
    <row r="10" spans="1:14" ht="15.75" x14ac:dyDescent="0.25">
      <c r="A10" s="1765" t="s">
        <v>907</v>
      </c>
      <c r="B10" s="1765"/>
      <c r="C10" s="1765"/>
      <c r="D10" s="1765"/>
      <c r="E10" s="1765"/>
      <c r="F10" s="1765"/>
      <c r="G10" s="1765"/>
      <c r="H10" s="1765"/>
      <c r="I10" s="1765"/>
      <c r="J10" s="1765"/>
      <c r="K10" s="1765"/>
      <c r="L10" s="1765"/>
      <c r="M10" s="1765"/>
      <c r="N10" s="1765"/>
    </row>
    <row r="11" spans="1:14" ht="15.75" x14ac:dyDescent="0.25">
      <c r="A11" s="1738" t="s">
        <v>5</v>
      </c>
      <c r="B11" s="1738"/>
      <c r="C11" s="1738"/>
      <c r="D11" s="1738"/>
      <c r="E11" s="1738"/>
      <c r="F11" s="1738"/>
      <c r="G11" s="1738"/>
      <c r="H11" s="1738"/>
      <c r="I11" s="1738"/>
      <c r="J11" s="1738"/>
      <c r="K11" s="1738"/>
      <c r="L11" s="1738"/>
      <c r="M11" s="1738"/>
      <c r="N11" s="1738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89" t="s">
        <v>7</v>
      </c>
      <c r="B13" s="1789" t="s">
        <v>802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789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5" t="s">
        <v>854</v>
      </c>
      <c r="I31" s="1735"/>
      <c r="J31" s="1735"/>
      <c r="K31" s="1735"/>
      <c r="L31" s="1735"/>
      <c r="M31" s="1735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732" t="s">
        <v>852</v>
      </c>
      <c r="I32" s="1732"/>
      <c r="J32" s="1732"/>
      <c r="K32" s="1732"/>
      <c r="L32" s="1732"/>
      <c r="M32" s="173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734" t="s">
        <v>853</v>
      </c>
      <c r="I33" s="1734"/>
      <c r="J33" s="1734"/>
      <c r="K33" s="1734"/>
      <c r="L33" s="1734"/>
      <c r="M33" s="1734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3"/>
      <c r="J34" s="1733"/>
      <c r="K34" s="1733"/>
      <c r="L34" s="1733"/>
      <c r="M34" s="1733"/>
      <c r="N34" s="1733"/>
    </row>
    <row r="35" spans="1:14" ht="15.75" x14ac:dyDescent="0.25">
      <c r="A35" s="267"/>
      <c r="B35" s="267"/>
      <c r="C35" s="268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3"/>
      <c r="H36" s="1733"/>
      <c r="I36" s="1733"/>
      <c r="J36" s="1733"/>
      <c r="K36" s="1733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08"/>
      <c r="H37" s="1708"/>
      <c r="I37" s="1708"/>
      <c r="J37" s="1708"/>
      <c r="K37" s="170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4"/>
      <c r="B41" s="1624"/>
      <c r="C41" s="1624"/>
      <c r="D41" s="1624"/>
      <c r="E41" s="1624"/>
      <c r="F41" s="1624"/>
      <c r="G41" s="1624"/>
      <c r="H41" s="1624"/>
      <c r="I41" s="1624"/>
      <c r="J41" s="1624"/>
      <c r="K41" s="1624"/>
      <c r="L41" s="1624"/>
      <c r="M41" s="1624"/>
      <c r="N41" s="1624"/>
    </row>
    <row r="42" spans="1:14" x14ac:dyDescent="0.25">
      <c r="A42" s="1625"/>
      <c r="B42" s="1625"/>
      <c r="C42" s="1625"/>
      <c r="D42" s="1625"/>
      <c r="E42" s="1625"/>
      <c r="F42" s="1625"/>
      <c r="G42" s="1625"/>
      <c r="H42" s="1625"/>
      <c r="I42" s="1625"/>
      <c r="J42" s="1625"/>
      <c r="K42" s="1625"/>
      <c r="L42" s="1625"/>
      <c r="M42" s="1625"/>
      <c r="N42" s="1625"/>
    </row>
    <row r="43" spans="1:14" x14ac:dyDescent="0.25">
      <c r="A43" s="1624"/>
      <c r="B43" s="1624"/>
      <c r="C43" s="1624"/>
      <c r="D43" s="1624"/>
      <c r="E43" s="1624"/>
      <c r="F43" s="1624"/>
      <c r="G43" s="1624"/>
      <c r="H43" s="1624"/>
      <c r="I43" s="1624"/>
      <c r="J43" s="1624"/>
      <c r="K43" s="1624"/>
      <c r="L43" s="1624"/>
      <c r="M43" s="1624"/>
      <c r="N43" s="162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908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870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5" t="s">
        <v>854</v>
      </c>
      <c r="H21" s="1805"/>
      <c r="I21" s="1805"/>
      <c r="J21" s="1805"/>
      <c r="K21" s="1805"/>
      <c r="L21" s="180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732" t="s">
        <v>852</v>
      </c>
      <c r="H22" s="1732"/>
      <c r="I22" s="1732"/>
      <c r="J22" s="1732"/>
      <c r="K22" s="1732"/>
      <c r="L22" s="173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734" t="s">
        <v>853</v>
      </c>
      <c r="H23" s="1734"/>
      <c r="I23" s="1734"/>
      <c r="J23" s="1734"/>
      <c r="K23" s="1734"/>
      <c r="L23" s="173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6"/>
      <c r="I24" s="1806"/>
      <c r="J24" s="1806"/>
      <c r="K24" s="1806"/>
      <c r="L24" s="1806"/>
      <c r="M24" s="1806"/>
    </row>
    <row r="25" spans="1:13" x14ac:dyDescent="0.25">
      <c r="A25" s="531"/>
      <c r="B25" s="531"/>
      <c r="C25" s="259"/>
      <c r="D25" s="259"/>
      <c r="E25" s="269"/>
      <c r="F25" s="1734"/>
      <c r="G25" s="1734"/>
      <c r="H25" s="1734"/>
      <c r="I25" s="1734"/>
      <c r="J25" s="1734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909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7" t="s">
        <v>854</v>
      </c>
      <c r="H21" s="1807"/>
      <c r="I21" s="1807"/>
      <c r="J21" s="1807"/>
      <c r="K21" s="1807"/>
      <c r="L21" s="180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8" t="s">
        <v>852</v>
      </c>
      <c r="H22" s="1808"/>
      <c r="I22" s="1808"/>
      <c r="J22" s="1808"/>
      <c r="K22" s="1808"/>
      <c r="L22" s="180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09" t="s">
        <v>853</v>
      </c>
      <c r="H23" s="1809"/>
      <c r="I23" s="1809"/>
      <c r="J23" s="1809"/>
      <c r="K23" s="1809"/>
      <c r="L23" s="180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0"/>
      <c r="I24" s="1810"/>
      <c r="J24" s="1810"/>
      <c r="K24" s="1810"/>
      <c r="L24" s="1810"/>
      <c r="M24" s="1810"/>
    </row>
    <row r="25" spans="1:13" ht="15.75" x14ac:dyDescent="0.25">
      <c r="A25" s="267"/>
      <c r="B25" s="267"/>
      <c r="C25" s="268"/>
      <c r="D25" s="268"/>
      <c r="E25" s="269"/>
      <c r="F25" s="1738"/>
      <c r="G25" s="1738"/>
      <c r="H25" s="1738"/>
      <c r="I25" s="1738"/>
      <c r="J25" s="173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911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6" t="s">
        <v>7</v>
      </c>
      <c r="B14" s="1776" t="s">
        <v>802</v>
      </c>
      <c r="C14" s="1778" t="s">
        <v>9</v>
      </c>
      <c r="D14" s="451" t="s">
        <v>12</v>
      </c>
      <c r="E14" s="1782" t="s">
        <v>13</v>
      </c>
      <c r="F14" s="1786" t="s">
        <v>14</v>
      </c>
      <c r="G14" s="1786" t="s">
        <v>15</v>
      </c>
      <c r="H14" s="1786" t="s">
        <v>16</v>
      </c>
      <c r="I14" s="1786" t="s">
        <v>17</v>
      </c>
      <c r="J14" s="1786" t="s">
        <v>18</v>
      </c>
      <c r="K14" s="1784" t="s">
        <v>19</v>
      </c>
      <c r="L14" s="1769" t="s">
        <v>20</v>
      </c>
    </row>
    <row r="15" spans="1:12" ht="15.75" thickBot="1" x14ac:dyDescent="0.3">
      <c r="A15" s="1777"/>
      <c r="B15" s="1777"/>
      <c r="C15" s="1779"/>
      <c r="D15" s="452" t="s">
        <v>21</v>
      </c>
      <c r="E15" s="1783"/>
      <c r="F15" s="1787"/>
      <c r="G15" s="1787"/>
      <c r="H15" s="1787"/>
      <c r="I15" s="1787"/>
      <c r="J15" s="1787"/>
      <c r="K15" s="1785"/>
      <c r="L15" s="177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813" t="s">
        <v>854</v>
      </c>
      <c r="I187" s="1813"/>
      <c r="J187" s="1813"/>
      <c r="K187" s="1813"/>
      <c r="L187" s="1813"/>
      <c r="M187" s="1813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814" t="s">
        <v>939</v>
      </c>
      <c r="I188" s="1814"/>
      <c r="J188" s="1814"/>
      <c r="K188" s="1814"/>
      <c r="L188" s="1814"/>
      <c r="M188" s="1814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812" t="s">
        <v>938</v>
      </c>
      <c r="I189" s="1812"/>
      <c r="J189" s="1812"/>
      <c r="K189" s="1812"/>
      <c r="L189" s="1812"/>
      <c r="M189" s="1812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810"/>
      <c r="J190" s="1810"/>
      <c r="K190" s="1810"/>
      <c r="L190" s="1810"/>
      <c r="M190" s="1810"/>
      <c r="N190" s="1810"/>
    </row>
    <row r="191" spans="1:14" ht="15.75" x14ac:dyDescent="0.25">
      <c r="A191" s="267"/>
      <c r="B191" s="308"/>
      <c r="C191" s="267"/>
      <c r="D191" s="268"/>
      <c r="E191" s="268"/>
      <c r="F191" s="269"/>
      <c r="G191" s="1738"/>
      <c r="H191" s="1738"/>
      <c r="I191" s="1738"/>
      <c r="J191" s="1738"/>
      <c r="K191" s="1738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  <c r="N9" s="1617"/>
      <c r="O9" s="1617"/>
    </row>
    <row r="10" spans="1:15" x14ac:dyDescent="0.25">
      <c r="A10" s="1617" t="s">
        <v>916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  <c r="N10" s="1617"/>
      <c r="O10" s="1617"/>
    </row>
    <row r="11" spans="1:15" x14ac:dyDescent="0.25">
      <c r="A11" s="1618" t="s">
        <v>406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  <c r="N11" s="1618"/>
      <c r="O11" s="1618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789" t="s">
        <v>7</v>
      </c>
      <c r="B13" s="1815" t="s">
        <v>937</v>
      </c>
      <c r="C13" s="1790" t="s">
        <v>9</v>
      </c>
      <c r="D13" s="1796" t="s">
        <v>832</v>
      </c>
      <c r="E13" s="1796" t="s">
        <v>834</v>
      </c>
      <c r="F13" s="1796" t="s">
        <v>835</v>
      </c>
      <c r="G13" s="476" t="s">
        <v>12</v>
      </c>
      <c r="H13" s="1793" t="s">
        <v>13</v>
      </c>
      <c r="I13" s="1791" t="s">
        <v>14</v>
      </c>
      <c r="J13" s="1791" t="s">
        <v>15</v>
      </c>
      <c r="K13" s="1791" t="s">
        <v>16</v>
      </c>
      <c r="L13" s="1791" t="s">
        <v>17</v>
      </c>
      <c r="M13" s="1791" t="s">
        <v>18</v>
      </c>
      <c r="N13" s="1791" t="s">
        <v>19</v>
      </c>
      <c r="O13" s="1791" t="s">
        <v>20</v>
      </c>
    </row>
    <row r="14" spans="1:15" x14ac:dyDescent="0.25">
      <c r="A14" s="1789"/>
      <c r="B14" s="1816"/>
      <c r="C14" s="1790"/>
      <c r="D14" s="1796"/>
      <c r="E14" s="1796"/>
      <c r="F14" s="1796"/>
      <c r="G14" s="476" t="s">
        <v>21</v>
      </c>
      <c r="H14" s="1793"/>
      <c r="I14" s="1791"/>
      <c r="J14" s="1791"/>
      <c r="K14" s="1791"/>
      <c r="L14" s="1791"/>
      <c r="M14" s="1791"/>
      <c r="N14" s="1791"/>
      <c r="O14" s="1791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807" t="s">
        <v>854</v>
      </c>
      <c r="L47" s="1807"/>
      <c r="M47" s="1807"/>
      <c r="N47" s="1807"/>
      <c r="O47" s="1807"/>
      <c r="P47" s="1807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808" t="s">
        <v>852</v>
      </c>
      <c r="L48" s="1808"/>
      <c r="M48" s="1808"/>
      <c r="N48" s="1808"/>
      <c r="O48" s="1808"/>
      <c r="P48" s="1808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809" t="s">
        <v>853</v>
      </c>
      <c r="L49" s="1809"/>
      <c r="M49" s="1809"/>
      <c r="N49" s="1809"/>
      <c r="O49" s="1809"/>
      <c r="P49" s="1809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810"/>
      <c r="M50" s="1810"/>
      <c r="N50" s="1810"/>
      <c r="O50" s="1810"/>
      <c r="P50" s="1810"/>
      <c r="Q50" s="1810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738"/>
      <c r="K51" s="1738"/>
      <c r="L51" s="1738"/>
      <c r="M51" s="1738"/>
      <c r="N51" s="1738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922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807" t="s">
        <v>854</v>
      </c>
      <c r="I63" s="1807"/>
      <c r="J63" s="1807"/>
      <c r="K63" s="1807"/>
      <c r="L63" s="1807"/>
      <c r="M63" s="1807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808" t="s">
        <v>852</v>
      </c>
      <c r="I64" s="1808"/>
      <c r="J64" s="1808"/>
      <c r="K64" s="1808"/>
      <c r="L64" s="1808"/>
      <c r="M64" s="1808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809" t="s">
        <v>853</v>
      </c>
      <c r="I65" s="1809"/>
      <c r="J65" s="1809"/>
      <c r="K65" s="1809"/>
      <c r="L65" s="1809"/>
      <c r="M65" s="1809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810"/>
      <c r="J66" s="1810"/>
      <c r="K66" s="1810"/>
      <c r="L66" s="1810"/>
      <c r="M66" s="1810"/>
      <c r="N66" s="1810"/>
    </row>
    <row r="67" spans="1:14" ht="15.75" x14ac:dyDescent="0.25">
      <c r="A67" s="267"/>
      <c r="B67" s="267"/>
      <c r="C67" s="267"/>
      <c r="D67" s="268"/>
      <c r="E67" s="268"/>
      <c r="F67" s="269"/>
      <c r="G67" s="1738"/>
      <c r="H67" s="1738"/>
      <c r="I67" s="1738"/>
      <c r="J67" s="1738"/>
      <c r="K67" s="1738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926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07" t="s">
        <v>854</v>
      </c>
      <c r="I30" s="1807"/>
      <c r="J30" s="1807"/>
      <c r="K30" s="1807"/>
      <c r="L30" s="1807"/>
      <c r="M30" s="180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08" t="s">
        <v>852</v>
      </c>
      <c r="I31" s="1808"/>
      <c r="J31" s="1808"/>
      <c r="K31" s="1808"/>
      <c r="L31" s="1808"/>
      <c r="M31" s="180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809" t="s">
        <v>853</v>
      </c>
      <c r="I32" s="1809"/>
      <c r="J32" s="1809"/>
      <c r="K32" s="1809"/>
      <c r="L32" s="1809"/>
      <c r="M32" s="1809"/>
    </row>
    <row r="33" spans="7:14" x14ac:dyDescent="0.25">
      <c r="G33" s="540"/>
      <c r="H33" s="537"/>
      <c r="I33" s="1810"/>
      <c r="J33" s="1810"/>
      <c r="K33" s="1810"/>
      <c r="L33" s="1810"/>
      <c r="M33" s="1810"/>
      <c r="N33" s="1810"/>
    </row>
    <row r="34" spans="7:14" ht="15.75" x14ac:dyDescent="0.25">
      <c r="G34" s="1738"/>
      <c r="H34" s="1738"/>
      <c r="I34" s="1738"/>
      <c r="J34" s="1738"/>
      <c r="K34" s="1738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931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932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870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5" t="s">
        <v>854</v>
      </c>
      <c r="H21" s="1805"/>
      <c r="I21" s="1805"/>
      <c r="J21" s="1805"/>
      <c r="K21" s="1805"/>
      <c r="L21" s="180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732" t="s">
        <v>852</v>
      </c>
      <c r="H22" s="1732"/>
      <c r="I22" s="1732"/>
      <c r="J22" s="1732"/>
      <c r="K22" s="1732"/>
      <c r="L22" s="173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734" t="s">
        <v>853</v>
      </c>
      <c r="H23" s="1734"/>
      <c r="I23" s="1734"/>
      <c r="J23" s="1734"/>
      <c r="K23" s="1734"/>
      <c r="L23" s="173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6"/>
      <c r="I24" s="1806"/>
      <c r="J24" s="1806"/>
      <c r="K24" s="1806"/>
      <c r="L24" s="1806"/>
      <c r="M24" s="1806"/>
    </row>
    <row r="25" spans="1:13" x14ac:dyDescent="0.25">
      <c r="A25" s="531"/>
      <c r="B25" s="531"/>
      <c r="C25" s="259"/>
      <c r="D25" s="259"/>
      <c r="E25" s="269"/>
      <c r="F25" s="1734"/>
      <c r="G25" s="1734"/>
      <c r="H25" s="1734"/>
      <c r="I25" s="1734"/>
      <c r="J25" s="1734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934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7" t="s">
        <v>854</v>
      </c>
      <c r="H21" s="1807"/>
      <c r="I21" s="1807"/>
      <c r="J21" s="1807"/>
      <c r="K21" s="1807"/>
      <c r="L21" s="180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8" t="s">
        <v>852</v>
      </c>
      <c r="H22" s="1808"/>
      <c r="I22" s="1808"/>
      <c r="J22" s="1808"/>
      <c r="K22" s="1808"/>
      <c r="L22" s="180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09" t="s">
        <v>853</v>
      </c>
      <c r="H23" s="1809"/>
      <c r="I23" s="1809"/>
      <c r="J23" s="1809"/>
      <c r="K23" s="1809"/>
      <c r="L23" s="180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0"/>
      <c r="I24" s="1810"/>
      <c r="J24" s="1810"/>
      <c r="K24" s="1810"/>
      <c r="L24" s="1810"/>
      <c r="M24" s="1810"/>
    </row>
    <row r="25" spans="1:13" ht="15.75" x14ac:dyDescent="0.25">
      <c r="A25" s="267"/>
      <c r="B25" s="267"/>
      <c r="C25" s="268"/>
      <c r="D25" s="268"/>
      <c r="E25" s="269"/>
      <c r="F25" s="1738"/>
      <c r="G25" s="1738"/>
      <c r="H25" s="1738"/>
      <c r="I25" s="1738"/>
      <c r="J25" s="1738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942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6" t="s">
        <v>7</v>
      </c>
      <c r="B14" s="1776" t="s">
        <v>802</v>
      </c>
      <c r="C14" s="1778" t="s">
        <v>9</v>
      </c>
      <c r="D14" s="451" t="s">
        <v>12</v>
      </c>
      <c r="E14" s="1782" t="s">
        <v>13</v>
      </c>
      <c r="F14" s="1786" t="s">
        <v>14</v>
      </c>
      <c r="G14" s="1786" t="s">
        <v>15</v>
      </c>
      <c r="H14" s="1786" t="s">
        <v>16</v>
      </c>
      <c r="I14" s="1786" t="s">
        <v>17</v>
      </c>
      <c r="J14" s="1786" t="s">
        <v>18</v>
      </c>
      <c r="K14" s="1784" t="s">
        <v>19</v>
      </c>
      <c r="L14" s="1769" t="s">
        <v>20</v>
      </c>
    </row>
    <row r="15" spans="1:12" ht="15.75" thickBot="1" x14ac:dyDescent="0.3">
      <c r="A15" s="1777"/>
      <c r="B15" s="1777"/>
      <c r="C15" s="1779"/>
      <c r="D15" s="452" t="s">
        <v>21</v>
      </c>
      <c r="E15" s="1783"/>
      <c r="F15" s="1787"/>
      <c r="G15" s="1787"/>
      <c r="H15" s="1787"/>
      <c r="I15" s="1787"/>
      <c r="J15" s="1787"/>
      <c r="K15" s="1785"/>
      <c r="L15" s="177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813" t="s">
        <v>854</v>
      </c>
      <c r="I190" s="1813"/>
      <c r="J190" s="1813"/>
      <c r="K190" s="1813"/>
      <c r="L190" s="1813"/>
      <c r="M190" s="1813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814" t="s">
        <v>939</v>
      </c>
      <c r="I191" s="1814"/>
      <c r="J191" s="1814"/>
      <c r="K191" s="1814"/>
      <c r="L191" s="1814"/>
      <c r="M191" s="1814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812" t="s">
        <v>938</v>
      </c>
      <c r="I192" s="1812"/>
      <c r="J192" s="1812"/>
      <c r="K192" s="1812"/>
      <c r="L192" s="1812"/>
      <c r="M192" s="1812"/>
    </row>
    <row r="193" spans="7:14" x14ac:dyDescent="0.25">
      <c r="G193" s="540"/>
      <c r="H193" s="537"/>
      <c r="I193" s="1810"/>
      <c r="J193" s="1810"/>
      <c r="K193" s="1810"/>
      <c r="L193" s="1810"/>
      <c r="M193" s="1810"/>
      <c r="N193" s="1810"/>
    </row>
    <row r="194" spans="7:14" ht="15.75" x14ac:dyDescent="0.25">
      <c r="G194" s="1738"/>
      <c r="H194" s="1738"/>
      <c r="I194" s="1738"/>
      <c r="J194" s="1738"/>
      <c r="K194" s="1738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949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807" t="s">
        <v>854</v>
      </c>
      <c r="I87" s="1807"/>
      <c r="J87" s="1807"/>
      <c r="K87" s="1807"/>
      <c r="L87" s="1807"/>
      <c r="M87" s="1807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808" t="s">
        <v>852</v>
      </c>
      <c r="I88" s="1808"/>
      <c r="J88" s="1808"/>
      <c r="K88" s="1808"/>
      <c r="L88" s="1808"/>
      <c r="M88" s="1808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809" t="s">
        <v>853</v>
      </c>
      <c r="I89" s="1809"/>
      <c r="J89" s="1809"/>
      <c r="K89" s="1809"/>
      <c r="L89" s="1809"/>
      <c r="M89" s="1809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810"/>
      <c r="J90" s="1810"/>
      <c r="K90" s="1810"/>
      <c r="L90" s="1810"/>
      <c r="M90" s="1810"/>
      <c r="N90" s="1810"/>
    </row>
    <row r="91" spans="1:14" ht="15.75" x14ac:dyDescent="0.25">
      <c r="A91" s="267"/>
      <c r="B91" s="267"/>
      <c r="C91" s="267"/>
      <c r="D91" s="268"/>
      <c r="E91" s="268"/>
      <c r="F91" s="269"/>
      <c r="G91" s="1738"/>
      <c r="H91" s="1738"/>
      <c r="I91" s="1738"/>
      <c r="J91" s="1738"/>
      <c r="K91" s="1738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943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07" t="s">
        <v>854</v>
      </c>
      <c r="I30" s="1807"/>
      <c r="J30" s="1807"/>
      <c r="K30" s="1807"/>
      <c r="L30" s="1807"/>
      <c r="M30" s="180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08" t="s">
        <v>852</v>
      </c>
      <c r="I31" s="1808"/>
      <c r="J31" s="1808"/>
      <c r="K31" s="1808"/>
      <c r="L31" s="1808"/>
      <c r="M31" s="180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809" t="s">
        <v>853</v>
      </c>
      <c r="I32" s="1809"/>
      <c r="J32" s="1809"/>
      <c r="K32" s="1809"/>
      <c r="L32" s="1809"/>
      <c r="M32" s="1809"/>
    </row>
    <row r="33" spans="7:14" x14ac:dyDescent="0.25">
      <c r="G33" s="540"/>
      <c r="H33" s="537"/>
      <c r="I33" s="1810"/>
      <c r="J33" s="1810"/>
      <c r="K33" s="1810"/>
      <c r="L33" s="1810"/>
      <c r="M33" s="1810"/>
      <c r="N33" s="1810"/>
    </row>
    <row r="34" spans="7:14" ht="15.75" x14ac:dyDescent="0.25">
      <c r="G34" s="1738"/>
      <c r="H34" s="1738"/>
      <c r="I34" s="1738"/>
      <c r="J34" s="1738"/>
      <c r="K34" s="1738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950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07" t="s">
        <v>854</v>
      </c>
      <c r="I42" s="1807"/>
      <c r="J42" s="1807"/>
      <c r="K42" s="1807"/>
      <c r="L42" s="1807"/>
      <c r="M42" s="180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08" t="s">
        <v>852</v>
      </c>
      <c r="I43" s="1808"/>
      <c r="J43" s="1808"/>
      <c r="K43" s="1808"/>
      <c r="L43" s="1808"/>
      <c r="M43" s="180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809" t="s">
        <v>853</v>
      </c>
      <c r="I44" s="1809"/>
      <c r="J44" s="1809"/>
      <c r="K44" s="1809"/>
      <c r="L44" s="1809"/>
      <c r="M44" s="180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810"/>
      <c r="J45" s="1810"/>
      <c r="K45" s="1810"/>
      <c r="L45" s="1810"/>
      <c r="M45" s="1810"/>
      <c r="N45" s="1810"/>
    </row>
    <row r="46" spans="1:14" ht="15.75" x14ac:dyDescent="0.25">
      <c r="A46" s="267"/>
      <c r="B46" s="267"/>
      <c r="C46" s="267"/>
      <c r="D46" s="268"/>
      <c r="E46" s="268"/>
      <c r="F46" s="269"/>
      <c r="G46" s="1738"/>
      <c r="H46" s="1738"/>
      <c r="I46" s="1738"/>
      <c r="J46" s="1738"/>
      <c r="K46" s="1738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957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870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5" t="s">
        <v>854</v>
      </c>
      <c r="H21" s="1805"/>
      <c r="I21" s="1805"/>
      <c r="J21" s="1805"/>
      <c r="K21" s="1805"/>
      <c r="L21" s="180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732" t="s">
        <v>852</v>
      </c>
      <c r="H22" s="1732"/>
      <c r="I22" s="1732"/>
      <c r="J22" s="1732"/>
      <c r="K22" s="1732"/>
      <c r="L22" s="173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734" t="s">
        <v>853</v>
      </c>
      <c r="H23" s="1734"/>
      <c r="I23" s="1734"/>
      <c r="J23" s="1734"/>
      <c r="K23" s="1734"/>
      <c r="L23" s="1734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6"/>
      <c r="I24" s="1806"/>
      <c r="J24" s="1806"/>
      <c r="K24" s="1806"/>
      <c r="L24" s="1806"/>
      <c r="M24" s="1806"/>
    </row>
    <row r="25" spans="1:13" x14ac:dyDescent="0.25">
      <c r="A25" s="531"/>
      <c r="B25" s="531"/>
      <c r="C25" s="259"/>
      <c r="D25" s="259"/>
      <c r="E25" s="269"/>
      <c r="F25" s="1734"/>
      <c r="G25" s="1734"/>
      <c r="H25" s="1734"/>
      <c r="I25" s="1734"/>
      <c r="J25" s="1734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958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9" t="s">
        <v>7</v>
      </c>
      <c r="B12" s="1789" t="s">
        <v>802</v>
      </c>
      <c r="C12" s="1789" t="s">
        <v>9</v>
      </c>
      <c r="D12" s="1789" t="s">
        <v>832</v>
      </c>
      <c r="E12" s="390" t="s">
        <v>12</v>
      </c>
      <c r="F12" s="1766" t="s">
        <v>13</v>
      </c>
      <c r="G12" s="1767" t="s">
        <v>14</v>
      </c>
      <c r="H12" s="1767" t="s">
        <v>15</v>
      </c>
      <c r="I12" s="1767" t="s">
        <v>16</v>
      </c>
      <c r="J12" s="1767" t="s">
        <v>17</v>
      </c>
      <c r="K12" s="1767" t="s">
        <v>18</v>
      </c>
      <c r="L12" s="1767" t="s">
        <v>19</v>
      </c>
      <c r="M12" s="1767" t="s">
        <v>20</v>
      </c>
    </row>
    <row r="13" spans="1:13" ht="16.5" customHeight="1" x14ac:dyDescent="0.25">
      <c r="A13" s="1789"/>
      <c r="B13" s="1789"/>
      <c r="C13" s="1789"/>
      <c r="D13" s="1789"/>
      <c r="E13" s="390" t="s">
        <v>21</v>
      </c>
      <c r="F13" s="1766"/>
      <c r="G13" s="1767"/>
      <c r="H13" s="1767"/>
      <c r="I13" s="1767"/>
      <c r="J13" s="1767"/>
      <c r="K13" s="1767"/>
      <c r="L13" s="1767"/>
      <c r="M13" s="1767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7" t="s">
        <v>854</v>
      </c>
      <c r="H21" s="1807"/>
      <c r="I21" s="1807"/>
      <c r="J21" s="1807"/>
      <c r="K21" s="1807"/>
      <c r="L21" s="180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8" t="s">
        <v>852</v>
      </c>
      <c r="H22" s="1808"/>
      <c r="I22" s="1808"/>
      <c r="J22" s="1808"/>
      <c r="K22" s="1808"/>
      <c r="L22" s="180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809" t="s">
        <v>853</v>
      </c>
      <c r="H23" s="1809"/>
      <c r="I23" s="1809"/>
      <c r="J23" s="1809"/>
      <c r="K23" s="1809"/>
      <c r="L23" s="180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810"/>
      <c r="I24" s="1810"/>
      <c r="J24" s="1810"/>
      <c r="K24" s="1810"/>
      <c r="L24" s="1810"/>
      <c r="M24" s="1810"/>
    </row>
    <row r="25" spans="1:13" ht="15.75" x14ac:dyDescent="0.25">
      <c r="A25" s="267"/>
      <c r="B25" s="267"/>
      <c r="C25" s="268"/>
      <c r="D25" s="268"/>
      <c r="E25" s="269"/>
      <c r="F25" s="1738"/>
      <c r="G25" s="1738"/>
      <c r="H25" s="1738"/>
      <c r="I25" s="1738"/>
      <c r="J25" s="1738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580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6" t="s">
        <v>7</v>
      </c>
      <c r="B14" s="1776" t="s">
        <v>802</v>
      </c>
      <c r="C14" s="1778" t="s">
        <v>9</v>
      </c>
      <c r="D14" s="451" t="s">
        <v>12</v>
      </c>
      <c r="E14" s="1782" t="s">
        <v>13</v>
      </c>
      <c r="F14" s="1786" t="s">
        <v>14</v>
      </c>
      <c r="G14" s="1786" t="s">
        <v>15</v>
      </c>
      <c r="H14" s="1786" t="s">
        <v>16</v>
      </c>
      <c r="I14" s="1786" t="s">
        <v>17</v>
      </c>
      <c r="J14" s="1786" t="s">
        <v>18</v>
      </c>
      <c r="K14" s="1784" t="s">
        <v>19</v>
      </c>
      <c r="L14" s="1769" t="s">
        <v>20</v>
      </c>
    </row>
    <row r="15" spans="1:12" ht="15.75" thickBot="1" x14ac:dyDescent="0.3">
      <c r="A15" s="1777"/>
      <c r="B15" s="1777"/>
      <c r="C15" s="1779"/>
      <c r="D15" s="452" t="s">
        <v>21</v>
      </c>
      <c r="E15" s="1783"/>
      <c r="F15" s="1787"/>
      <c r="G15" s="1787"/>
      <c r="H15" s="1787"/>
      <c r="I15" s="1787"/>
      <c r="J15" s="1787"/>
      <c r="K15" s="1785"/>
      <c r="L15" s="1770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3" t="s">
        <v>854</v>
      </c>
      <c r="I188" s="1813"/>
      <c r="J188" s="1813"/>
      <c r="K188" s="1813"/>
      <c r="L188" s="1813"/>
      <c r="M188" s="181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4" t="s">
        <v>939</v>
      </c>
      <c r="I189" s="1814"/>
      <c r="J189" s="1814"/>
      <c r="K189" s="1814"/>
      <c r="L189" s="1814"/>
      <c r="M189" s="181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2" t="s">
        <v>938</v>
      </c>
      <c r="I190" s="1812"/>
      <c r="J190" s="1812"/>
      <c r="K190" s="1812"/>
      <c r="L190" s="1812"/>
      <c r="M190" s="181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0"/>
      <c r="J191" s="1810"/>
      <c r="K191" s="1810"/>
      <c r="L191" s="1810"/>
      <c r="M191" s="1810"/>
      <c r="N191" s="1810"/>
    </row>
    <row r="192" spans="1:14" ht="15.75" x14ac:dyDescent="0.25">
      <c r="A192" s="267"/>
      <c r="B192" s="308"/>
      <c r="C192" s="267"/>
      <c r="D192" s="268"/>
      <c r="E192" s="268"/>
      <c r="F192" s="269"/>
      <c r="G192" s="1738"/>
      <c r="H192" s="1738"/>
      <c r="I192" s="1738"/>
      <c r="J192" s="1738"/>
      <c r="K192" s="173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964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807" t="s">
        <v>854</v>
      </c>
      <c r="I84" s="1807"/>
      <c r="J84" s="1807"/>
      <c r="K84" s="1807"/>
      <c r="L84" s="1807"/>
      <c r="M84" s="1807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808" t="s">
        <v>852</v>
      </c>
      <c r="I85" s="1808"/>
      <c r="J85" s="1808"/>
      <c r="K85" s="1808"/>
      <c r="L85" s="1808"/>
      <c r="M85" s="1808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809" t="s">
        <v>853</v>
      </c>
      <c r="I86" s="1809"/>
      <c r="J86" s="1809"/>
      <c r="K86" s="1809"/>
      <c r="L86" s="1809"/>
      <c r="M86" s="1809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810"/>
      <c r="J87" s="1810"/>
      <c r="K87" s="1810"/>
      <c r="L87" s="1810"/>
      <c r="M87" s="1810"/>
      <c r="N87" s="1810"/>
    </row>
    <row r="88" spans="1:14" ht="15.75" x14ac:dyDescent="0.25">
      <c r="A88" s="267"/>
      <c r="B88" s="267"/>
      <c r="C88" s="267"/>
      <c r="D88" s="268"/>
      <c r="E88" s="268"/>
      <c r="F88" s="269"/>
      <c r="G88" s="1738"/>
      <c r="H88" s="1738"/>
      <c r="I88" s="1738"/>
      <c r="J88" s="1738"/>
      <c r="K88" s="1738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966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7" t="s">
        <v>854</v>
      </c>
      <c r="I31" s="1807"/>
      <c r="J31" s="1807"/>
      <c r="K31" s="1807"/>
      <c r="L31" s="1807"/>
      <c r="M31" s="180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8" t="s">
        <v>852</v>
      </c>
      <c r="I32" s="1808"/>
      <c r="J32" s="1808"/>
      <c r="K32" s="1808"/>
      <c r="L32" s="1808"/>
      <c r="M32" s="180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09" t="s">
        <v>853</v>
      </c>
      <c r="I33" s="1809"/>
      <c r="J33" s="1809"/>
      <c r="K33" s="1809"/>
      <c r="L33" s="1809"/>
      <c r="M33" s="180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0"/>
      <c r="J34" s="1810"/>
      <c r="K34" s="1810"/>
      <c r="L34" s="1810"/>
      <c r="M34" s="1810"/>
      <c r="N34" s="1810"/>
    </row>
    <row r="35" spans="1:14" ht="15.75" x14ac:dyDescent="0.25">
      <c r="A35" s="267"/>
      <c r="B35" s="267"/>
      <c r="C35" s="267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963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870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5" t="s">
        <v>854</v>
      </c>
      <c r="G21" s="1805"/>
      <c r="H21" s="1805"/>
      <c r="I21" s="1805"/>
      <c r="J21" s="1805"/>
      <c r="K21" s="180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732" t="s">
        <v>852</v>
      </c>
      <c r="G22" s="1732"/>
      <c r="H22" s="1732"/>
      <c r="I22" s="1732"/>
      <c r="J22" s="1732"/>
      <c r="K22" s="173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734" t="s">
        <v>853</v>
      </c>
      <c r="G23" s="1734"/>
      <c r="H23" s="1734"/>
      <c r="I23" s="1734"/>
      <c r="J23" s="1734"/>
      <c r="K23" s="1734"/>
      <c r="L23" s="259"/>
    </row>
    <row r="24" spans="1:12" x14ac:dyDescent="0.25">
      <c r="A24" s="535"/>
      <c r="B24" s="535"/>
      <c r="C24" s="536"/>
      <c r="D24" s="271"/>
      <c r="E24" s="269"/>
      <c r="F24" s="259"/>
      <c r="G24" s="1806"/>
      <c r="H24" s="1806"/>
      <c r="I24" s="1806"/>
      <c r="J24" s="1806"/>
      <c r="K24" s="1806"/>
      <c r="L24" s="1806"/>
    </row>
    <row r="25" spans="1:12" x14ac:dyDescent="0.25">
      <c r="A25" s="531"/>
      <c r="B25" s="531"/>
      <c r="C25" s="259"/>
      <c r="D25" s="269"/>
      <c r="E25" s="1734"/>
      <c r="F25" s="1734"/>
      <c r="G25" s="1734"/>
      <c r="H25" s="1734"/>
      <c r="I25" s="1734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971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7" t="s">
        <v>854</v>
      </c>
      <c r="G21" s="1807"/>
      <c r="H21" s="1807"/>
      <c r="I21" s="1807"/>
      <c r="J21" s="1807"/>
      <c r="K21" s="180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8" t="s">
        <v>852</v>
      </c>
      <c r="G22" s="1808"/>
      <c r="H22" s="1808"/>
      <c r="I22" s="1808"/>
      <c r="J22" s="1808"/>
      <c r="K22" s="180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09" t="s">
        <v>853</v>
      </c>
      <c r="G23" s="1809"/>
      <c r="H23" s="1809"/>
      <c r="I23" s="1809"/>
      <c r="J23" s="1809"/>
      <c r="K23" s="1809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0"/>
      <c r="H24" s="1810"/>
      <c r="I24" s="1810"/>
      <c r="J24" s="1810"/>
      <c r="K24" s="1810"/>
      <c r="L24" s="1810"/>
    </row>
    <row r="25" spans="1:12" ht="15.75" x14ac:dyDescent="0.25">
      <c r="A25" s="267"/>
      <c r="B25" s="267"/>
      <c r="C25" s="268"/>
      <c r="D25" s="269"/>
      <c r="E25" s="1738"/>
      <c r="F25" s="1738"/>
      <c r="G25" s="1738"/>
      <c r="H25" s="1738"/>
      <c r="I25" s="1738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970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07" t="s">
        <v>854</v>
      </c>
      <c r="I42" s="1807"/>
      <c r="J42" s="1807"/>
      <c r="K42" s="1807"/>
      <c r="L42" s="1807"/>
      <c r="M42" s="180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08" t="s">
        <v>852</v>
      </c>
      <c r="I43" s="1808"/>
      <c r="J43" s="1808"/>
      <c r="K43" s="1808"/>
      <c r="L43" s="1808"/>
      <c r="M43" s="180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809" t="s">
        <v>853</v>
      </c>
      <c r="I44" s="1809"/>
      <c r="J44" s="1809"/>
      <c r="K44" s="1809"/>
      <c r="L44" s="1809"/>
      <c r="M44" s="180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810"/>
      <c r="J45" s="1810"/>
      <c r="K45" s="1810"/>
      <c r="L45" s="1810"/>
      <c r="M45" s="1810"/>
      <c r="N45" s="1810"/>
    </row>
    <row r="46" spans="1:14" ht="15.75" x14ac:dyDescent="0.25">
      <c r="A46" s="267"/>
      <c r="B46" s="267"/>
      <c r="C46" s="267"/>
      <c r="D46" s="268"/>
      <c r="E46" s="268"/>
      <c r="F46" s="269"/>
      <c r="G46" s="1738"/>
      <c r="H46" s="1738"/>
      <c r="I46" s="1738"/>
      <c r="J46" s="1738"/>
      <c r="K46" s="1738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972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20" t="s">
        <v>14</v>
      </c>
      <c r="G14" s="1820" t="s">
        <v>15</v>
      </c>
      <c r="H14" s="1820" t="s">
        <v>16</v>
      </c>
      <c r="I14" s="1820" t="s">
        <v>17</v>
      </c>
      <c r="J14" s="1820" t="s">
        <v>18</v>
      </c>
      <c r="K14" s="1822" t="s">
        <v>19</v>
      </c>
      <c r="L14" s="1769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21"/>
      <c r="G15" s="1821"/>
      <c r="H15" s="1821"/>
      <c r="I15" s="1821"/>
      <c r="J15" s="1821"/>
      <c r="K15" s="1823"/>
      <c r="L15" s="182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3" t="s">
        <v>854</v>
      </c>
      <c r="I188" s="1813"/>
      <c r="J188" s="1813"/>
      <c r="K188" s="1813"/>
      <c r="L188" s="1813"/>
      <c r="M188" s="181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4" t="s">
        <v>939</v>
      </c>
      <c r="I189" s="1814"/>
      <c r="J189" s="1814"/>
      <c r="K189" s="1814"/>
      <c r="L189" s="1814"/>
      <c r="M189" s="181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2" t="s">
        <v>938</v>
      </c>
      <c r="I190" s="1812"/>
      <c r="J190" s="1812"/>
      <c r="K190" s="1812"/>
      <c r="L190" s="1812"/>
      <c r="M190" s="181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0"/>
      <c r="J191" s="1810"/>
      <c r="K191" s="1810"/>
      <c r="L191" s="1810"/>
      <c r="M191" s="1810"/>
      <c r="N191" s="1810"/>
    </row>
    <row r="192" spans="1:14" ht="15.75" x14ac:dyDescent="0.25">
      <c r="A192" s="267"/>
      <c r="B192" s="308"/>
      <c r="C192" s="267"/>
      <c r="D192" s="268"/>
      <c r="E192" s="268"/>
      <c r="F192" s="269"/>
      <c r="G192" s="1738"/>
      <c r="H192" s="1738"/>
      <c r="I192" s="1738"/>
      <c r="J192" s="1738"/>
      <c r="K192" s="173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973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07" t="s">
        <v>854</v>
      </c>
      <c r="I85" s="1807"/>
      <c r="J85" s="1807"/>
      <c r="K85" s="1807"/>
      <c r="L85" s="1807"/>
      <c r="M85" s="180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08" t="s">
        <v>852</v>
      </c>
      <c r="I86" s="1808"/>
      <c r="J86" s="1808"/>
      <c r="K86" s="1808"/>
      <c r="L86" s="1808"/>
      <c r="M86" s="180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809" t="s">
        <v>853</v>
      </c>
      <c r="I87" s="1809"/>
      <c r="J87" s="1809"/>
      <c r="K87" s="1809"/>
      <c r="L87" s="1809"/>
      <c r="M87" s="180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0"/>
      <c r="J88" s="1810"/>
      <c r="K88" s="1810"/>
      <c r="L88" s="1810"/>
      <c r="M88" s="1810"/>
      <c r="N88" s="1810"/>
    </row>
    <row r="89" spans="1:14" ht="15.75" x14ac:dyDescent="0.25">
      <c r="A89" s="267"/>
      <c r="B89" s="267"/>
      <c r="C89" s="267"/>
      <c r="D89" s="268"/>
      <c r="E89" s="268"/>
      <c r="F89" s="269"/>
      <c r="G89" s="1738"/>
      <c r="H89" s="1738"/>
      <c r="I89" s="1738"/>
      <c r="J89" s="1738"/>
      <c r="K89" s="173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974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7" t="s">
        <v>854</v>
      </c>
      <c r="I31" s="1807"/>
      <c r="J31" s="1807"/>
      <c r="K31" s="1807"/>
      <c r="L31" s="1807"/>
      <c r="M31" s="180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8" t="s">
        <v>852</v>
      </c>
      <c r="I32" s="1808"/>
      <c r="J32" s="1808"/>
      <c r="K32" s="1808"/>
      <c r="L32" s="1808"/>
      <c r="M32" s="180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09" t="s">
        <v>853</v>
      </c>
      <c r="I33" s="1809"/>
      <c r="J33" s="1809"/>
      <c r="K33" s="1809"/>
      <c r="L33" s="1809"/>
      <c r="M33" s="180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0"/>
      <c r="J34" s="1810"/>
      <c r="K34" s="1810"/>
      <c r="L34" s="1810"/>
      <c r="M34" s="1810"/>
      <c r="N34" s="1810"/>
    </row>
    <row r="35" spans="1:14" ht="15.75" x14ac:dyDescent="0.25">
      <c r="A35" s="267"/>
      <c r="B35" s="267"/>
      <c r="C35" s="267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975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870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5" t="s">
        <v>854</v>
      </c>
      <c r="G21" s="1805"/>
      <c r="H21" s="1805"/>
      <c r="I21" s="1805"/>
      <c r="J21" s="1805"/>
      <c r="K21" s="180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732" t="s">
        <v>852</v>
      </c>
      <c r="G22" s="1732"/>
      <c r="H22" s="1732"/>
      <c r="I22" s="1732"/>
      <c r="J22" s="1732"/>
      <c r="K22" s="173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734" t="s">
        <v>853</v>
      </c>
      <c r="G23" s="1734"/>
      <c r="H23" s="1734"/>
      <c r="I23" s="1734"/>
      <c r="J23" s="1734"/>
      <c r="K23" s="1734"/>
      <c r="L23" s="259"/>
    </row>
    <row r="24" spans="1:12" x14ac:dyDescent="0.25">
      <c r="A24" s="535"/>
      <c r="B24" s="535"/>
      <c r="C24" s="536"/>
      <c r="D24" s="271"/>
      <c r="E24" s="269"/>
      <c r="F24" s="259"/>
      <c r="G24" s="1806"/>
      <c r="H24" s="1806"/>
      <c r="I24" s="1806"/>
      <c r="J24" s="1806"/>
      <c r="K24" s="1806"/>
      <c r="L24" s="1806"/>
    </row>
    <row r="25" spans="1:12" x14ac:dyDescent="0.25">
      <c r="A25" s="531"/>
      <c r="B25" s="531"/>
      <c r="C25" s="259"/>
      <c r="D25" s="269"/>
      <c r="E25" s="1734"/>
      <c r="F25" s="1734"/>
      <c r="G25" s="1734"/>
      <c r="H25" s="1734"/>
      <c r="I25" s="1734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976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7" t="s">
        <v>854</v>
      </c>
      <c r="G21" s="1807"/>
      <c r="H21" s="1807"/>
      <c r="I21" s="1807"/>
      <c r="J21" s="1807"/>
      <c r="K21" s="180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8" t="s">
        <v>852</v>
      </c>
      <c r="G22" s="1808"/>
      <c r="H22" s="1808"/>
      <c r="I22" s="1808"/>
      <c r="J22" s="1808"/>
      <c r="K22" s="180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09" t="s">
        <v>853</v>
      </c>
      <c r="G23" s="1809"/>
      <c r="H23" s="1809"/>
      <c r="I23" s="1809"/>
      <c r="J23" s="1809"/>
      <c r="K23" s="1809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0"/>
      <c r="H24" s="1810"/>
      <c r="I24" s="1810"/>
      <c r="J24" s="1810"/>
      <c r="K24" s="1810"/>
      <c r="L24" s="1810"/>
    </row>
    <row r="25" spans="1:12" ht="15.75" x14ac:dyDescent="0.25">
      <c r="A25" s="267"/>
      <c r="B25" s="267"/>
      <c r="C25" s="268"/>
      <c r="D25" s="269"/>
      <c r="E25" s="1738"/>
      <c r="F25" s="1738"/>
      <c r="G25" s="1738"/>
      <c r="H25" s="1738"/>
      <c r="I25" s="173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977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981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20" t="s">
        <v>14</v>
      </c>
      <c r="G14" s="1820" t="s">
        <v>15</v>
      </c>
      <c r="H14" s="1820" t="s">
        <v>16</v>
      </c>
      <c r="I14" s="1820" t="s">
        <v>17</v>
      </c>
      <c r="J14" s="1820" t="s">
        <v>18</v>
      </c>
      <c r="K14" s="1822" t="s">
        <v>19</v>
      </c>
      <c r="L14" s="1769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21"/>
      <c r="G15" s="1821"/>
      <c r="H15" s="1821"/>
      <c r="I15" s="1821"/>
      <c r="J15" s="1821"/>
      <c r="K15" s="1823"/>
      <c r="L15" s="182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813" t="s">
        <v>854</v>
      </c>
      <c r="I189" s="1813"/>
      <c r="J189" s="1813"/>
      <c r="K189" s="1813"/>
      <c r="L189" s="1813"/>
      <c r="M189" s="1813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814" t="s">
        <v>939</v>
      </c>
      <c r="I190" s="1814"/>
      <c r="J190" s="1814"/>
      <c r="K190" s="1814"/>
      <c r="L190" s="1814"/>
      <c r="M190" s="1814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812" t="s">
        <v>938</v>
      </c>
      <c r="I191" s="1812"/>
      <c r="J191" s="1812"/>
      <c r="K191" s="1812"/>
      <c r="L191" s="1812"/>
      <c r="M191" s="1812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810"/>
      <c r="J192" s="1810"/>
      <c r="K192" s="1810"/>
      <c r="L192" s="1810"/>
      <c r="M192" s="1810"/>
      <c r="N192" s="1810"/>
    </row>
    <row r="193" spans="7:11" ht="15.75" x14ac:dyDescent="0.25">
      <c r="G193" s="1738"/>
      <c r="H193" s="1738"/>
      <c r="I193" s="1738"/>
      <c r="J193" s="1738"/>
      <c r="K193" s="1738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982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07" t="s">
        <v>854</v>
      </c>
      <c r="I85" s="1807"/>
      <c r="J85" s="1807"/>
      <c r="K85" s="1807"/>
      <c r="L85" s="1807"/>
      <c r="M85" s="180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08" t="s">
        <v>852</v>
      </c>
      <c r="I86" s="1808"/>
      <c r="J86" s="1808"/>
      <c r="K86" s="1808"/>
      <c r="L86" s="1808"/>
      <c r="M86" s="180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809" t="s">
        <v>853</v>
      </c>
      <c r="I87" s="1809"/>
      <c r="J87" s="1809"/>
      <c r="K87" s="1809"/>
      <c r="L87" s="1809"/>
      <c r="M87" s="180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0"/>
      <c r="J88" s="1810"/>
      <c r="K88" s="1810"/>
      <c r="L88" s="1810"/>
      <c r="M88" s="1810"/>
      <c r="N88" s="1810"/>
    </row>
    <row r="89" spans="1:14" ht="15.75" x14ac:dyDescent="0.25">
      <c r="A89" s="267"/>
      <c r="B89" s="267"/>
      <c r="C89" s="267"/>
      <c r="D89" s="268"/>
      <c r="E89" s="268"/>
      <c r="F89" s="269"/>
      <c r="G89" s="1738"/>
      <c r="H89" s="1738"/>
      <c r="I89" s="1738"/>
      <c r="J89" s="1738"/>
      <c r="K89" s="173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983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984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7" t="s">
        <v>854</v>
      </c>
      <c r="G21" s="1807"/>
      <c r="H21" s="1807"/>
      <c r="I21" s="1807"/>
      <c r="J21" s="1807"/>
      <c r="K21" s="180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8" t="s">
        <v>852</v>
      </c>
      <c r="G22" s="1808"/>
      <c r="H22" s="1808"/>
      <c r="I22" s="1808"/>
      <c r="J22" s="1808"/>
      <c r="K22" s="180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09" t="s">
        <v>853</v>
      </c>
      <c r="G23" s="1809"/>
      <c r="H23" s="1809"/>
      <c r="I23" s="1809"/>
      <c r="J23" s="1809"/>
      <c r="K23" s="1809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0"/>
      <c r="H24" s="1810"/>
      <c r="I24" s="1810"/>
      <c r="J24" s="1810"/>
      <c r="K24" s="1810"/>
      <c r="L24" s="1810"/>
    </row>
    <row r="25" spans="1:12" ht="15.75" x14ac:dyDescent="0.25">
      <c r="A25" s="267"/>
      <c r="B25" s="267"/>
      <c r="C25" s="268"/>
      <c r="D25" s="269"/>
      <c r="E25" s="1738"/>
      <c r="F25" s="1738"/>
      <c r="G25" s="1738"/>
      <c r="H25" s="1738"/>
      <c r="I25" s="173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985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7" t="s">
        <v>854</v>
      </c>
      <c r="I31" s="1807"/>
      <c r="J31" s="1807"/>
      <c r="K31" s="1807"/>
      <c r="L31" s="1807"/>
      <c r="M31" s="180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8" t="s">
        <v>852</v>
      </c>
      <c r="I32" s="1808"/>
      <c r="J32" s="1808"/>
      <c r="K32" s="1808"/>
      <c r="L32" s="1808"/>
      <c r="M32" s="180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809" t="s">
        <v>853</v>
      </c>
      <c r="I33" s="1809"/>
      <c r="J33" s="1809"/>
      <c r="K33" s="1809"/>
      <c r="L33" s="1809"/>
      <c r="M33" s="180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0"/>
      <c r="J34" s="1810"/>
      <c r="K34" s="1810"/>
      <c r="L34" s="1810"/>
      <c r="M34" s="1810"/>
      <c r="N34" s="1810"/>
    </row>
    <row r="35" spans="1:14" ht="15.75" x14ac:dyDescent="0.25">
      <c r="A35" s="267"/>
      <c r="B35" s="267"/>
      <c r="C35" s="267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991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20" t="s">
        <v>14</v>
      </c>
      <c r="G14" s="1820" t="s">
        <v>15</v>
      </c>
      <c r="H14" s="1820" t="s">
        <v>16</v>
      </c>
      <c r="I14" s="1820" t="s">
        <v>17</v>
      </c>
      <c r="J14" s="1820" t="s">
        <v>18</v>
      </c>
      <c r="K14" s="1822" t="s">
        <v>19</v>
      </c>
      <c r="L14" s="1769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21"/>
      <c r="G15" s="1821"/>
      <c r="H15" s="1821"/>
      <c r="I15" s="1821"/>
      <c r="J15" s="1821"/>
      <c r="K15" s="1823"/>
      <c r="L15" s="182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3" t="s">
        <v>854</v>
      </c>
      <c r="I188" s="1813"/>
      <c r="J188" s="1813"/>
      <c r="K188" s="1813"/>
      <c r="L188" s="1813"/>
      <c r="M188" s="181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4" t="s">
        <v>939</v>
      </c>
      <c r="I189" s="1814"/>
      <c r="J189" s="1814"/>
      <c r="K189" s="1814"/>
      <c r="L189" s="1814"/>
      <c r="M189" s="181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12" t="s">
        <v>938</v>
      </c>
      <c r="I190" s="1812"/>
      <c r="J190" s="1812"/>
      <c r="K190" s="1812"/>
      <c r="L190" s="1812"/>
      <c r="M190" s="181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810"/>
      <c r="J191" s="1810"/>
      <c r="K191" s="1810"/>
      <c r="L191" s="1810"/>
      <c r="M191" s="1810"/>
      <c r="N191" s="1810"/>
    </row>
    <row r="192" spans="1:14" ht="15.75" x14ac:dyDescent="0.25">
      <c r="A192" s="267"/>
      <c r="B192" s="308"/>
      <c r="C192" s="267"/>
      <c r="D192" s="268"/>
      <c r="E192" s="268"/>
      <c r="F192" s="269"/>
      <c r="G192" s="1738"/>
      <c r="H192" s="1738"/>
      <c r="I192" s="1738"/>
      <c r="J192" s="1738"/>
      <c r="K192" s="1738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992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07" t="s">
        <v>854</v>
      </c>
      <c r="I81" s="1807"/>
      <c r="J81" s="1807"/>
      <c r="K81" s="1807"/>
      <c r="L81" s="1807"/>
      <c r="M81" s="180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08" t="s">
        <v>852</v>
      </c>
      <c r="I82" s="1808"/>
      <c r="J82" s="1808"/>
      <c r="K82" s="1808"/>
      <c r="L82" s="1808"/>
      <c r="M82" s="180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809" t="s">
        <v>853</v>
      </c>
      <c r="I83" s="1809"/>
      <c r="J83" s="1809"/>
      <c r="K83" s="1809"/>
      <c r="L83" s="1809"/>
      <c r="M83" s="180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810"/>
      <c r="J84" s="1810"/>
      <c r="K84" s="1810"/>
      <c r="L84" s="1810"/>
      <c r="M84" s="1810"/>
      <c r="N84" s="1810"/>
    </row>
    <row r="85" spans="1:14" ht="15.75" x14ac:dyDescent="0.25">
      <c r="A85" s="267"/>
      <c r="B85" s="267"/>
      <c r="C85" s="267"/>
      <c r="D85" s="268"/>
      <c r="E85" s="268"/>
      <c r="F85" s="269"/>
      <c r="G85" s="1738"/>
      <c r="H85" s="1738"/>
      <c r="I85" s="1738"/>
      <c r="J85" s="1738"/>
      <c r="K85" s="1738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993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994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7" t="s">
        <v>854</v>
      </c>
      <c r="G21" s="1807"/>
      <c r="H21" s="1807"/>
      <c r="I21" s="1807"/>
      <c r="J21" s="1807"/>
      <c r="K21" s="180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8" t="s">
        <v>852</v>
      </c>
      <c r="G22" s="1808"/>
      <c r="H22" s="1808"/>
      <c r="I22" s="1808"/>
      <c r="J22" s="1808"/>
      <c r="K22" s="180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09" t="s">
        <v>853</v>
      </c>
      <c r="G23" s="1809"/>
      <c r="H23" s="1809"/>
      <c r="I23" s="1809"/>
      <c r="J23" s="1809"/>
      <c r="K23" s="1809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0"/>
      <c r="H24" s="1810"/>
      <c r="I24" s="1810"/>
      <c r="J24" s="1810"/>
      <c r="K24" s="1810"/>
      <c r="L24" s="1810"/>
    </row>
    <row r="25" spans="1:12" ht="15.75" x14ac:dyDescent="0.25">
      <c r="A25" s="267"/>
      <c r="B25" s="267"/>
      <c r="C25" s="268"/>
      <c r="D25" s="269"/>
      <c r="E25" s="1738"/>
      <c r="F25" s="1738"/>
      <c r="G25" s="1738"/>
      <c r="H25" s="1738"/>
      <c r="I25" s="1738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995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7" t="s">
        <v>854</v>
      </c>
      <c r="I31" s="1807"/>
      <c r="J31" s="1807"/>
      <c r="K31" s="1807"/>
      <c r="L31" s="1807"/>
      <c r="M31" s="180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8" t="s">
        <v>852</v>
      </c>
      <c r="I32" s="1808"/>
      <c r="J32" s="1808"/>
      <c r="K32" s="1808"/>
      <c r="L32" s="1808"/>
      <c r="M32" s="1808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809" t="s">
        <v>853</v>
      </c>
      <c r="I33" s="1809"/>
      <c r="J33" s="1809"/>
      <c r="K33" s="1809"/>
      <c r="L33" s="1809"/>
      <c r="M33" s="180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810"/>
      <c r="J34" s="1810"/>
      <c r="K34" s="1810"/>
      <c r="L34" s="1810"/>
      <c r="M34" s="1810"/>
      <c r="N34" s="1810"/>
    </row>
    <row r="35" spans="1:14" ht="15.75" x14ac:dyDescent="0.25">
      <c r="A35" s="267"/>
      <c r="B35" s="267"/>
      <c r="C35" s="267"/>
      <c r="D35" s="268"/>
      <c r="E35" s="268"/>
      <c r="F35" s="269"/>
      <c r="G35" s="1738"/>
      <c r="H35" s="1738"/>
      <c r="I35" s="1738"/>
      <c r="J35" s="1738"/>
      <c r="K35" s="1738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1004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20" t="s">
        <v>14</v>
      </c>
      <c r="G14" s="1820" t="s">
        <v>15</v>
      </c>
      <c r="H14" s="1820" t="s">
        <v>16</v>
      </c>
      <c r="I14" s="1820" t="s">
        <v>17</v>
      </c>
      <c r="J14" s="1820" t="s">
        <v>18</v>
      </c>
      <c r="K14" s="1822" t="s">
        <v>19</v>
      </c>
      <c r="L14" s="1769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21"/>
      <c r="G15" s="1821"/>
      <c r="H15" s="1821"/>
      <c r="I15" s="1821"/>
      <c r="J15" s="1821"/>
      <c r="K15" s="1823"/>
      <c r="L15" s="182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3" t="s">
        <v>854</v>
      </c>
      <c r="I192" s="1813"/>
      <c r="J192" s="1813"/>
      <c r="K192" s="1813"/>
      <c r="L192" s="1813"/>
      <c r="M192" s="181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4" t="s">
        <v>939</v>
      </c>
      <c r="I193" s="1814"/>
      <c r="J193" s="1814"/>
      <c r="K193" s="1814"/>
      <c r="L193" s="1814"/>
      <c r="M193" s="181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12" t="s">
        <v>938</v>
      </c>
      <c r="I194" s="1812"/>
      <c r="J194" s="1812"/>
      <c r="K194" s="1812"/>
      <c r="L194" s="1812"/>
      <c r="M194" s="181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810"/>
      <c r="J195" s="1810"/>
      <c r="K195" s="1810"/>
      <c r="L195" s="1810"/>
      <c r="M195" s="1810"/>
      <c r="N195" s="1810"/>
    </row>
    <row r="196" spans="1:14" ht="15.75" x14ac:dyDescent="0.25">
      <c r="A196" s="267"/>
      <c r="B196" s="308"/>
      <c r="C196" s="267"/>
      <c r="D196" s="268"/>
      <c r="E196" s="268"/>
      <c r="F196" s="269"/>
      <c r="G196" s="1738"/>
      <c r="H196" s="1738"/>
      <c r="I196" s="1738"/>
      <c r="J196" s="1738"/>
      <c r="K196" s="1738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1003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07" t="s">
        <v>854</v>
      </c>
      <c r="I81" s="1807"/>
      <c r="J81" s="1807"/>
      <c r="K81" s="1807"/>
      <c r="L81" s="1807"/>
      <c r="M81" s="180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08" t="s">
        <v>852</v>
      </c>
      <c r="I82" s="1808"/>
      <c r="J82" s="1808"/>
      <c r="K82" s="1808"/>
      <c r="L82" s="1808"/>
      <c r="M82" s="180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809" t="s">
        <v>853</v>
      </c>
      <c r="I83" s="1809"/>
      <c r="J83" s="1809"/>
      <c r="K83" s="1809"/>
      <c r="L83" s="1809"/>
      <c r="M83" s="180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810"/>
      <c r="J84" s="1810"/>
      <c r="K84" s="1810"/>
      <c r="L84" s="1810"/>
      <c r="M84" s="1810"/>
      <c r="N84" s="1810"/>
    </row>
    <row r="85" spans="1:14" ht="15.75" x14ac:dyDescent="0.25">
      <c r="A85" s="267"/>
      <c r="B85" s="267"/>
      <c r="C85" s="267"/>
      <c r="D85" s="268"/>
      <c r="E85" s="268"/>
      <c r="F85" s="269"/>
      <c r="G85" s="1738"/>
      <c r="H85" s="1738"/>
      <c r="I85" s="1738"/>
      <c r="J85" s="1738"/>
      <c r="K85" s="1738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1002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1001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7" t="s">
        <v>854</v>
      </c>
      <c r="G21" s="1807"/>
      <c r="H21" s="1807"/>
      <c r="I21" s="1807"/>
      <c r="J21" s="1807"/>
      <c r="K21" s="180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8" t="s">
        <v>852</v>
      </c>
      <c r="G22" s="1808"/>
      <c r="H22" s="1808"/>
      <c r="I22" s="1808"/>
      <c r="J22" s="1808"/>
      <c r="K22" s="180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09" t="s">
        <v>853</v>
      </c>
      <c r="G23" s="1809"/>
      <c r="H23" s="1809"/>
      <c r="I23" s="1809"/>
      <c r="J23" s="1809"/>
      <c r="K23" s="1809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0"/>
      <c r="H24" s="1810"/>
      <c r="I24" s="1810"/>
      <c r="J24" s="1810"/>
      <c r="K24" s="1810"/>
      <c r="L24" s="1810"/>
    </row>
    <row r="25" spans="1:12" ht="15.75" x14ac:dyDescent="0.25">
      <c r="A25" s="267"/>
      <c r="B25" s="267"/>
      <c r="C25" s="268"/>
      <c r="D25" s="269"/>
      <c r="E25" s="1738"/>
      <c r="F25" s="1738"/>
      <c r="G25" s="1738"/>
      <c r="H25" s="1738"/>
      <c r="I25" s="1738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1000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807" t="s">
        <v>854</v>
      </c>
      <c r="I28" s="1807"/>
      <c r="J28" s="1807"/>
      <c r="K28" s="1807"/>
      <c r="L28" s="1807"/>
      <c r="M28" s="1807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808" t="s">
        <v>852</v>
      </c>
      <c r="I29" s="1808"/>
      <c r="J29" s="1808"/>
      <c r="K29" s="1808"/>
      <c r="L29" s="1808"/>
      <c r="M29" s="1808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809" t="s">
        <v>853</v>
      </c>
      <c r="I30" s="1809"/>
      <c r="J30" s="1809"/>
      <c r="K30" s="1809"/>
      <c r="L30" s="1809"/>
      <c r="M30" s="1809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810"/>
      <c r="J31" s="1810"/>
      <c r="K31" s="1810"/>
      <c r="L31" s="1810"/>
      <c r="M31" s="1810"/>
      <c r="N31" s="1810"/>
    </row>
    <row r="32" spans="1:14" ht="15.75" x14ac:dyDescent="0.25">
      <c r="A32" s="267"/>
      <c r="B32" s="267"/>
      <c r="C32" s="267"/>
      <c r="D32" s="268"/>
      <c r="E32" s="268"/>
      <c r="F32" s="269"/>
      <c r="G32" s="1738"/>
      <c r="H32" s="1738"/>
      <c r="I32" s="1738"/>
      <c r="J32" s="1738"/>
      <c r="K32" s="1738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1004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20" t="s">
        <v>14</v>
      </c>
      <c r="G14" s="1820" t="s">
        <v>15</v>
      </c>
      <c r="H14" s="1820" t="s">
        <v>16</v>
      </c>
      <c r="I14" s="1820" t="s">
        <v>17</v>
      </c>
      <c r="J14" s="1820" t="s">
        <v>18</v>
      </c>
      <c r="K14" s="1822" t="s">
        <v>19</v>
      </c>
      <c r="L14" s="1769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21"/>
      <c r="G15" s="1821"/>
      <c r="H15" s="1821"/>
      <c r="I15" s="1821"/>
      <c r="J15" s="1821"/>
      <c r="K15" s="1823"/>
      <c r="L15" s="182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3" t="s">
        <v>854</v>
      </c>
      <c r="I192" s="1813"/>
      <c r="J192" s="1813"/>
      <c r="K192" s="1813"/>
      <c r="L192" s="1813"/>
      <c r="M192" s="181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4" t="s">
        <v>939</v>
      </c>
      <c r="I193" s="1814"/>
      <c r="J193" s="1814"/>
      <c r="K193" s="1814"/>
      <c r="L193" s="1814"/>
      <c r="M193" s="181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12" t="s">
        <v>938</v>
      </c>
      <c r="I194" s="1812"/>
      <c r="J194" s="1812"/>
      <c r="K194" s="1812"/>
      <c r="L194" s="1812"/>
      <c r="M194" s="181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810"/>
      <c r="J195" s="1810"/>
      <c r="K195" s="1810"/>
      <c r="L195" s="1810"/>
      <c r="M195" s="1810"/>
      <c r="N195" s="1810"/>
    </row>
    <row r="196" spans="1:14" ht="15.75" x14ac:dyDescent="0.25">
      <c r="A196" s="267"/>
      <c r="B196" s="308"/>
      <c r="C196" s="267"/>
      <c r="D196" s="268"/>
      <c r="E196" s="268"/>
      <c r="F196" s="269"/>
      <c r="G196" s="1738"/>
      <c r="H196" s="1738"/>
      <c r="I196" s="1738"/>
      <c r="J196" s="1738"/>
      <c r="K196" s="1738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1005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07" t="s">
        <v>854</v>
      </c>
      <c r="I85" s="1807"/>
      <c r="J85" s="1807"/>
      <c r="K85" s="1807"/>
      <c r="L85" s="1807"/>
      <c r="M85" s="180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08" t="s">
        <v>852</v>
      </c>
      <c r="I86" s="1808"/>
      <c r="J86" s="1808"/>
      <c r="K86" s="1808"/>
      <c r="L86" s="1808"/>
      <c r="M86" s="1808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809" t="s">
        <v>853</v>
      </c>
      <c r="I87" s="1809"/>
      <c r="J87" s="1809"/>
      <c r="K87" s="1809"/>
      <c r="L87" s="1809"/>
      <c r="M87" s="180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810"/>
      <c r="J88" s="1810"/>
      <c r="K88" s="1810"/>
      <c r="L88" s="1810"/>
      <c r="M88" s="1810"/>
      <c r="N88" s="1810"/>
    </row>
    <row r="89" spans="1:14" ht="15.75" x14ac:dyDescent="0.25">
      <c r="A89" s="267"/>
      <c r="B89" s="267"/>
      <c r="C89" s="267"/>
      <c r="D89" s="268"/>
      <c r="E89" s="268"/>
      <c r="F89" s="269"/>
      <c r="G89" s="1738"/>
      <c r="H89" s="1738"/>
      <c r="I89" s="1738"/>
      <c r="J89" s="1738"/>
      <c r="K89" s="1738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1006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</row>
    <row r="8" spans="1:12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</row>
    <row r="9" spans="1:12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</row>
    <row r="10" spans="1:12" x14ac:dyDescent="0.25">
      <c r="A10" s="1732" t="s">
        <v>1007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</row>
    <row r="11" spans="1:12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796" t="s">
        <v>7</v>
      </c>
      <c r="B13" s="1817" t="s">
        <v>937</v>
      </c>
      <c r="C13" s="1796" t="s">
        <v>9</v>
      </c>
      <c r="D13" s="421" t="s">
        <v>12</v>
      </c>
      <c r="E13" s="1797" t="s">
        <v>13</v>
      </c>
      <c r="F13" s="1798" t="s">
        <v>14</v>
      </c>
      <c r="G13" s="1798" t="s">
        <v>15</v>
      </c>
      <c r="H13" s="1798" t="s">
        <v>16</v>
      </c>
      <c r="I13" s="1798" t="s">
        <v>17</v>
      </c>
      <c r="J13" s="1798" t="s">
        <v>18</v>
      </c>
      <c r="K13" s="1798" t="s">
        <v>19</v>
      </c>
      <c r="L13" s="1798" t="s">
        <v>20</v>
      </c>
    </row>
    <row r="14" spans="1:12" x14ac:dyDescent="0.25">
      <c r="A14" s="1796"/>
      <c r="B14" s="1818"/>
      <c r="C14" s="1796"/>
      <c r="D14" s="421" t="s">
        <v>21</v>
      </c>
      <c r="E14" s="1797"/>
      <c r="F14" s="1798"/>
      <c r="G14" s="1798"/>
      <c r="H14" s="1798"/>
      <c r="I14" s="1798"/>
      <c r="J14" s="1798"/>
      <c r="K14" s="1798"/>
      <c r="L14" s="1798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807" t="s">
        <v>854</v>
      </c>
      <c r="H28" s="1807"/>
      <c r="I28" s="1807"/>
      <c r="J28" s="1807"/>
      <c r="K28" s="1807"/>
      <c r="L28" s="1807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808" t="s">
        <v>852</v>
      </c>
      <c r="H29" s="1808"/>
      <c r="I29" s="1808"/>
      <c r="J29" s="1808"/>
      <c r="K29" s="1808"/>
      <c r="L29" s="1808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809" t="s">
        <v>853</v>
      </c>
      <c r="H30" s="1809"/>
      <c r="I30" s="1809"/>
      <c r="J30" s="1809"/>
      <c r="K30" s="1809"/>
      <c r="L30" s="1809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810"/>
      <c r="I31" s="1810"/>
      <c r="J31" s="1810"/>
      <c r="K31" s="1810"/>
      <c r="L31" s="1810"/>
      <c r="M31" s="1810"/>
    </row>
    <row r="32" spans="1:13" ht="15.75" x14ac:dyDescent="0.25">
      <c r="A32" s="267"/>
      <c r="B32" s="267"/>
      <c r="C32" s="267"/>
      <c r="D32" s="268"/>
      <c r="E32" s="269"/>
      <c r="F32" s="1738"/>
      <c r="G32" s="1738"/>
      <c r="H32" s="1738"/>
      <c r="I32" s="1738"/>
      <c r="J32" s="1738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1009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5" t="s">
        <v>7</v>
      </c>
      <c r="B14" s="1827" t="s">
        <v>802</v>
      </c>
      <c r="C14" s="1829" t="s">
        <v>9</v>
      </c>
      <c r="D14" s="451" t="s">
        <v>12</v>
      </c>
      <c r="E14" s="1831" t="s">
        <v>13</v>
      </c>
      <c r="F14" s="1820" t="s">
        <v>14</v>
      </c>
      <c r="G14" s="1820" t="s">
        <v>15</v>
      </c>
      <c r="H14" s="1820" t="s">
        <v>16</v>
      </c>
      <c r="I14" s="1820" t="s">
        <v>17</v>
      </c>
      <c r="J14" s="1820" t="s">
        <v>18</v>
      </c>
      <c r="K14" s="1822" t="s">
        <v>19</v>
      </c>
      <c r="L14" s="1769" t="s">
        <v>20</v>
      </c>
    </row>
    <row r="15" spans="1:12" ht="15.75" thickBot="1" x14ac:dyDescent="0.3">
      <c r="A15" s="1826"/>
      <c r="B15" s="1828"/>
      <c r="C15" s="1830"/>
      <c r="D15" s="452" t="s">
        <v>21</v>
      </c>
      <c r="E15" s="1832"/>
      <c r="F15" s="1821"/>
      <c r="G15" s="1821"/>
      <c r="H15" s="1821"/>
      <c r="I15" s="1821"/>
      <c r="J15" s="1821"/>
      <c r="K15" s="1823"/>
      <c r="L15" s="1824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1010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815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816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1011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1016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89" t="s">
        <v>7</v>
      </c>
      <c r="B14" s="1789" t="s">
        <v>802</v>
      </c>
      <c r="C14" s="1789" t="s">
        <v>9</v>
      </c>
      <c r="D14" s="476" t="s">
        <v>12</v>
      </c>
      <c r="E14" s="1833" t="s">
        <v>13</v>
      </c>
      <c r="F14" s="1791" t="s">
        <v>14</v>
      </c>
      <c r="G14" s="1791" t="s">
        <v>15</v>
      </c>
      <c r="H14" s="1791" t="s">
        <v>16</v>
      </c>
      <c r="I14" s="1791" t="s">
        <v>17</v>
      </c>
      <c r="J14" s="1791" t="s">
        <v>18</v>
      </c>
      <c r="K14" s="1791" t="s">
        <v>19</v>
      </c>
      <c r="L14" s="1791" t="s">
        <v>20</v>
      </c>
    </row>
    <row r="15" spans="1:12" x14ac:dyDescent="0.25">
      <c r="A15" s="1789"/>
      <c r="B15" s="1789"/>
      <c r="C15" s="1789"/>
      <c r="D15" s="476" t="s">
        <v>21</v>
      </c>
      <c r="E15" s="1833"/>
      <c r="F15" s="1791"/>
      <c r="G15" s="1791"/>
      <c r="H15" s="1791"/>
      <c r="I15" s="1791"/>
      <c r="J15" s="1791"/>
      <c r="K15" s="1791"/>
      <c r="L15" s="179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1017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789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789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1018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617" t="s">
        <v>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617" t="s">
        <v>1021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</row>
    <row r="11" spans="1:12" x14ac:dyDescent="0.25">
      <c r="A11" s="1731" t="s">
        <v>404</v>
      </c>
      <c r="B11" s="1731"/>
      <c r="C11" s="1731"/>
      <c r="D11" s="1731"/>
      <c r="E11" s="1731"/>
      <c r="F11" s="1731"/>
      <c r="G11" s="1731"/>
      <c r="H11" s="1731"/>
      <c r="I11" s="1731"/>
      <c r="J11" s="1731"/>
      <c r="K11" s="1731"/>
      <c r="L11" s="1731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89" t="s">
        <v>7</v>
      </c>
      <c r="B14" s="1789" t="s">
        <v>802</v>
      </c>
      <c r="C14" s="1789" t="s">
        <v>9</v>
      </c>
      <c r="D14" s="476" t="s">
        <v>12</v>
      </c>
      <c r="E14" s="1833" t="s">
        <v>13</v>
      </c>
      <c r="F14" s="1791" t="s">
        <v>14</v>
      </c>
      <c r="G14" s="1791" t="s">
        <v>15</v>
      </c>
      <c r="H14" s="1791" t="s">
        <v>16</v>
      </c>
      <c r="I14" s="1791" t="s">
        <v>17</v>
      </c>
      <c r="J14" s="1791" t="s">
        <v>18</v>
      </c>
      <c r="K14" s="1791" t="s">
        <v>19</v>
      </c>
      <c r="L14" s="1791" t="s">
        <v>20</v>
      </c>
    </row>
    <row r="15" spans="1:12" x14ac:dyDescent="0.25">
      <c r="A15" s="1789"/>
      <c r="B15" s="1789"/>
      <c r="C15" s="1789"/>
      <c r="D15" s="476" t="s">
        <v>21</v>
      </c>
      <c r="E15" s="1833"/>
      <c r="F15" s="1791"/>
      <c r="G15" s="1791"/>
      <c r="H15" s="1791"/>
      <c r="I15" s="1791"/>
      <c r="J15" s="1791"/>
      <c r="K15" s="1791"/>
      <c r="L15" s="1791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1023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789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789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1026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1027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404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89" t="s">
        <v>7</v>
      </c>
      <c r="B13" s="1789" t="s">
        <v>802</v>
      </c>
      <c r="C13" s="1789" t="s">
        <v>9</v>
      </c>
      <c r="D13" s="476" t="s">
        <v>12</v>
      </c>
      <c r="E13" s="1833" t="s">
        <v>13</v>
      </c>
      <c r="F13" s="1791" t="s">
        <v>14</v>
      </c>
      <c r="G13" s="1791" t="s">
        <v>15</v>
      </c>
      <c r="H13" s="1791" t="s">
        <v>16</v>
      </c>
      <c r="I13" s="1791" t="s">
        <v>17</v>
      </c>
      <c r="J13" s="1791" t="s">
        <v>18</v>
      </c>
      <c r="K13" s="1791" t="s">
        <v>19</v>
      </c>
      <c r="L13" s="1791" t="s">
        <v>20</v>
      </c>
    </row>
    <row r="14" spans="1:12" x14ac:dyDescent="0.25">
      <c r="A14" s="1789"/>
      <c r="B14" s="1789"/>
      <c r="C14" s="1789"/>
      <c r="D14" s="476" t="s">
        <v>21</v>
      </c>
      <c r="E14" s="1833"/>
      <c r="F14" s="1791"/>
      <c r="G14" s="1791"/>
      <c r="H14" s="1791"/>
      <c r="I14" s="1791"/>
      <c r="J14" s="1791"/>
      <c r="K14" s="1791"/>
      <c r="L14" s="179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7" t="s">
        <v>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1:13" x14ac:dyDescent="0.25">
      <c r="A10" s="1617" t="s">
        <v>1028</v>
      </c>
      <c r="B10" s="1617"/>
      <c r="C10" s="1617"/>
      <c r="D10" s="1617"/>
      <c r="E10" s="1617"/>
      <c r="F10" s="1617"/>
      <c r="G10" s="1617"/>
      <c r="H10" s="1617"/>
      <c r="I10" s="1617"/>
      <c r="J10" s="1617"/>
      <c r="K10" s="1617"/>
      <c r="L10" s="1617"/>
      <c r="M10" s="1617"/>
    </row>
    <row r="11" spans="1:13" x14ac:dyDescent="0.25">
      <c r="A11" s="1618" t="s">
        <v>441</v>
      </c>
      <c r="B11" s="1618"/>
      <c r="C11" s="1618"/>
      <c r="D11" s="1618"/>
      <c r="E11" s="1618"/>
      <c r="F11" s="1618"/>
      <c r="G11" s="1618"/>
      <c r="H11" s="1618"/>
      <c r="I11" s="1618"/>
      <c r="J11" s="1618"/>
      <c r="K11" s="1618"/>
      <c r="L11" s="1618"/>
      <c r="M11" s="161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9" t="s">
        <v>7</v>
      </c>
      <c r="B13" s="1789" t="s">
        <v>937</v>
      </c>
      <c r="C13" s="1790" t="s">
        <v>9</v>
      </c>
      <c r="D13" s="1789" t="s">
        <v>832</v>
      </c>
      <c r="E13" s="476" t="s">
        <v>12</v>
      </c>
      <c r="F13" s="1793" t="s">
        <v>13</v>
      </c>
      <c r="G13" s="1791" t="s">
        <v>14</v>
      </c>
      <c r="H13" s="1791" t="s">
        <v>15</v>
      </c>
      <c r="I13" s="1791" t="s">
        <v>16</v>
      </c>
      <c r="J13" s="1791" t="s">
        <v>17</v>
      </c>
      <c r="K13" s="1791" t="s">
        <v>18</v>
      </c>
      <c r="L13" s="1791" t="s">
        <v>19</v>
      </c>
      <c r="M13" s="1791" t="s">
        <v>20</v>
      </c>
    </row>
    <row r="14" spans="1:13" x14ac:dyDescent="0.25">
      <c r="A14" s="1789"/>
      <c r="B14" s="1789"/>
      <c r="C14" s="1790"/>
      <c r="D14" s="1789"/>
      <c r="E14" s="476" t="s">
        <v>21</v>
      </c>
      <c r="F14" s="1793"/>
      <c r="G14" s="1791"/>
      <c r="H14" s="1791"/>
      <c r="I14" s="1791"/>
      <c r="J14" s="1791"/>
      <c r="K14" s="1791"/>
      <c r="L14" s="1791"/>
      <c r="M14" s="1791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1029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617" t="s">
        <v>0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1033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404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89" t="s">
        <v>7</v>
      </c>
      <c r="B13" s="1789" t="s">
        <v>802</v>
      </c>
      <c r="C13" s="1789" t="s">
        <v>9</v>
      </c>
      <c r="D13" s="476" t="s">
        <v>12</v>
      </c>
      <c r="E13" s="1833" t="s">
        <v>13</v>
      </c>
      <c r="F13" s="1791" t="s">
        <v>14</v>
      </c>
      <c r="G13" s="1791" t="s">
        <v>15</v>
      </c>
      <c r="H13" s="1791" t="s">
        <v>16</v>
      </c>
      <c r="I13" s="1791" t="s">
        <v>17</v>
      </c>
      <c r="J13" s="1791" t="s">
        <v>18</v>
      </c>
      <c r="K13" s="1791" t="s">
        <v>19</v>
      </c>
      <c r="L13" s="1791" t="s">
        <v>20</v>
      </c>
    </row>
    <row r="14" spans="1:12" x14ac:dyDescent="0.25">
      <c r="A14" s="1789"/>
      <c r="B14" s="1789"/>
      <c r="C14" s="1789"/>
      <c r="D14" s="476" t="s">
        <v>21</v>
      </c>
      <c r="E14" s="1833"/>
      <c r="F14" s="1791"/>
      <c r="G14" s="1791"/>
      <c r="H14" s="1791"/>
      <c r="I14" s="1791"/>
      <c r="J14" s="1791"/>
      <c r="K14" s="1791"/>
      <c r="L14" s="1791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</row>
    <row r="6" spans="1:13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1034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476" t="s">
        <v>12</v>
      </c>
      <c r="F11" s="1793" t="s">
        <v>13</v>
      </c>
      <c r="G11" s="1791" t="s">
        <v>14</v>
      </c>
      <c r="H11" s="1791" t="s">
        <v>15</v>
      </c>
      <c r="I11" s="1791" t="s">
        <v>16</v>
      </c>
      <c r="J11" s="1791" t="s">
        <v>17</v>
      </c>
      <c r="K11" s="1791" t="s">
        <v>18</v>
      </c>
      <c r="L11" s="1791" t="s">
        <v>19</v>
      </c>
      <c r="M11" s="1791" t="s">
        <v>20</v>
      </c>
    </row>
    <row r="12" spans="1:13" x14ac:dyDescent="0.25">
      <c r="A12" s="1789"/>
      <c r="B12" s="1789"/>
      <c r="C12" s="1790"/>
      <c r="D12" s="1789"/>
      <c r="E12" s="476" t="s">
        <v>21</v>
      </c>
      <c r="F12" s="1793"/>
      <c r="G12" s="1791"/>
      <c r="H12" s="1791"/>
      <c r="I12" s="1791"/>
      <c r="J12" s="1791"/>
      <c r="K12" s="1791"/>
      <c r="L12" s="1791"/>
      <c r="M12" s="179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1035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</row>
    <row r="6" spans="1:13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1040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476" t="s">
        <v>12</v>
      </c>
      <c r="F11" s="1793" t="s">
        <v>13</v>
      </c>
      <c r="G11" s="1791" t="s">
        <v>14</v>
      </c>
      <c r="H11" s="1791" t="s">
        <v>15</v>
      </c>
      <c r="I11" s="1791" t="s">
        <v>16</v>
      </c>
      <c r="J11" s="1791" t="s">
        <v>17</v>
      </c>
      <c r="K11" s="1791" t="s">
        <v>18</v>
      </c>
      <c r="L11" s="1791" t="s">
        <v>19</v>
      </c>
      <c r="M11" s="1791" t="s">
        <v>20</v>
      </c>
    </row>
    <row r="12" spans="1:13" x14ac:dyDescent="0.25">
      <c r="A12" s="1789"/>
      <c r="B12" s="1789"/>
      <c r="C12" s="1790"/>
      <c r="D12" s="1789"/>
      <c r="E12" s="476" t="s">
        <v>21</v>
      </c>
      <c r="F12" s="1793"/>
      <c r="G12" s="1791"/>
      <c r="H12" s="1791"/>
      <c r="I12" s="1791"/>
      <c r="J12" s="1791"/>
      <c r="K12" s="1791"/>
      <c r="L12" s="1791"/>
      <c r="M12" s="1791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1051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07" t="s">
        <v>854</v>
      </c>
      <c r="I44" s="1807"/>
      <c r="J44" s="1807"/>
      <c r="K44" s="1807"/>
      <c r="L44" s="1807"/>
      <c r="M44" s="180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08" t="s">
        <v>852</v>
      </c>
      <c r="I45" s="1808"/>
      <c r="J45" s="1808"/>
      <c r="K45" s="1808"/>
      <c r="L45" s="1808"/>
      <c r="M45" s="180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809" t="s">
        <v>853</v>
      </c>
      <c r="I46" s="1809"/>
      <c r="J46" s="1809"/>
      <c r="K46" s="1809"/>
      <c r="L46" s="1809"/>
      <c r="M46" s="180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810"/>
      <c r="J47" s="1810"/>
      <c r="K47" s="1810"/>
      <c r="L47" s="1810"/>
      <c r="M47" s="1810"/>
      <c r="N47" s="1810"/>
    </row>
    <row r="48" spans="1:14" ht="15.75" x14ac:dyDescent="0.25">
      <c r="A48" s="267"/>
      <c r="B48" s="267"/>
      <c r="C48" s="267"/>
      <c r="D48" s="268"/>
      <c r="E48" s="268"/>
      <c r="F48" s="269"/>
      <c r="G48" s="1738"/>
      <c r="H48" s="1738"/>
      <c r="I48" s="1738"/>
      <c r="J48" s="1738"/>
      <c r="K48" s="1738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1052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789" t="s">
        <v>7</v>
      </c>
      <c r="B11" s="1789" t="s">
        <v>802</v>
      </c>
      <c r="C11" s="1789" t="s">
        <v>9</v>
      </c>
      <c r="D11" s="476" t="s">
        <v>12</v>
      </c>
      <c r="E11" s="1833" t="s">
        <v>13</v>
      </c>
      <c r="F11" s="1791" t="s">
        <v>14</v>
      </c>
      <c r="G11" s="1791" t="s">
        <v>15</v>
      </c>
      <c r="H11" s="1791" t="s">
        <v>16</v>
      </c>
      <c r="I11" s="1791" t="s">
        <v>17</v>
      </c>
      <c r="J11" s="1791" t="s">
        <v>18</v>
      </c>
      <c r="K11" s="1791" t="s">
        <v>19</v>
      </c>
      <c r="L11" s="1791" t="s">
        <v>20</v>
      </c>
    </row>
    <row r="12" spans="1:12" x14ac:dyDescent="0.25">
      <c r="A12" s="1789"/>
      <c r="B12" s="1789"/>
      <c r="C12" s="1789"/>
      <c r="D12" s="476" t="s">
        <v>21</v>
      </c>
      <c r="E12" s="1833"/>
      <c r="F12" s="1791"/>
      <c r="G12" s="1791"/>
      <c r="H12" s="1791"/>
      <c r="I12" s="1791"/>
      <c r="J12" s="1791"/>
      <c r="K12" s="1791"/>
      <c r="L12" s="1791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1060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9" t="s">
        <v>7</v>
      </c>
      <c r="B11" s="1789" t="s">
        <v>802</v>
      </c>
      <c r="C11" s="1789" t="s">
        <v>9</v>
      </c>
      <c r="D11" s="1815" t="s">
        <v>11</v>
      </c>
      <c r="E11" s="476" t="s">
        <v>12</v>
      </c>
      <c r="F11" s="1833" t="s">
        <v>13</v>
      </c>
      <c r="G11" s="1791" t="s">
        <v>14</v>
      </c>
      <c r="H11" s="1791" t="s">
        <v>15</v>
      </c>
      <c r="I11" s="1791" t="s">
        <v>16</v>
      </c>
      <c r="J11" s="1791" t="s">
        <v>17</v>
      </c>
      <c r="K11" s="1791" t="s">
        <v>18</v>
      </c>
      <c r="L11" s="1791" t="s">
        <v>19</v>
      </c>
      <c r="M11" s="1791" t="s">
        <v>20</v>
      </c>
    </row>
    <row r="12" spans="1:13" x14ac:dyDescent="0.25">
      <c r="A12" s="1789"/>
      <c r="B12" s="1789"/>
      <c r="C12" s="1789"/>
      <c r="D12" s="1816"/>
      <c r="E12" s="476" t="s">
        <v>21</v>
      </c>
      <c r="F12" s="1833"/>
      <c r="G12" s="1791"/>
      <c r="H12" s="1791"/>
      <c r="I12" s="1791"/>
      <c r="J12" s="1791"/>
      <c r="K12" s="1791"/>
      <c r="L12" s="1791"/>
      <c r="M12" s="179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1059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5" t="s">
        <v>7</v>
      </c>
      <c r="B11" s="1815" t="s">
        <v>937</v>
      </c>
      <c r="C11" s="1838" t="s">
        <v>9</v>
      </c>
      <c r="D11" s="1815" t="s">
        <v>832</v>
      </c>
      <c r="E11" s="1815" t="s">
        <v>834</v>
      </c>
      <c r="F11" s="1815" t="s">
        <v>209</v>
      </c>
      <c r="G11" s="476" t="s">
        <v>12</v>
      </c>
      <c r="H11" s="1836" t="s">
        <v>13</v>
      </c>
      <c r="I11" s="1834" t="s">
        <v>14</v>
      </c>
      <c r="J11" s="1834" t="s">
        <v>15</v>
      </c>
      <c r="K11" s="1834" t="s">
        <v>16</v>
      </c>
      <c r="L11" s="1834" t="s">
        <v>17</v>
      </c>
      <c r="M11" s="1834" t="s">
        <v>18</v>
      </c>
      <c r="N11" s="1834" t="s">
        <v>19</v>
      </c>
      <c r="O11" s="1834" t="s">
        <v>20</v>
      </c>
    </row>
    <row r="12" spans="1:15" x14ac:dyDescent="0.25">
      <c r="A12" s="1816"/>
      <c r="B12" s="1816"/>
      <c r="C12" s="1839"/>
      <c r="D12" s="1816"/>
      <c r="E12" s="1816"/>
      <c r="F12" s="1816"/>
      <c r="G12" s="476" t="s">
        <v>21</v>
      </c>
      <c r="H12" s="1837"/>
      <c r="I12" s="1835"/>
      <c r="J12" s="1835"/>
      <c r="K12" s="1835"/>
      <c r="L12" s="1835"/>
      <c r="M12" s="1835"/>
      <c r="N12" s="1835"/>
      <c r="O12" s="183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1061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07" t="s">
        <v>854</v>
      </c>
      <c r="I44" s="1807"/>
      <c r="J44" s="1807"/>
      <c r="K44" s="1807"/>
      <c r="L44" s="1807"/>
      <c r="M44" s="180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08" t="s">
        <v>852</v>
      </c>
      <c r="I45" s="1808"/>
      <c r="J45" s="1808"/>
      <c r="K45" s="1808"/>
      <c r="L45" s="1808"/>
      <c r="M45" s="180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809" t="s">
        <v>853</v>
      </c>
      <c r="I46" s="1809"/>
      <c r="J46" s="1809"/>
      <c r="K46" s="1809"/>
      <c r="L46" s="1809"/>
      <c r="M46" s="180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810"/>
      <c r="J47" s="1810"/>
      <c r="K47" s="1810"/>
      <c r="L47" s="1810"/>
      <c r="M47" s="1810"/>
      <c r="N47" s="1810"/>
    </row>
    <row r="48" spans="1:14" ht="15.75" x14ac:dyDescent="0.25">
      <c r="A48" s="267"/>
      <c r="B48" s="267"/>
      <c r="C48" s="267"/>
      <c r="D48" s="268"/>
      <c r="E48" s="268"/>
      <c r="F48" s="269"/>
      <c r="G48" s="1738"/>
      <c r="H48" s="1738"/>
      <c r="I48" s="1738"/>
      <c r="J48" s="1738"/>
      <c r="K48" s="1738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1070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9" t="s">
        <v>7</v>
      </c>
      <c r="B11" s="1789" t="s">
        <v>802</v>
      </c>
      <c r="C11" s="1789" t="s">
        <v>9</v>
      </c>
      <c r="D11" s="1815" t="s">
        <v>11</v>
      </c>
      <c r="E11" s="476" t="s">
        <v>12</v>
      </c>
      <c r="F11" s="1833" t="s">
        <v>13</v>
      </c>
      <c r="G11" s="1791" t="s">
        <v>14</v>
      </c>
      <c r="H11" s="1791" t="s">
        <v>15</v>
      </c>
      <c r="I11" s="1791" t="s">
        <v>16</v>
      </c>
      <c r="J11" s="1791" t="s">
        <v>17</v>
      </c>
      <c r="K11" s="1791" t="s">
        <v>18</v>
      </c>
      <c r="L11" s="1791" t="s">
        <v>19</v>
      </c>
      <c r="M11" s="1791" t="s">
        <v>20</v>
      </c>
    </row>
    <row r="12" spans="1:13" x14ac:dyDescent="0.25">
      <c r="A12" s="1789"/>
      <c r="B12" s="1789"/>
      <c r="C12" s="1789"/>
      <c r="D12" s="1816"/>
      <c r="E12" s="476" t="s">
        <v>21</v>
      </c>
      <c r="F12" s="1833"/>
      <c r="G12" s="1791"/>
      <c r="H12" s="1791"/>
      <c r="I12" s="1791"/>
      <c r="J12" s="1791"/>
      <c r="K12" s="1791"/>
      <c r="L12" s="1791"/>
      <c r="M12" s="179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1071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5" t="s">
        <v>7</v>
      </c>
      <c r="B11" s="1815" t="s">
        <v>937</v>
      </c>
      <c r="C11" s="1838" t="s">
        <v>9</v>
      </c>
      <c r="D11" s="1815" t="s">
        <v>832</v>
      </c>
      <c r="E11" s="1815" t="s">
        <v>834</v>
      </c>
      <c r="F11" s="1815" t="s">
        <v>209</v>
      </c>
      <c r="G11" s="476" t="s">
        <v>12</v>
      </c>
      <c r="H11" s="1836" t="s">
        <v>13</v>
      </c>
      <c r="I11" s="1834" t="s">
        <v>14</v>
      </c>
      <c r="J11" s="1834" t="s">
        <v>15</v>
      </c>
      <c r="K11" s="1834" t="s">
        <v>16</v>
      </c>
      <c r="L11" s="1834" t="s">
        <v>17</v>
      </c>
      <c r="M11" s="1834" t="s">
        <v>18</v>
      </c>
      <c r="N11" s="1834" t="s">
        <v>19</v>
      </c>
      <c r="O11" s="1834" t="s">
        <v>20</v>
      </c>
    </row>
    <row r="12" spans="1:15" x14ac:dyDescent="0.25">
      <c r="A12" s="1816"/>
      <c r="B12" s="1816"/>
      <c r="C12" s="1839"/>
      <c r="D12" s="1816"/>
      <c r="E12" s="1816"/>
      <c r="F12" s="1816"/>
      <c r="G12" s="476" t="s">
        <v>21</v>
      </c>
      <c r="H12" s="1837"/>
      <c r="I12" s="1835"/>
      <c r="J12" s="1835"/>
      <c r="K12" s="1835"/>
      <c r="L12" s="1835"/>
      <c r="M12" s="1835"/>
      <c r="N12" s="1835"/>
      <c r="O12" s="183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1072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7" t="s">
        <v>854</v>
      </c>
      <c r="I38" s="1807"/>
      <c r="J38" s="1807"/>
      <c r="K38" s="1807"/>
      <c r="L38" s="1807"/>
      <c r="M38" s="180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8" t="s">
        <v>852</v>
      </c>
      <c r="I39" s="1808"/>
      <c r="J39" s="1808"/>
      <c r="K39" s="1808"/>
      <c r="L39" s="1808"/>
      <c r="M39" s="180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09" t="s">
        <v>853</v>
      </c>
      <c r="I40" s="1809"/>
      <c r="J40" s="1809"/>
      <c r="K40" s="1809"/>
      <c r="L40" s="1809"/>
      <c r="M40" s="180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0"/>
      <c r="J41" s="1810"/>
      <c r="K41" s="1810"/>
      <c r="L41" s="1810"/>
      <c r="M41" s="1810"/>
      <c r="N41" s="1810"/>
    </row>
    <row r="42" spans="1:14" ht="15.75" x14ac:dyDescent="0.25">
      <c r="A42" s="267"/>
      <c r="B42" s="267"/>
      <c r="C42" s="267"/>
      <c r="D42" s="268"/>
      <c r="E42" s="268"/>
      <c r="F42" s="269"/>
      <c r="G42" s="1738"/>
      <c r="H42" s="1738"/>
      <c r="I42" s="1738"/>
      <c r="J42" s="1738"/>
      <c r="K42" s="1738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1084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9" t="s">
        <v>7</v>
      </c>
      <c r="B11" s="1789" t="s">
        <v>802</v>
      </c>
      <c r="C11" s="1789" t="s">
        <v>9</v>
      </c>
      <c r="D11" s="1815" t="s">
        <v>11</v>
      </c>
      <c r="E11" s="476" t="s">
        <v>12</v>
      </c>
      <c r="F11" s="1833" t="s">
        <v>13</v>
      </c>
      <c r="G11" s="1791" t="s">
        <v>14</v>
      </c>
      <c r="H11" s="1791" t="s">
        <v>15</v>
      </c>
      <c r="I11" s="1791" t="s">
        <v>16</v>
      </c>
      <c r="J11" s="1791" t="s">
        <v>17</v>
      </c>
      <c r="K11" s="1791" t="s">
        <v>18</v>
      </c>
      <c r="L11" s="1791" t="s">
        <v>19</v>
      </c>
      <c r="M11" s="1791" t="s">
        <v>20</v>
      </c>
    </row>
    <row r="12" spans="1:13" x14ac:dyDescent="0.25">
      <c r="A12" s="1789"/>
      <c r="B12" s="1789"/>
      <c r="C12" s="1789"/>
      <c r="D12" s="1816"/>
      <c r="E12" s="476" t="s">
        <v>21</v>
      </c>
      <c r="F12" s="1833"/>
      <c r="G12" s="1791"/>
      <c r="H12" s="1791"/>
      <c r="I12" s="1791"/>
      <c r="J12" s="1791"/>
      <c r="K12" s="1791"/>
      <c r="L12" s="1791"/>
      <c r="M12" s="179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1085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5" t="s">
        <v>7</v>
      </c>
      <c r="B11" s="1815" t="s">
        <v>937</v>
      </c>
      <c r="C11" s="1838" t="s">
        <v>9</v>
      </c>
      <c r="D11" s="1815" t="s">
        <v>832</v>
      </c>
      <c r="E11" s="1815" t="s">
        <v>834</v>
      </c>
      <c r="F11" s="1815" t="s">
        <v>209</v>
      </c>
      <c r="G11" s="476" t="s">
        <v>12</v>
      </c>
      <c r="H11" s="1836" t="s">
        <v>13</v>
      </c>
      <c r="I11" s="1834" t="s">
        <v>14</v>
      </c>
      <c r="J11" s="1834" t="s">
        <v>15</v>
      </c>
      <c r="K11" s="1834" t="s">
        <v>16</v>
      </c>
      <c r="L11" s="1834" t="s">
        <v>17</v>
      </c>
      <c r="M11" s="1834" t="s">
        <v>18</v>
      </c>
      <c r="N11" s="1834" t="s">
        <v>19</v>
      </c>
      <c r="O11" s="1834" t="s">
        <v>20</v>
      </c>
    </row>
    <row r="12" spans="1:15" x14ac:dyDescent="0.25">
      <c r="A12" s="1816"/>
      <c r="B12" s="1816"/>
      <c r="C12" s="1839"/>
      <c r="D12" s="1816"/>
      <c r="E12" s="1816"/>
      <c r="F12" s="1816"/>
      <c r="G12" s="476" t="s">
        <v>21</v>
      </c>
      <c r="H12" s="1837"/>
      <c r="I12" s="1835"/>
      <c r="J12" s="1835"/>
      <c r="K12" s="1835"/>
      <c r="L12" s="1835"/>
      <c r="M12" s="1835"/>
      <c r="N12" s="1835"/>
      <c r="O12" s="183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1086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7" t="s">
        <v>854</v>
      </c>
      <c r="I38" s="1807"/>
      <c r="J38" s="1807"/>
      <c r="K38" s="1807"/>
      <c r="L38" s="1807"/>
      <c r="M38" s="180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8" t="s">
        <v>852</v>
      </c>
      <c r="I39" s="1808"/>
      <c r="J39" s="1808"/>
      <c r="K39" s="1808"/>
      <c r="L39" s="1808"/>
      <c r="M39" s="180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09" t="s">
        <v>853</v>
      </c>
      <c r="I40" s="1809"/>
      <c r="J40" s="1809"/>
      <c r="K40" s="1809"/>
      <c r="L40" s="1809"/>
      <c r="M40" s="180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0"/>
      <c r="J41" s="1810"/>
      <c r="K41" s="1810"/>
      <c r="L41" s="1810"/>
      <c r="M41" s="1810"/>
      <c r="N41" s="1810"/>
    </row>
    <row r="42" spans="1:14" ht="15.75" x14ac:dyDescent="0.25">
      <c r="A42" s="267"/>
      <c r="B42" s="267"/>
      <c r="C42" s="267"/>
      <c r="D42" s="268"/>
      <c r="E42" s="268"/>
      <c r="F42" s="269"/>
      <c r="G42" s="1738"/>
      <c r="H42" s="1738"/>
      <c r="I42" s="1738"/>
      <c r="J42" s="1738"/>
      <c r="K42" s="173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1088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9" t="s">
        <v>7</v>
      </c>
      <c r="B11" s="1789" t="s">
        <v>802</v>
      </c>
      <c r="C11" s="1789" t="s">
        <v>9</v>
      </c>
      <c r="D11" s="1815" t="s">
        <v>11</v>
      </c>
      <c r="E11" s="476" t="s">
        <v>12</v>
      </c>
      <c r="F11" s="1833" t="s">
        <v>13</v>
      </c>
      <c r="G11" s="1791" t="s">
        <v>14</v>
      </c>
      <c r="H11" s="1791" t="s">
        <v>15</v>
      </c>
      <c r="I11" s="1791" t="s">
        <v>16</v>
      </c>
      <c r="J11" s="1791" t="s">
        <v>17</v>
      </c>
      <c r="K11" s="1791" t="s">
        <v>18</v>
      </c>
      <c r="L11" s="1791" t="s">
        <v>19</v>
      </c>
      <c r="M11" s="1791" t="s">
        <v>20</v>
      </c>
    </row>
    <row r="12" spans="1:13" x14ac:dyDescent="0.25">
      <c r="A12" s="1789"/>
      <c r="B12" s="1789"/>
      <c r="C12" s="1789"/>
      <c r="D12" s="1816"/>
      <c r="E12" s="476" t="s">
        <v>21</v>
      </c>
      <c r="F12" s="1833"/>
      <c r="G12" s="1791"/>
      <c r="H12" s="1791"/>
      <c r="I12" s="1791"/>
      <c r="J12" s="1791"/>
      <c r="K12" s="1791"/>
      <c r="L12" s="1791"/>
      <c r="M12" s="1791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1089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5" t="s">
        <v>7</v>
      </c>
      <c r="B11" s="1815" t="s">
        <v>937</v>
      </c>
      <c r="C11" s="1838" t="s">
        <v>9</v>
      </c>
      <c r="D11" s="1815" t="s">
        <v>832</v>
      </c>
      <c r="E11" s="1815" t="s">
        <v>834</v>
      </c>
      <c r="F11" s="1815" t="s">
        <v>209</v>
      </c>
      <c r="G11" s="476" t="s">
        <v>12</v>
      </c>
      <c r="H11" s="1836" t="s">
        <v>13</v>
      </c>
      <c r="I11" s="1834" t="s">
        <v>14</v>
      </c>
      <c r="J11" s="1834" t="s">
        <v>15</v>
      </c>
      <c r="K11" s="1834" t="s">
        <v>16</v>
      </c>
      <c r="L11" s="1834" t="s">
        <v>17</v>
      </c>
      <c r="M11" s="1834" t="s">
        <v>18</v>
      </c>
      <c r="N11" s="1834" t="s">
        <v>19</v>
      </c>
      <c r="O11" s="1834" t="s">
        <v>20</v>
      </c>
    </row>
    <row r="12" spans="1:15" x14ac:dyDescent="0.25">
      <c r="A12" s="1816"/>
      <c r="B12" s="1816"/>
      <c r="C12" s="1839"/>
      <c r="D12" s="1816"/>
      <c r="E12" s="1816"/>
      <c r="F12" s="1816"/>
      <c r="G12" s="476" t="s">
        <v>21</v>
      </c>
      <c r="H12" s="1837"/>
      <c r="I12" s="1835"/>
      <c r="J12" s="1835"/>
      <c r="K12" s="1835"/>
      <c r="L12" s="1835"/>
      <c r="M12" s="1835"/>
      <c r="N12" s="1835"/>
      <c r="O12" s="183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1090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7" t="s">
        <v>854</v>
      </c>
      <c r="I38" s="1807"/>
      <c r="J38" s="1807"/>
      <c r="K38" s="1807"/>
      <c r="L38" s="1807"/>
      <c r="M38" s="180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8" t="s">
        <v>852</v>
      </c>
      <c r="I39" s="1808"/>
      <c r="J39" s="1808"/>
      <c r="K39" s="1808"/>
      <c r="L39" s="1808"/>
      <c r="M39" s="180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09" t="s">
        <v>853</v>
      </c>
      <c r="I40" s="1809"/>
      <c r="J40" s="1809"/>
      <c r="K40" s="1809"/>
      <c r="L40" s="1809"/>
      <c r="M40" s="180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0"/>
      <c r="J41" s="1810"/>
      <c r="K41" s="1810"/>
      <c r="L41" s="1810"/>
      <c r="M41" s="1810"/>
      <c r="N41" s="1810"/>
    </row>
    <row r="42" spans="1:14" ht="15.75" x14ac:dyDescent="0.25">
      <c r="A42" s="267"/>
      <c r="B42" s="267"/>
      <c r="C42" s="267"/>
      <c r="D42" s="268"/>
      <c r="E42" s="268"/>
      <c r="F42" s="269"/>
      <c r="G42" s="1738"/>
      <c r="H42" s="1738"/>
      <c r="I42" s="1738"/>
      <c r="J42" s="1738"/>
      <c r="K42" s="1738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1091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1789" t="s">
        <v>7</v>
      </c>
      <c r="B10" s="1789" t="s">
        <v>802</v>
      </c>
      <c r="C10" s="1789" t="s">
        <v>9</v>
      </c>
      <c r="D10" s="1815" t="s">
        <v>11</v>
      </c>
      <c r="E10" s="476" t="s">
        <v>12</v>
      </c>
      <c r="F10" s="1833" t="s">
        <v>13</v>
      </c>
      <c r="G10" s="1791" t="s">
        <v>14</v>
      </c>
      <c r="H10" s="1791" t="s">
        <v>15</v>
      </c>
      <c r="I10" s="1791" t="s">
        <v>16</v>
      </c>
      <c r="J10" s="1791" t="s">
        <v>17</v>
      </c>
      <c r="K10" s="1791" t="s">
        <v>18</v>
      </c>
      <c r="L10" s="1791" t="s">
        <v>19</v>
      </c>
      <c r="M10" s="1791" t="s">
        <v>20</v>
      </c>
    </row>
    <row r="11" spans="1:13" x14ac:dyDescent="0.25">
      <c r="A11" s="1789"/>
      <c r="B11" s="1789"/>
      <c r="C11" s="1789"/>
      <c r="D11" s="1816"/>
      <c r="E11" s="476" t="s">
        <v>21</v>
      </c>
      <c r="F11" s="1833"/>
      <c r="G11" s="1791"/>
      <c r="H11" s="1791"/>
      <c r="I11" s="1791"/>
      <c r="J11" s="1791"/>
      <c r="K11" s="1791"/>
      <c r="L11" s="1791"/>
      <c r="M11" s="179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1092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5" t="s">
        <v>7</v>
      </c>
      <c r="B11" s="1815" t="s">
        <v>937</v>
      </c>
      <c r="C11" s="1838" t="s">
        <v>9</v>
      </c>
      <c r="D11" s="1815" t="s">
        <v>832</v>
      </c>
      <c r="E11" s="1815" t="s">
        <v>834</v>
      </c>
      <c r="F11" s="1815" t="s">
        <v>209</v>
      </c>
      <c r="G11" s="476" t="s">
        <v>12</v>
      </c>
      <c r="H11" s="1836" t="s">
        <v>13</v>
      </c>
      <c r="I11" s="1834" t="s">
        <v>14</v>
      </c>
      <c r="J11" s="1834" t="s">
        <v>15</v>
      </c>
      <c r="K11" s="1834" t="s">
        <v>16</v>
      </c>
      <c r="L11" s="1834" t="s">
        <v>17</v>
      </c>
      <c r="M11" s="1834" t="s">
        <v>18</v>
      </c>
      <c r="N11" s="1834" t="s">
        <v>19</v>
      </c>
      <c r="O11" s="1834" t="s">
        <v>20</v>
      </c>
    </row>
    <row r="12" spans="1:15" x14ac:dyDescent="0.25">
      <c r="A12" s="1816"/>
      <c r="B12" s="1816"/>
      <c r="C12" s="1839"/>
      <c r="D12" s="1816"/>
      <c r="E12" s="1816"/>
      <c r="F12" s="1816"/>
      <c r="G12" s="476" t="s">
        <v>21</v>
      </c>
      <c r="H12" s="1837"/>
      <c r="I12" s="1835"/>
      <c r="J12" s="1835"/>
      <c r="K12" s="1835"/>
      <c r="L12" s="1835"/>
      <c r="M12" s="1835"/>
      <c r="N12" s="1835"/>
      <c r="O12" s="183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1095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7" t="s">
        <v>854</v>
      </c>
      <c r="I38" s="1807"/>
      <c r="J38" s="1807"/>
      <c r="K38" s="1807"/>
      <c r="L38" s="1807"/>
      <c r="M38" s="180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8" t="s">
        <v>852</v>
      </c>
      <c r="I39" s="1808"/>
      <c r="J39" s="1808"/>
      <c r="K39" s="1808"/>
      <c r="L39" s="1808"/>
      <c r="M39" s="180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09" t="s">
        <v>853</v>
      </c>
      <c r="I40" s="1809"/>
      <c r="J40" s="1809"/>
      <c r="K40" s="1809"/>
      <c r="L40" s="1809"/>
      <c r="M40" s="180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0"/>
      <c r="J41" s="1810"/>
      <c r="K41" s="1810"/>
      <c r="L41" s="1810"/>
      <c r="M41" s="1810"/>
      <c r="N41" s="1810"/>
    </row>
    <row r="42" spans="1:14" ht="15.75" x14ac:dyDescent="0.25">
      <c r="A42" s="267"/>
      <c r="B42" s="267"/>
      <c r="C42" s="267"/>
      <c r="D42" s="268"/>
      <c r="E42" s="268"/>
      <c r="F42" s="269"/>
      <c r="G42" s="1738"/>
      <c r="H42" s="1738"/>
      <c r="I42" s="1738"/>
      <c r="J42" s="1738"/>
      <c r="K42" s="173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1098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1789" t="s">
        <v>7</v>
      </c>
      <c r="B10" s="1789" t="s">
        <v>802</v>
      </c>
      <c r="C10" s="1789" t="s">
        <v>9</v>
      </c>
      <c r="D10" s="1815" t="s">
        <v>11</v>
      </c>
      <c r="E10" s="476" t="s">
        <v>12</v>
      </c>
      <c r="F10" s="1833" t="s">
        <v>13</v>
      </c>
      <c r="G10" s="1791" t="s">
        <v>14</v>
      </c>
      <c r="H10" s="1791" t="s">
        <v>15</v>
      </c>
      <c r="I10" s="1791" t="s">
        <v>16</v>
      </c>
      <c r="J10" s="1791" t="s">
        <v>17</v>
      </c>
      <c r="K10" s="1791" t="s">
        <v>18</v>
      </c>
      <c r="L10" s="1791" t="s">
        <v>19</v>
      </c>
      <c r="M10" s="1791" t="s">
        <v>20</v>
      </c>
    </row>
    <row r="11" spans="1:13" x14ac:dyDescent="0.25">
      <c r="A11" s="1789"/>
      <c r="B11" s="1789"/>
      <c r="C11" s="1789"/>
      <c r="D11" s="1816"/>
      <c r="E11" s="476" t="s">
        <v>21</v>
      </c>
      <c r="F11" s="1833"/>
      <c r="G11" s="1791"/>
      <c r="H11" s="1791"/>
      <c r="I11" s="1791"/>
      <c r="J11" s="1791"/>
      <c r="K11" s="1791"/>
      <c r="L11" s="1791"/>
      <c r="M11" s="179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1099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5" t="s">
        <v>7</v>
      </c>
      <c r="B11" s="1815" t="s">
        <v>937</v>
      </c>
      <c r="C11" s="1838" t="s">
        <v>9</v>
      </c>
      <c r="D11" s="1815" t="s">
        <v>832</v>
      </c>
      <c r="E11" s="1815" t="s">
        <v>834</v>
      </c>
      <c r="F11" s="1815" t="s">
        <v>209</v>
      </c>
      <c r="G11" s="476" t="s">
        <v>12</v>
      </c>
      <c r="H11" s="1836" t="s">
        <v>13</v>
      </c>
      <c r="I11" s="1834" t="s">
        <v>14</v>
      </c>
      <c r="J11" s="1834" t="s">
        <v>15</v>
      </c>
      <c r="K11" s="1834" t="s">
        <v>16</v>
      </c>
      <c r="L11" s="1834" t="s">
        <v>17</v>
      </c>
      <c r="M11" s="1834" t="s">
        <v>18</v>
      </c>
      <c r="N11" s="1834" t="s">
        <v>19</v>
      </c>
      <c r="O11" s="1834" t="s">
        <v>20</v>
      </c>
    </row>
    <row r="12" spans="1:15" x14ac:dyDescent="0.25">
      <c r="A12" s="1816"/>
      <c r="B12" s="1816"/>
      <c r="C12" s="1839"/>
      <c r="D12" s="1816"/>
      <c r="E12" s="1816"/>
      <c r="F12" s="1816"/>
      <c r="G12" s="476" t="s">
        <v>21</v>
      </c>
      <c r="H12" s="1837"/>
      <c r="I12" s="1835"/>
      <c r="J12" s="1835"/>
      <c r="K12" s="1835"/>
      <c r="L12" s="1835"/>
      <c r="M12" s="1835"/>
      <c r="N12" s="1835"/>
      <c r="O12" s="183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1100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9" t="s">
        <v>7</v>
      </c>
      <c r="B13" s="1815" t="s">
        <v>937</v>
      </c>
      <c r="C13" s="1801" t="s">
        <v>8</v>
      </c>
      <c r="D13" s="1801" t="s">
        <v>10</v>
      </c>
      <c r="E13" s="1801" t="s">
        <v>11</v>
      </c>
      <c r="F13" s="476" t="s">
        <v>12</v>
      </c>
      <c r="G13" s="1803" t="s">
        <v>13</v>
      </c>
      <c r="H13" s="1801" t="s">
        <v>14</v>
      </c>
      <c r="I13" s="1801" t="s">
        <v>15</v>
      </c>
      <c r="J13" s="1801" t="s">
        <v>16</v>
      </c>
      <c r="K13" s="1801" t="s">
        <v>17</v>
      </c>
      <c r="L13" s="1801" t="s">
        <v>18</v>
      </c>
      <c r="M13" s="1801" t="s">
        <v>19</v>
      </c>
      <c r="N13" s="1789" t="s">
        <v>20</v>
      </c>
    </row>
    <row r="14" spans="1:14" x14ac:dyDescent="0.25">
      <c r="A14" s="1789"/>
      <c r="B14" s="1816"/>
      <c r="C14" s="1802"/>
      <c r="D14" s="1802"/>
      <c r="E14" s="1802"/>
      <c r="F14" s="476" t="s">
        <v>21</v>
      </c>
      <c r="G14" s="1804"/>
      <c r="H14" s="1802"/>
      <c r="I14" s="1802"/>
      <c r="J14" s="1802"/>
      <c r="K14" s="1802"/>
      <c r="L14" s="1802"/>
      <c r="M14" s="1802"/>
      <c r="N14" s="1789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7" t="s">
        <v>854</v>
      </c>
      <c r="I38" s="1807"/>
      <c r="J38" s="1807"/>
      <c r="K38" s="1807"/>
      <c r="L38" s="1807"/>
      <c r="M38" s="180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8" t="s">
        <v>852</v>
      </c>
      <c r="I39" s="1808"/>
      <c r="J39" s="1808"/>
      <c r="K39" s="1808"/>
      <c r="L39" s="1808"/>
      <c r="M39" s="180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09" t="s">
        <v>853</v>
      </c>
      <c r="I40" s="1809"/>
      <c r="J40" s="1809"/>
      <c r="K40" s="1809"/>
      <c r="L40" s="1809"/>
      <c r="M40" s="180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0"/>
      <c r="J41" s="1810"/>
      <c r="K41" s="1810"/>
      <c r="L41" s="1810"/>
      <c r="M41" s="1810"/>
      <c r="N41" s="1810"/>
    </row>
    <row r="42" spans="1:14" ht="15.75" x14ac:dyDescent="0.25">
      <c r="A42" s="267"/>
      <c r="B42" s="267"/>
      <c r="C42" s="267"/>
      <c r="D42" s="268"/>
      <c r="E42" s="268"/>
      <c r="F42" s="269"/>
      <c r="G42" s="1738"/>
      <c r="H42" s="1738"/>
      <c r="I42" s="1738"/>
      <c r="J42" s="1738"/>
      <c r="K42" s="1738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1102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1789" t="s">
        <v>7</v>
      </c>
      <c r="B10" s="1789" t="s">
        <v>802</v>
      </c>
      <c r="C10" s="1789" t="s">
        <v>9</v>
      </c>
      <c r="D10" s="1815" t="s">
        <v>11</v>
      </c>
      <c r="E10" s="476" t="s">
        <v>12</v>
      </c>
      <c r="F10" s="1833" t="s">
        <v>13</v>
      </c>
      <c r="G10" s="1791" t="s">
        <v>14</v>
      </c>
      <c r="H10" s="1791" t="s">
        <v>15</v>
      </c>
      <c r="I10" s="1791" t="s">
        <v>16</v>
      </c>
      <c r="J10" s="1791" t="s">
        <v>17</v>
      </c>
      <c r="K10" s="1791" t="s">
        <v>18</v>
      </c>
      <c r="L10" s="1791" t="s">
        <v>19</v>
      </c>
      <c r="M10" s="1791" t="s">
        <v>20</v>
      </c>
    </row>
    <row r="11" spans="1:13" x14ac:dyDescent="0.25">
      <c r="A11" s="1789"/>
      <c r="B11" s="1789"/>
      <c r="C11" s="1789"/>
      <c r="D11" s="1816"/>
      <c r="E11" s="476" t="s">
        <v>21</v>
      </c>
      <c r="F11" s="1833"/>
      <c r="G11" s="1791"/>
      <c r="H11" s="1791"/>
      <c r="I11" s="1791"/>
      <c r="J11" s="1791"/>
      <c r="K11" s="1791"/>
      <c r="L11" s="1791"/>
      <c r="M11" s="179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1105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5" t="s">
        <v>7</v>
      </c>
      <c r="B11" s="1815" t="s">
        <v>937</v>
      </c>
      <c r="C11" s="1838" t="s">
        <v>9</v>
      </c>
      <c r="D11" s="1815" t="s">
        <v>832</v>
      </c>
      <c r="E11" s="1815" t="s">
        <v>834</v>
      </c>
      <c r="F11" s="1815" t="s">
        <v>209</v>
      </c>
      <c r="G11" s="476" t="s">
        <v>12</v>
      </c>
      <c r="H11" s="1836" t="s">
        <v>13</v>
      </c>
      <c r="I11" s="1834" t="s">
        <v>14</v>
      </c>
      <c r="J11" s="1834" t="s">
        <v>15</v>
      </c>
      <c r="K11" s="1834" t="s">
        <v>16</v>
      </c>
      <c r="L11" s="1834" t="s">
        <v>17</v>
      </c>
      <c r="M11" s="1834" t="s">
        <v>18</v>
      </c>
      <c r="N11" s="1834" t="s">
        <v>19</v>
      </c>
      <c r="O11" s="1834" t="s">
        <v>20</v>
      </c>
    </row>
    <row r="12" spans="1:15" x14ac:dyDescent="0.25">
      <c r="A12" s="1816"/>
      <c r="B12" s="1816"/>
      <c r="C12" s="1839"/>
      <c r="D12" s="1816"/>
      <c r="E12" s="1816"/>
      <c r="F12" s="1816"/>
      <c r="G12" s="476" t="s">
        <v>21</v>
      </c>
      <c r="H12" s="1837"/>
      <c r="I12" s="1835"/>
      <c r="J12" s="1835"/>
      <c r="K12" s="1835"/>
      <c r="L12" s="1835"/>
      <c r="M12" s="1835"/>
      <c r="N12" s="1835"/>
      <c r="O12" s="183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1106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842" t="s">
        <v>7</v>
      </c>
      <c r="B13" s="1843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5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2" t="s">
        <v>20</v>
      </c>
    </row>
    <row r="14" spans="1:14" x14ac:dyDescent="0.25">
      <c r="A14" s="1842"/>
      <c r="B14" s="1844"/>
      <c r="C14" s="1841"/>
      <c r="D14" s="1841"/>
      <c r="E14" s="1841"/>
      <c r="F14" s="419" t="s">
        <v>21</v>
      </c>
      <c r="G14" s="1846"/>
      <c r="H14" s="1841"/>
      <c r="I14" s="1841"/>
      <c r="J14" s="1841"/>
      <c r="K14" s="1841"/>
      <c r="L14" s="1841"/>
      <c r="M14" s="1841"/>
      <c r="N14" s="1842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1107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1789" t="s">
        <v>7</v>
      </c>
      <c r="B10" s="1789" t="s">
        <v>802</v>
      </c>
      <c r="C10" s="1789" t="s">
        <v>9</v>
      </c>
      <c r="D10" s="1815" t="s">
        <v>11</v>
      </c>
      <c r="E10" s="476" t="s">
        <v>12</v>
      </c>
      <c r="F10" s="1833" t="s">
        <v>13</v>
      </c>
      <c r="G10" s="1791" t="s">
        <v>14</v>
      </c>
      <c r="H10" s="1791" t="s">
        <v>15</v>
      </c>
      <c r="I10" s="1791" t="s">
        <v>16</v>
      </c>
      <c r="J10" s="1791" t="s">
        <v>17</v>
      </c>
      <c r="K10" s="1791" t="s">
        <v>18</v>
      </c>
      <c r="L10" s="1791" t="s">
        <v>19</v>
      </c>
      <c r="M10" s="1791" t="s">
        <v>20</v>
      </c>
    </row>
    <row r="11" spans="1:13" x14ac:dyDescent="0.25">
      <c r="A11" s="1789"/>
      <c r="B11" s="1789"/>
      <c r="C11" s="1789"/>
      <c r="D11" s="1816"/>
      <c r="E11" s="476" t="s">
        <v>21</v>
      </c>
      <c r="F11" s="1833"/>
      <c r="G11" s="1791"/>
      <c r="H11" s="1791"/>
      <c r="I11" s="1791"/>
      <c r="J11" s="1791"/>
      <c r="K11" s="1791"/>
      <c r="L11" s="1791"/>
      <c r="M11" s="179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1108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476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476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1109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2" t="s">
        <v>7</v>
      </c>
      <c r="B13" s="1842" t="s">
        <v>937</v>
      </c>
      <c r="C13" s="1842" t="s">
        <v>8</v>
      </c>
      <c r="D13" s="1842" t="s">
        <v>10</v>
      </c>
      <c r="E13" s="1842" t="s">
        <v>11</v>
      </c>
      <c r="F13" s="419" t="s">
        <v>12</v>
      </c>
      <c r="G13" s="1842" t="s">
        <v>13</v>
      </c>
      <c r="H13" s="1842" t="s">
        <v>14</v>
      </c>
      <c r="I13" s="1842" t="s">
        <v>15</v>
      </c>
      <c r="J13" s="1842" t="s">
        <v>16</v>
      </c>
      <c r="K13" s="1842" t="s">
        <v>17</v>
      </c>
      <c r="L13" s="1842" t="s">
        <v>18</v>
      </c>
      <c r="M13" s="1842" t="s">
        <v>19</v>
      </c>
      <c r="N13" s="1842" t="s">
        <v>20</v>
      </c>
    </row>
    <row r="14" spans="1:14" x14ac:dyDescent="0.25">
      <c r="A14" s="1842"/>
      <c r="B14" s="1842"/>
      <c r="C14" s="1842"/>
      <c r="D14" s="1842"/>
      <c r="E14" s="1842"/>
      <c r="F14" s="419" t="s">
        <v>21</v>
      </c>
      <c r="G14" s="1842"/>
      <c r="H14" s="1842"/>
      <c r="I14" s="1842"/>
      <c r="J14" s="1842"/>
      <c r="K14" s="1842"/>
      <c r="L14" s="1842"/>
      <c r="M14" s="1842"/>
      <c r="N14" s="184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7" t="s">
        <v>854</v>
      </c>
      <c r="I37" s="1807"/>
      <c r="J37" s="1807"/>
      <c r="K37" s="1807"/>
      <c r="L37" s="1807"/>
      <c r="M37" s="180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8" t="s">
        <v>852</v>
      </c>
      <c r="I38" s="1808"/>
      <c r="J38" s="1808"/>
      <c r="K38" s="1808"/>
      <c r="L38" s="1808"/>
      <c r="M38" s="180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809" t="s">
        <v>853</v>
      </c>
      <c r="I39" s="1809"/>
      <c r="J39" s="1809"/>
      <c r="K39" s="1809"/>
      <c r="L39" s="1809"/>
      <c r="M39" s="180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810"/>
      <c r="J40" s="1810"/>
      <c r="K40" s="1810"/>
      <c r="L40" s="1810"/>
      <c r="M40" s="1810"/>
      <c r="N40" s="1810"/>
    </row>
    <row r="41" spans="1:14" ht="15.75" x14ac:dyDescent="0.25">
      <c r="A41" s="267"/>
      <c r="B41" s="267"/>
      <c r="C41" s="267"/>
      <c r="D41" s="268"/>
      <c r="E41" s="268"/>
      <c r="F41" s="269"/>
      <c r="G41" s="1738"/>
      <c r="H41" s="1738"/>
      <c r="I41" s="1738"/>
      <c r="J41" s="1738"/>
      <c r="K41" s="1738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1111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847" t="s">
        <v>7</v>
      </c>
      <c r="B12" s="1851" t="s">
        <v>802</v>
      </c>
      <c r="C12" s="1851" t="s">
        <v>9</v>
      </c>
      <c r="D12" s="727" t="s">
        <v>12</v>
      </c>
      <c r="E12" s="1850" t="s">
        <v>13</v>
      </c>
      <c r="F12" s="1849" t="s">
        <v>14</v>
      </c>
      <c r="G12" s="1849" t="s">
        <v>15</v>
      </c>
      <c r="H12" s="1849" t="s">
        <v>16</v>
      </c>
      <c r="I12" s="1849" t="s">
        <v>17</v>
      </c>
      <c r="J12" s="1849" t="s">
        <v>18</v>
      </c>
      <c r="K12" s="1849" t="s">
        <v>19</v>
      </c>
      <c r="L12" s="1852" t="s">
        <v>20</v>
      </c>
    </row>
    <row r="13" spans="1:12" ht="16.5" customHeight="1" x14ac:dyDescent="0.25">
      <c r="A13" s="1848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853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7" t="s">
        <v>854</v>
      </c>
      <c r="G21" s="1807"/>
      <c r="H21" s="1807"/>
      <c r="I21" s="1807"/>
      <c r="J21" s="1807"/>
      <c r="K21" s="180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8" t="s">
        <v>852</v>
      </c>
      <c r="G22" s="1808"/>
      <c r="H22" s="1808"/>
      <c r="I22" s="1808"/>
      <c r="J22" s="1808"/>
      <c r="K22" s="180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09" t="s">
        <v>853</v>
      </c>
      <c r="G23" s="1809"/>
      <c r="H23" s="1809"/>
      <c r="I23" s="1809"/>
      <c r="J23" s="1809"/>
      <c r="K23" s="1809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0"/>
      <c r="H24" s="1810"/>
      <c r="I24" s="1810"/>
      <c r="J24" s="1810"/>
      <c r="K24" s="1810"/>
      <c r="L24" s="1810"/>
    </row>
    <row r="25" spans="1:12" ht="15.75" x14ac:dyDescent="0.25">
      <c r="A25" s="267"/>
      <c r="B25" s="267"/>
      <c r="C25" s="268"/>
      <c r="D25" s="269"/>
      <c r="E25" s="1738"/>
      <c r="F25" s="1738"/>
      <c r="G25" s="1738"/>
      <c r="H25" s="1738"/>
      <c r="I25" s="1738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1116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2" t="s">
        <v>7</v>
      </c>
      <c r="B13" s="1842" t="s">
        <v>937</v>
      </c>
      <c r="C13" s="1842" t="s">
        <v>8</v>
      </c>
      <c r="D13" s="1842" t="s">
        <v>10</v>
      </c>
      <c r="E13" s="1842" t="s">
        <v>11</v>
      </c>
      <c r="F13" s="419" t="s">
        <v>12</v>
      </c>
      <c r="G13" s="1842" t="s">
        <v>13</v>
      </c>
      <c r="H13" s="1842" t="s">
        <v>14</v>
      </c>
      <c r="I13" s="1842" t="s">
        <v>15</v>
      </c>
      <c r="J13" s="1842" t="s">
        <v>16</v>
      </c>
      <c r="K13" s="1842" t="s">
        <v>17</v>
      </c>
      <c r="L13" s="1842" t="s">
        <v>18</v>
      </c>
      <c r="M13" s="1842" t="s">
        <v>19</v>
      </c>
      <c r="N13" s="1842" t="s">
        <v>20</v>
      </c>
    </row>
    <row r="14" spans="1:14" x14ac:dyDescent="0.25">
      <c r="A14" s="1842"/>
      <c r="B14" s="1842"/>
      <c r="C14" s="1842"/>
      <c r="D14" s="1842"/>
      <c r="E14" s="1842"/>
      <c r="F14" s="419" t="s">
        <v>21</v>
      </c>
      <c r="G14" s="1842"/>
      <c r="H14" s="1842"/>
      <c r="I14" s="1842"/>
      <c r="J14" s="1842"/>
      <c r="K14" s="1842"/>
      <c r="L14" s="1842"/>
      <c r="M14" s="1842"/>
      <c r="N14" s="184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7" t="s">
        <v>854</v>
      </c>
      <c r="I38" s="1807"/>
      <c r="J38" s="1807"/>
      <c r="K38" s="1807"/>
      <c r="L38" s="1807"/>
      <c r="M38" s="180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8" t="s">
        <v>852</v>
      </c>
      <c r="I39" s="1808"/>
      <c r="J39" s="1808"/>
      <c r="K39" s="1808"/>
      <c r="L39" s="1808"/>
      <c r="M39" s="180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09" t="s">
        <v>853</v>
      </c>
      <c r="I40" s="1809"/>
      <c r="J40" s="1809"/>
      <c r="K40" s="1809"/>
      <c r="L40" s="1809"/>
      <c r="M40" s="180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0"/>
      <c r="J41" s="1810"/>
      <c r="K41" s="1810"/>
      <c r="L41" s="1810"/>
      <c r="M41" s="1810"/>
      <c r="N41" s="1810"/>
    </row>
    <row r="42" spans="1:14" ht="15.75" x14ac:dyDescent="0.25">
      <c r="A42" s="267"/>
      <c r="B42" s="267"/>
      <c r="C42" s="267"/>
      <c r="D42" s="268"/>
      <c r="E42" s="268"/>
      <c r="F42" s="269"/>
      <c r="G42" s="1738"/>
      <c r="H42" s="1738"/>
      <c r="I42" s="1738"/>
      <c r="J42" s="1738"/>
      <c r="K42" s="1738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1117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7" t="s">
        <v>854</v>
      </c>
      <c r="G21" s="1807"/>
      <c r="H21" s="1807"/>
      <c r="I21" s="1807"/>
      <c r="J21" s="1807"/>
      <c r="K21" s="180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8" t="s">
        <v>852</v>
      </c>
      <c r="G22" s="1808"/>
      <c r="H22" s="1808"/>
      <c r="I22" s="1808"/>
      <c r="J22" s="1808"/>
      <c r="K22" s="180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809" t="s">
        <v>853</v>
      </c>
      <c r="G23" s="1809"/>
      <c r="H23" s="1809"/>
      <c r="I23" s="1809"/>
      <c r="J23" s="1809"/>
      <c r="K23" s="1809"/>
      <c r="L23" s="537"/>
    </row>
    <row r="24" spans="1:12" x14ac:dyDescent="0.25">
      <c r="A24" s="546"/>
      <c r="B24" s="546"/>
      <c r="C24" s="547"/>
      <c r="D24" s="541"/>
      <c r="E24" s="540"/>
      <c r="F24" s="537"/>
      <c r="G24" s="1810"/>
      <c r="H24" s="1810"/>
      <c r="I24" s="1810"/>
      <c r="J24" s="1810"/>
      <c r="K24" s="1810"/>
      <c r="L24" s="1810"/>
    </row>
    <row r="25" spans="1:12" ht="15.75" x14ac:dyDescent="0.25">
      <c r="A25" s="267"/>
      <c r="B25" s="267"/>
      <c r="C25" s="268"/>
      <c r="D25" s="269"/>
      <c r="E25" s="1738"/>
      <c r="F25" s="1738"/>
      <c r="G25" s="1738"/>
      <c r="H25" s="1738"/>
      <c r="I25" s="1738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1118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07" t="s">
        <v>854</v>
      </c>
      <c r="I24" s="1807"/>
      <c r="J24" s="1807"/>
      <c r="K24" s="1807"/>
      <c r="L24" s="1807"/>
      <c r="M24" s="180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08" t="s">
        <v>852</v>
      </c>
      <c r="I25" s="1808"/>
      <c r="J25" s="1808"/>
      <c r="K25" s="1808"/>
      <c r="L25" s="1808"/>
      <c r="M25" s="180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809" t="s">
        <v>853</v>
      </c>
      <c r="I26" s="1809"/>
      <c r="J26" s="1809"/>
      <c r="K26" s="1809"/>
      <c r="L26" s="1809"/>
      <c r="M26" s="180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810"/>
      <c r="J27" s="1810"/>
      <c r="K27" s="1810"/>
      <c r="L27" s="1810"/>
      <c r="M27" s="1810"/>
      <c r="N27" s="1810"/>
    </row>
    <row r="28" spans="1:14" ht="15.75" x14ac:dyDescent="0.25">
      <c r="A28" s="267"/>
      <c r="B28" s="267"/>
      <c r="C28" s="267"/>
      <c r="D28" s="268"/>
      <c r="E28" s="268"/>
      <c r="F28" s="269"/>
      <c r="G28" s="1738"/>
      <c r="H28" s="1738"/>
      <c r="I28" s="1738"/>
      <c r="J28" s="1738"/>
      <c r="K28" s="1738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1124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1789" t="s">
        <v>7</v>
      </c>
      <c r="B10" s="1789" t="s">
        <v>802</v>
      </c>
      <c r="C10" s="1789" t="s">
        <v>9</v>
      </c>
      <c r="D10" s="1815" t="s">
        <v>11</v>
      </c>
      <c r="E10" s="476" t="s">
        <v>12</v>
      </c>
      <c r="F10" s="1833" t="s">
        <v>13</v>
      </c>
      <c r="G10" s="1791" t="s">
        <v>14</v>
      </c>
      <c r="H10" s="1791" t="s">
        <v>15</v>
      </c>
      <c r="I10" s="1791" t="s">
        <v>16</v>
      </c>
      <c r="J10" s="1791" t="s">
        <v>17</v>
      </c>
      <c r="K10" s="1791" t="s">
        <v>18</v>
      </c>
      <c r="L10" s="1791" t="s">
        <v>19</v>
      </c>
      <c r="M10" s="1791" t="s">
        <v>20</v>
      </c>
    </row>
    <row r="11" spans="1:13" x14ac:dyDescent="0.25">
      <c r="A11" s="1789"/>
      <c r="B11" s="1789"/>
      <c r="C11" s="1789"/>
      <c r="D11" s="1816"/>
      <c r="E11" s="476" t="s">
        <v>21</v>
      </c>
      <c r="F11" s="1833"/>
      <c r="G11" s="1791"/>
      <c r="H11" s="1791"/>
      <c r="I11" s="1791"/>
      <c r="J11" s="1791"/>
      <c r="K11" s="1791"/>
      <c r="L11" s="1791"/>
      <c r="M11" s="1791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1115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476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476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1125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1789" t="s">
        <v>7</v>
      </c>
      <c r="B10" s="1789" t="s">
        <v>802</v>
      </c>
      <c r="C10" s="1789" t="s">
        <v>9</v>
      </c>
      <c r="D10" s="1815" t="s">
        <v>11</v>
      </c>
      <c r="E10" s="476" t="s">
        <v>12</v>
      </c>
      <c r="F10" s="1833" t="s">
        <v>13</v>
      </c>
      <c r="G10" s="1791" t="s">
        <v>14</v>
      </c>
      <c r="H10" s="1791" t="s">
        <v>15</v>
      </c>
      <c r="I10" s="1791" t="s">
        <v>16</v>
      </c>
      <c r="J10" s="1791" t="s">
        <v>17</v>
      </c>
      <c r="K10" s="1791" t="s">
        <v>18</v>
      </c>
      <c r="L10" s="1791" t="s">
        <v>19</v>
      </c>
      <c r="M10" s="1791" t="s">
        <v>20</v>
      </c>
    </row>
    <row r="11" spans="1:13" x14ac:dyDescent="0.25">
      <c r="A11" s="1789"/>
      <c r="B11" s="1789"/>
      <c r="C11" s="1789"/>
      <c r="D11" s="1816"/>
      <c r="E11" s="476" t="s">
        <v>21</v>
      </c>
      <c r="F11" s="1833"/>
      <c r="G11" s="1791"/>
      <c r="H11" s="1791"/>
      <c r="I11" s="1791"/>
      <c r="J11" s="1791"/>
      <c r="K11" s="1791"/>
      <c r="L11" s="1791"/>
      <c r="M11" s="179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1152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476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476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1155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2" t="s">
        <v>7</v>
      </c>
      <c r="B13" s="1842" t="s">
        <v>937</v>
      </c>
      <c r="C13" s="1842" t="s">
        <v>8</v>
      </c>
      <c r="D13" s="1842" t="s">
        <v>10</v>
      </c>
      <c r="E13" s="1842" t="s">
        <v>11</v>
      </c>
      <c r="F13" s="419" t="s">
        <v>12</v>
      </c>
      <c r="G13" s="1842" t="s">
        <v>13</v>
      </c>
      <c r="H13" s="1842" t="s">
        <v>14</v>
      </c>
      <c r="I13" s="1842" t="s">
        <v>15</v>
      </c>
      <c r="J13" s="1842" t="s">
        <v>16</v>
      </c>
      <c r="K13" s="1842" t="s">
        <v>17</v>
      </c>
      <c r="L13" s="1842" t="s">
        <v>18</v>
      </c>
      <c r="M13" s="1842" t="s">
        <v>19</v>
      </c>
      <c r="N13" s="1842" t="s">
        <v>20</v>
      </c>
    </row>
    <row r="14" spans="1:14" x14ac:dyDescent="0.25">
      <c r="A14" s="1842"/>
      <c r="B14" s="1842"/>
      <c r="C14" s="1842"/>
      <c r="D14" s="1842"/>
      <c r="E14" s="1842"/>
      <c r="F14" s="419" t="s">
        <v>21</v>
      </c>
      <c r="G14" s="1842"/>
      <c r="H14" s="1842"/>
      <c r="I14" s="1842"/>
      <c r="J14" s="1842"/>
      <c r="K14" s="1842"/>
      <c r="L14" s="1842"/>
      <c r="M14" s="1842"/>
      <c r="N14" s="184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7" t="s">
        <v>854</v>
      </c>
      <c r="I38" s="1807"/>
      <c r="J38" s="1807"/>
      <c r="K38" s="1807"/>
      <c r="L38" s="1807"/>
      <c r="M38" s="180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8" t="s">
        <v>852</v>
      </c>
      <c r="I39" s="1808"/>
      <c r="J39" s="1808"/>
      <c r="K39" s="1808"/>
      <c r="L39" s="1808"/>
      <c r="M39" s="180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809" t="s">
        <v>853</v>
      </c>
      <c r="I40" s="1809"/>
      <c r="J40" s="1809"/>
      <c r="K40" s="1809"/>
      <c r="L40" s="1809"/>
      <c r="M40" s="180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810"/>
      <c r="J41" s="1810"/>
      <c r="K41" s="1810"/>
      <c r="L41" s="1810"/>
      <c r="M41" s="1810"/>
      <c r="N41" s="1810"/>
    </row>
    <row r="42" spans="1:14" ht="15.75" x14ac:dyDescent="0.25">
      <c r="A42" s="267"/>
      <c r="B42" s="267"/>
      <c r="C42" s="267"/>
      <c r="D42" s="268"/>
      <c r="E42" s="268"/>
      <c r="F42" s="269"/>
      <c r="G42" s="1738"/>
      <c r="H42" s="1738"/>
      <c r="I42" s="1738"/>
      <c r="J42" s="1738"/>
      <c r="K42" s="1738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1159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07" t="s">
        <v>854</v>
      </c>
      <c r="I24" s="1807"/>
      <c r="J24" s="1807"/>
      <c r="K24" s="1807"/>
      <c r="L24" s="1807"/>
      <c r="M24" s="180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08" t="s">
        <v>852</v>
      </c>
      <c r="I25" s="1808"/>
      <c r="J25" s="1808"/>
      <c r="K25" s="1808"/>
      <c r="L25" s="1808"/>
      <c r="M25" s="180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809" t="s">
        <v>853</v>
      </c>
      <c r="I26" s="1809"/>
      <c r="J26" s="1809"/>
      <c r="K26" s="1809"/>
      <c r="L26" s="1809"/>
      <c r="M26" s="180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810"/>
      <c r="J27" s="1810"/>
      <c r="K27" s="1810"/>
      <c r="L27" s="1810"/>
      <c r="M27" s="1810"/>
      <c r="N27" s="1810"/>
    </row>
    <row r="28" spans="1:14" ht="15.75" x14ac:dyDescent="0.25">
      <c r="A28" s="267"/>
      <c r="B28" s="267"/>
      <c r="C28" s="267"/>
      <c r="D28" s="268"/>
      <c r="E28" s="268"/>
      <c r="F28" s="269"/>
      <c r="G28" s="1738"/>
      <c r="H28" s="1738"/>
      <c r="I28" s="1738"/>
      <c r="J28" s="1738"/>
      <c r="K28" s="1738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1160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807" t="s">
        <v>854</v>
      </c>
      <c r="G25" s="1807"/>
      <c r="H25" s="1807"/>
      <c r="I25" s="1807"/>
      <c r="J25" s="1807"/>
      <c r="K25" s="1807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808" t="s">
        <v>852</v>
      </c>
      <c r="G26" s="1808"/>
      <c r="H26" s="1808"/>
      <c r="I26" s="1808"/>
      <c r="J26" s="1808"/>
      <c r="K26" s="1808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809" t="s">
        <v>853</v>
      </c>
      <c r="G27" s="1809"/>
      <c r="H27" s="1809"/>
      <c r="I27" s="1809"/>
      <c r="J27" s="1809"/>
      <c r="K27" s="1809"/>
      <c r="L27" s="537"/>
    </row>
    <row r="28" spans="1:12" x14ac:dyDescent="0.25">
      <c r="A28" s="546"/>
      <c r="B28" s="546"/>
      <c r="C28" s="547"/>
      <c r="D28" s="541"/>
      <c r="E28" s="540"/>
      <c r="F28" s="537"/>
      <c r="G28" s="1810"/>
      <c r="H28" s="1810"/>
      <c r="I28" s="1810"/>
      <c r="J28" s="1810"/>
      <c r="K28" s="1810"/>
      <c r="L28" s="1810"/>
    </row>
    <row r="29" spans="1:12" ht="15.75" x14ac:dyDescent="0.25">
      <c r="A29" s="267"/>
      <c r="B29" s="267"/>
      <c r="C29" s="268"/>
      <c r="D29" s="269"/>
      <c r="E29" s="1738"/>
      <c r="F29" s="1738"/>
      <c r="G29" s="1738"/>
      <c r="H29" s="1738"/>
      <c r="I29" s="1738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1:13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1:13" x14ac:dyDescent="0.25">
      <c r="A8" s="1617" t="s">
        <v>1164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1:13" x14ac:dyDescent="0.25">
      <c r="A9" s="1731" t="s">
        <v>404</v>
      </c>
      <c r="B9" s="1731"/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1:13" x14ac:dyDescent="0.25">
      <c r="A10" s="1789" t="s">
        <v>7</v>
      </c>
      <c r="B10" s="1789" t="s">
        <v>802</v>
      </c>
      <c r="C10" s="1789" t="s">
        <v>9</v>
      </c>
      <c r="D10" s="1815" t="s">
        <v>11</v>
      </c>
      <c r="E10" s="476" t="s">
        <v>12</v>
      </c>
      <c r="F10" s="1833" t="s">
        <v>13</v>
      </c>
      <c r="G10" s="1791" t="s">
        <v>14</v>
      </c>
      <c r="H10" s="1791" t="s">
        <v>15</v>
      </c>
      <c r="I10" s="1791" t="s">
        <v>16</v>
      </c>
      <c r="J10" s="1791" t="s">
        <v>17</v>
      </c>
      <c r="K10" s="1791" t="s">
        <v>18</v>
      </c>
      <c r="L10" s="1791" t="s">
        <v>19</v>
      </c>
      <c r="M10" s="1791" t="s">
        <v>20</v>
      </c>
    </row>
    <row r="11" spans="1:13" x14ac:dyDescent="0.25">
      <c r="A11" s="1789"/>
      <c r="B11" s="1789"/>
      <c r="C11" s="1789"/>
      <c r="D11" s="1816"/>
      <c r="E11" s="476" t="s">
        <v>21</v>
      </c>
      <c r="F11" s="1833"/>
      <c r="G11" s="1791"/>
      <c r="H11" s="1791"/>
      <c r="I11" s="1791"/>
      <c r="J11" s="1791"/>
      <c r="K11" s="1791"/>
      <c r="L11" s="1791"/>
      <c r="M11" s="1791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1166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476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476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1170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2" t="s">
        <v>7</v>
      </c>
      <c r="B13" s="1842" t="s">
        <v>937</v>
      </c>
      <c r="C13" s="1842" t="s">
        <v>8</v>
      </c>
      <c r="D13" s="1842" t="s">
        <v>10</v>
      </c>
      <c r="E13" s="1842" t="s">
        <v>11</v>
      </c>
      <c r="F13" s="419" t="s">
        <v>12</v>
      </c>
      <c r="G13" s="1842" t="s">
        <v>13</v>
      </c>
      <c r="H13" s="1842" t="s">
        <v>14</v>
      </c>
      <c r="I13" s="1842" t="s">
        <v>15</v>
      </c>
      <c r="J13" s="1842" t="s">
        <v>16</v>
      </c>
      <c r="K13" s="1842" t="s">
        <v>17</v>
      </c>
      <c r="L13" s="1842" t="s">
        <v>18</v>
      </c>
      <c r="M13" s="1842" t="s">
        <v>19</v>
      </c>
      <c r="N13" s="1842" t="s">
        <v>20</v>
      </c>
    </row>
    <row r="14" spans="1:14" x14ac:dyDescent="0.25">
      <c r="A14" s="1842"/>
      <c r="B14" s="1842"/>
      <c r="C14" s="1842"/>
      <c r="D14" s="1842"/>
      <c r="E14" s="1842"/>
      <c r="F14" s="419" t="s">
        <v>21</v>
      </c>
      <c r="G14" s="1842"/>
      <c r="H14" s="1842"/>
      <c r="I14" s="1842"/>
      <c r="J14" s="1842"/>
      <c r="K14" s="1842"/>
      <c r="L14" s="1842"/>
      <c r="M14" s="1842"/>
      <c r="N14" s="184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807" t="s">
        <v>854</v>
      </c>
      <c r="I41" s="1807"/>
      <c r="J41" s="1807"/>
      <c r="K41" s="1807"/>
      <c r="L41" s="1807"/>
      <c r="M41" s="1807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808" t="s">
        <v>852</v>
      </c>
      <c r="I42" s="1808"/>
      <c r="J42" s="1808"/>
      <c r="K42" s="1808"/>
      <c r="L42" s="1808"/>
      <c r="M42" s="1808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809" t="s">
        <v>853</v>
      </c>
      <c r="I43" s="1809"/>
      <c r="J43" s="1809"/>
      <c r="K43" s="1809"/>
      <c r="L43" s="1809"/>
      <c r="M43" s="1809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810"/>
      <c r="J44" s="1810"/>
      <c r="K44" s="1810"/>
      <c r="L44" s="1810"/>
      <c r="M44" s="1810"/>
      <c r="N44" s="1810"/>
    </row>
    <row r="45" spans="1:14" ht="15.75" x14ac:dyDescent="0.25">
      <c r="A45" s="267"/>
      <c r="B45" s="267"/>
      <c r="C45" s="267"/>
      <c r="D45" s="268"/>
      <c r="E45" s="268"/>
      <c r="F45" s="269"/>
      <c r="G45" s="1738"/>
      <c r="H45" s="1738"/>
      <c r="I45" s="1738"/>
      <c r="J45" s="1738"/>
      <c r="K45" s="1738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1171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807" t="s">
        <v>854</v>
      </c>
      <c r="I29" s="1807"/>
      <c r="J29" s="1807"/>
      <c r="K29" s="1807"/>
      <c r="L29" s="1807"/>
      <c r="M29" s="1807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808" t="s">
        <v>852</v>
      </c>
      <c r="I30" s="1808"/>
      <c r="J30" s="1808"/>
      <c r="K30" s="1808"/>
      <c r="L30" s="1808"/>
      <c r="M30" s="1808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809" t="s">
        <v>853</v>
      </c>
      <c r="I31" s="1809"/>
      <c r="J31" s="1809"/>
      <c r="K31" s="1809"/>
      <c r="L31" s="1809"/>
      <c r="M31" s="1809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810"/>
      <c r="J32" s="1810"/>
      <c r="K32" s="1810"/>
      <c r="L32" s="1810"/>
      <c r="M32" s="1810"/>
      <c r="N32" s="1810"/>
    </row>
    <row r="33" spans="7:11" ht="15.75" x14ac:dyDescent="0.25">
      <c r="G33" s="1738"/>
      <c r="H33" s="1738"/>
      <c r="I33" s="1738"/>
      <c r="J33" s="1738"/>
      <c r="K33" s="1738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56" t="s">
        <v>0</v>
      </c>
      <c r="B5" s="1856"/>
      <c r="C5" s="1856"/>
      <c r="D5" s="1856"/>
      <c r="E5" s="1856"/>
      <c r="F5" s="1856"/>
      <c r="G5" s="1856"/>
      <c r="H5" s="1856"/>
      <c r="I5" s="1856"/>
      <c r="J5" s="1856"/>
      <c r="K5" s="1856"/>
      <c r="L5" s="1856"/>
      <c r="M5" s="1856"/>
    </row>
    <row r="6" spans="1:13" x14ac:dyDescent="0.25">
      <c r="A6" s="1856" t="s">
        <v>3</v>
      </c>
      <c r="B6" s="1856"/>
      <c r="C6" s="1856"/>
      <c r="D6" s="1856"/>
      <c r="E6" s="1856"/>
      <c r="F6" s="1856"/>
      <c r="G6" s="1856"/>
      <c r="H6" s="1856"/>
      <c r="I6" s="1856"/>
      <c r="J6" s="1856"/>
      <c r="K6" s="1856"/>
      <c r="L6" s="1856"/>
      <c r="M6" s="1856"/>
    </row>
    <row r="7" spans="1:13" x14ac:dyDescent="0.25">
      <c r="A7" s="1856" t="s">
        <v>1173</v>
      </c>
      <c r="B7" s="1856"/>
      <c r="C7" s="1856"/>
      <c r="D7" s="1856"/>
      <c r="E7" s="1856"/>
      <c r="F7" s="1856"/>
      <c r="G7" s="1856"/>
      <c r="H7" s="1856"/>
      <c r="I7" s="1856"/>
      <c r="J7" s="1856"/>
      <c r="K7" s="1856"/>
      <c r="L7" s="1856"/>
      <c r="M7" s="1856"/>
    </row>
    <row r="8" spans="1:13" x14ac:dyDescent="0.25">
      <c r="A8" s="1857" t="s">
        <v>404</v>
      </c>
      <c r="B8" s="1857"/>
      <c r="C8" s="1857"/>
      <c r="D8" s="1857"/>
      <c r="E8" s="1857"/>
      <c r="F8" s="1857"/>
      <c r="G8" s="1857"/>
      <c r="H8" s="1857"/>
      <c r="I8" s="1857"/>
      <c r="J8" s="1857"/>
      <c r="K8" s="1857"/>
      <c r="L8" s="1857"/>
      <c r="M8" s="1857"/>
    </row>
    <row r="9" spans="1:13" x14ac:dyDescent="0.25">
      <c r="A9" s="1858" t="s">
        <v>7</v>
      </c>
      <c r="B9" s="1858" t="s">
        <v>802</v>
      </c>
      <c r="C9" s="1858" t="s">
        <v>9</v>
      </c>
      <c r="D9" s="1858" t="s">
        <v>11</v>
      </c>
      <c r="E9" s="772" t="s">
        <v>12</v>
      </c>
      <c r="F9" s="1860" t="s">
        <v>13</v>
      </c>
      <c r="G9" s="1854" t="s">
        <v>14</v>
      </c>
      <c r="H9" s="1854" t="s">
        <v>15</v>
      </c>
      <c r="I9" s="1854" t="s">
        <v>16</v>
      </c>
      <c r="J9" s="1854" t="s">
        <v>17</v>
      </c>
      <c r="K9" s="1854" t="s">
        <v>18</v>
      </c>
      <c r="L9" s="1854" t="s">
        <v>19</v>
      </c>
      <c r="M9" s="1854" t="s">
        <v>20</v>
      </c>
    </row>
    <row r="10" spans="1:13" x14ac:dyDescent="0.25">
      <c r="A10" s="1859"/>
      <c r="B10" s="1859"/>
      <c r="C10" s="1859"/>
      <c r="D10" s="1859"/>
      <c r="E10" s="772" t="s">
        <v>21</v>
      </c>
      <c r="F10" s="1861"/>
      <c r="G10" s="1855"/>
      <c r="H10" s="1855"/>
      <c r="I10" s="1855"/>
      <c r="J10" s="1855"/>
      <c r="K10" s="1855"/>
      <c r="L10" s="1855"/>
      <c r="M10" s="185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1172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807" t="s">
        <v>854</v>
      </c>
      <c r="G31" s="1807"/>
      <c r="H31" s="1807"/>
      <c r="I31" s="1807"/>
      <c r="J31" s="1807"/>
      <c r="K31" s="1807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808" t="s">
        <v>852</v>
      </c>
      <c r="G32" s="1808"/>
      <c r="H32" s="1808"/>
      <c r="I32" s="1808"/>
      <c r="J32" s="1808"/>
      <c r="K32" s="1808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809" t="s">
        <v>853</v>
      </c>
      <c r="G33" s="1809"/>
      <c r="H33" s="1809"/>
      <c r="I33" s="1809"/>
      <c r="J33" s="1809"/>
      <c r="K33" s="1809"/>
      <c r="L33" s="537"/>
    </row>
    <row r="34" spans="1:12" x14ac:dyDescent="0.25">
      <c r="A34" s="546"/>
      <c r="B34" s="546"/>
      <c r="C34" s="547"/>
      <c r="D34" s="541"/>
      <c r="E34" s="540"/>
      <c r="F34" s="537"/>
      <c r="G34" s="1810"/>
      <c r="H34" s="1810"/>
      <c r="I34" s="1810"/>
      <c r="J34" s="1810"/>
      <c r="K34" s="1810"/>
      <c r="L34" s="1810"/>
    </row>
    <row r="35" spans="1:12" ht="15.75" x14ac:dyDescent="0.25">
      <c r="A35" s="267"/>
      <c r="B35" s="267"/>
      <c r="C35" s="268"/>
      <c r="D35" s="269"/>
      <c r="E35" s="1738"/>
      <c r="F35" s="1738"/>
      <c r="G35" s="1738"/>
      <c r="H35" s="1738"/>
      <c r="I35" s="1738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1179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757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757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1183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2" t="s">
        <v>7</v>
      </c>
      <c r="B13" s="1842" t="s">
        <v>937</v>
      </c>
      <c r="C13" s="1842" t="s">
        <v>8</v>
      </c>
      <c r="D13" s="1842" t="s">
        <v>10</v>
      </c>
      <c r="E13" s="1842" t="s">
        <v>11</v>
      </c>
      <c r="F13" s="419" t="s">
        <v>12</v>
      </c>
      <c r="G13" s="1842" t="s">
        <v>13</v>
      </c>
      <c r="H13" s="1842" t="s">
        <v>14</v>
      </c>
      <c r="I13" s="1842" t="s">
        <v>15</v>
      </c>
      <c r="J13" s="1842" t="s">
        <v>16</v>
      </c>
      <c r="K13" s="1842" t="s">
        <v>17</v>
      </c>
      <c r="L13" s="1842" t="s">
        <v>18</v>
      </c>
      <c r="M13" s="1842" t="s">
        <v>19</v>
      </c>
      <c r="N13" s="1842" t="s">
        <v>20</v>
      </c>
    </row>
    <row r="14" spans="1:14" x14ac:dyDescent="0.25">
      <c r="A14" s="1842"/>
      <c r="B14" s="1842"/>
      <c r="C14" s="1842"/>
      <c r="D14" s="1842"/>
      <c r="E14" s="1842"/>
      <c r="F14" s="419" t="s">
        <v>21</v>
      </c>
      <c r="G14" s="1842"/>
      <c r="H14" s="1842"/>
      <c r="I14" s="1842"/>
      <c r="J14" s="1842"/>
      <c r="K14" s="1842"/>
      <c r="L14" s="1842"/>
      <c r="M14" s="1842"/>
      <c r="N14" s="184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807" t="s">
        <v>854</v>
      </c>
      <c r="I55" s="1807"/>
      <c r="J55" s="1807"/>
      <c r="K55" s="1807"/>
      <c r="L55" s="1807"/>
      <c r="M55" s="1807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808" t="s">
        <v>852</v>
      </c>
      <c r="I56" s="1808"/>
      <c r="J56" s="1808"/>
      <c r="K56" s="1808"/>
      <c r="L56" s="1808"/>
      <c r="M56" s="1808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809" t="s">
        <v>853</v>
      </c>
      <c r="I57" s="1809"/>
      <c r="J57" s="1809"/>
      <c r="K57" s="1809"/>
      <c r="L57" s="1809"/>
      <c r="M57" s="1809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810"/>
      <c r="J58" s="1810"/>
      <c r="K58" s="1810"/>
      <c r="L58" s="1810"/>
      <c r="M58" s="1810"/>
      <c r="N58" s="1810"/>
    </row>
    <row r="59" spans="1:14" ht="15.75" x14ac:dyDescent="0.25">
      <c r="A59" s="267"/>
      <c r="B59" s="267"/>
      <c r="C59" s="267"/>
      <c r="D59" s="268"/>
      <c r="E59" s="268"/>
      <c r="F59" s="269"/>
      <c r="G59" s="1738"/>
      <c r="H59" s="1738"/>
      <c r="I59" s="1738"/>
      <c r="J59" s="1738"/>
      <c r="K59" s="1738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1181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819" t="s">
        <v>412</v>
      </c>
      <c r="B11" s="1819"/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6" t="s">
        <v>7</v>
      </c>
      <c r="B13" s="1817" t="s">
        <v>937</v>
      </c>
      <c r="C13" s="1796" t="s">
        <v>9</v>
      </c>
      <c r="D13" s="1796" t="s">
        <v>832</v>
      </c>
      <c r="E13" s="421" t="s">
        <v>12</v>
      </c>
      <c r="F13" s="1797" t="s">
        <v>13</v>
      </c>
      <c r="G13" s="1798" t="s">
        <v>14</v>
      </c>
      <c r="H13" s="1798" t="s">
        <v>15</v>
      </c>
      <c r="I13" s="1798" t="s">
        <v>16</v>
      </c>
      <c r="J13" s="1798" t="s">
        <v>17</v>
      </c>
      <c r="K13" s="1798" t="s">
        <v>18</v>
      </c>
      <c r="L13" s="1798" t="s">
        <v>19</v>
      </c>
      <c r="M13" s="1798" t="s">
        <v>20</v>
      </c>
    </row>
    <row r="14" spans="1:13" x14ac:dyDescent="0.25">
      <c r="A14" s="1796"/>
      <c r="B14" s="1818"/>
      <c r="C14" s="1796"/>
      <c r="D14" s="1796"/>
      <c r="E14" s="421" t="s">
        <v>21</v>
      </c>
      <c r="F14" s="1797"/>
      <c r="G14" s="1798"/>
      <c r="H14" s="1798"/>
      <c r="I14" s="1798"/>
      <c r="J14" s="1798"/>
      <c r="K14" s="1798"/>
      <c r="L14" s="1798"/>
      <c r="M14" s="1798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807" t="s">
        <v>854</v>
      </c>
      <c r="I34" s="1807"/>
      <c r="J34" s="1807"/>
      <c r="K34" s="1807"/>
      <c r="L34" s="1807"/>
      <c r="M34" s="1807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808" t="s">
        <v>852</v>
      </c>
      <c r="I35" s="1808"/>
      <c r="J35" s="1808"/>
      <c r="K35" s="1808"/>
      <c r="L35" s="1808"/>
      <c r="M35" s="1808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809" t="s">
        <v>853</v>
      </c>
      <c r="I36" s="1809"/>
      <c r="J36" s="1809"/>
      <c r="K36" s="1809"/>
      <c r="L36" s="1809"/>
      <c r="M36" s="1809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810"/>
      <c r="J37" s="1810"/>
      <c r="K37" s="1810"/>
      <c r="L37" s="1810"/>
      <c r="M37" s="1810"/>
      <c r="N37" s="1810"/>
    </row>
    <row r="38" spans="1:14" ht="15.75" x14ac:dyDescent="0.25">
      <c r="A38" s="267"/>
      <c r="B38" s="267"/>
      <c r="C38" s="267"/>
      <c r="D38" s="268"/>
      <c r="E38" s="268"/>
      <c r="F38" s="269"/>
      <c r="G38" s="1738"/>
      <c r="H38" s="1738"/>
      <c r="I38" s="1738"/>
      <c r="J38" s="1738"/>
      <c r="K38" s="1738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1182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807" t="s">
        <v>854</v>
      </c>
      <c r="G74" s="1807"/>
      <c r="H74" s="1807"/>
      <c r="I74" s="1807"/>
      <c r="J74" s="1807"/>
      <c r="K74" s="1807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808" t="s">
        <v>852</v>
      </c>
      <c r="G75" s="1808"/>
      <c r="H75" s="1808"/>
      <c r="I75" s="1808"/>
      <c r="J75" s="1808"/>
      <c r="K75" s="1808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809" t="s">
        <v>853</v>
      </c>
      <c r="G76" s="1809"/>
      <c r="H76" s="1809"/>
      <c r="I76" s="1809"/>
      <c r="J76" s="1809"/>
      <c r="K76" s="1809"/>
      <c r="L76" s="537"/>
    </row>
    <row r="77" spans="1:12" x14ac:dyDescent="0.25">
      <c r="A77" s="546"/>
      <c r="B77" s="546"/>
      <c r="C77" s="547"/>
      <c r="D77" s="541"/>
      <c r="E77" s="540"/>
      <c r="F77" s="537"/>
      <c r="G77" s="1810"/>
      <c r="H77" s="1810"/>
      <c r="I77" s="1810"/>
      <c r="J77" s="1810"/>
      <c r="K77" s="1810"/>
      <c r="L77" s="1810"/>
    </row>
    <row r="78" spans="1:12" ht="15.75" x14ac:dyDescent="0.25">
      <c r="A78" s="267"/>
      <c r="B78" s="267"/>
      <c r="C78" s="268"/>
      <c r="D78" s="269"/>
      <c r="E78" s="1738"/>
      <c r="F78" s="1738"/>
      <c r="G78" s="1738"/>
      <c r="H78" s="1738"/>
      <c r="I78" s="1738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1196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07" t="s">
        <v>854</v>
      </c>
      <c r="G36" s="1807"/>
      <c r="H36" s="1807"/>
      <c r="I36" s="1807"/>
      <c r="J36" s="1807"/>
      <c r="K36" s="180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8" t="s">
        <v>852</v>
      </c>
      <c r="G37" s="1808"/>
      <c r="H37" s="1808"/>
      <c r="I37" s="1808"/>
      <c r="J37" s="1808"/>
      <c r="K37" s="1808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809" t="s">
        <v>853</v>
      </c>
      <c r="G38" s="1809"/>
      <c r="H38" s="1809"/>
      <c r="I38" s="1809"/>
      <c r="J38" s="1809"/>
      <c r="K38" s="1809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0"/>
      <c r="H39" s="1810"/>
      <c r="I39" s="1810"/>
      <c r="J39" s="1810"/>
      <c r="K39" s="1810"/>
      <c r="L39" s="1810"/>
    </row>
    <row r="40" spans="1:12" ht="15.75" x14ac:dyDescent="0.25">
      <c r="A40" s="267"/>
      <c r="B40" s="267"/>
      <c r="C40" s="268"/>
      <c r="D40" s="269"/>
      <c r="E40" s="1738"/>
      <c r="F40" s="1738"/>
      <c r="G40" s="1738"/>
      <c r="H40" s="1738"/>
      <c r="I40" s="1738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56" t="s">
        <v>0</v>
      </c>
      <c r="B5" s="1856"/>
      <c r="C5" s="1856"/>
      <c r="D5" s="1856"/>
      <c r="E5" s="1856"/>
      <c r="F5" s="1856"/>
      <c r="G5" s="1856"/>
      <c r="H5" s="1856"/>
      <c r="I5" s="1856"/>
      <c r="J5" s="1856"/>
      <c r="K5" s="1856"/>
      <c r="L5" s="1856"/>
      <c r="M5" s="1856"/>
    </row>
    <row r="6" spans="1:13" x14ac:dyDescent="0.25">
      <c r="A6" s="1856" t="s">
        <v>3</v>
      </c>
      <c r="B6" s="1856"/>
      <c r="C6" s="1856"/>
      <c r="D6" s="1856"/>
      <c r="E6" s="1856"/>
      <c r="F6" s="1856"/>
      <c r="G6" s="1856"/>
      <c r="H6" s="1856"/>
      <c r="I6" s="1856"/>
      <c r="J6" s="1856"/>
      <c r="K6" s="1856"/>
      <c r="L6" s="1856"/>
      <c r="M6" s="1856"/>
    </row>
    <row r="7" spans="1:13" x14ac:dyDescent="0.25">
      <c r="A7" s="1856" t="s">
        <v>1211</v>
      </c>
      <c r="B7" s="1856"/>
      <c r="C7" s="1856"/>
      <c r="D7" s="1856"/>
      <c r="E7" s="1856"/>
      <c r="F7" s="1856"/>
      <c r="G7" s="1856"/>
      <c r="H7" s="1856"/>
      <c r="I7" s="1856"/>
      <c r="J7" s="1856"/>
      <c r="K7" s="1856"/>
      <c r="L7" s="1856"/>
      <c r="M7" s="1856"/>
    </row>
    <row r="8" spans="1:13" x14ac:dyDescent="0.25">
      <c r="A8" s="1857" t="s">
        <v>404</v>
      </c>
      <c r="B8" s="1857"/>
      <c r="C8" s="1857"/>
      <c r="D8" s="1857"/>
      <c r="E8" s="1857"/>
      <c r="F8" s="1857"/>
      <c r="G8" s="1857"/>
      <c r="H8" s="1857"/>
      <c r="I8" s="1857"/>
      <c r="J8" s="1857"/>
      <c r="K8" s="1857"/>
      <c r="L8" s="1857"/>
      <c r="M8" s="1857"/>
    </row>
    <row r="9" spans="1:13" x14ac:dyDescent="0.25">
      <c r="A9" s="1858" t="s">
        <v>7</v>
      </c>
      <c r="B9" s="1858" t="s">
        <v>802</v>
      </c>
      <c r="C9" s="1858" t="s">
        <v>9</v>
      </c>
      <c r="D9" s="1858" t="s">
        <v>11</v>
      </c>
      <c r="E9" s="772" t="s">
        <v>12</v>
      </c>
      <c r="F9" s="1860" t="s">
        <v>13</v>
      </c>
      <c r="G9" s="1854" t="s">
        <v>14</v>
      </c>
      <c r="H9" s="1854" t="s">
        <v>15</v>
      </c>
      <c r="I9" s="1854" t="s">
        <v>16</v>
      </c>
      <c r="J9" s="1854" t="s">
        <v>17</v>
      </c>
      <c r="K9" s="1854" t="s">
        <v>18</v>
      </c>
      <c r="L9" s="1854" t="s">
        <v>19</v>
      </c>
      <c r="M9" s="1854" t="s">
        <v>20</v>
      </c>
    </row>
    <row r="10" spans="1:13" x14ac:dyDescent="0.25">
      <c r="A10" s="1859"/>
      <c r="B10" s="1859"/>
      <c r="C10" s="1859"/>
      <c r="D10" s="1859"/>
      <c r="E10" s="772" t="s">
        <v>21</v>
      </c>
      <c r="F10" s="1861"/>
      <c r="G10" s="1855"/>
      <c r="H10" s="1855"/>
      <c r="I10" s="1855"/>
      <c r="J10" s="1855"/>
      <c r="K10" s="1855"/>
      <c r="L10" s="1855"/>
      <c r="M10" s="185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1212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757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757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1213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2" t="s">
        <v>7</v>
      </c>
      <c r="B13" s="1842" t="s">
        <v>937</v>
      </c>
      <c r="C13" s="1842" t="s">
        <v>8</v>
      </c>
      <c r="D13" s="1842" t="s">
        <v>10</v>
      </c>
      <c r="E13" s="1842" t="s">
        <v>11</v>
      </c>
      <c r="F13" s="419" t="s">
        <v>12</v>
      </c>
      <c r="G13" s="1842" t="s">
        <v>13</v>
      </c>
      <c r="H13" s="1842" t="s">
        <v>14</v>
      </c>
      <c r="I13" s="1842" t="s">
        <v>15</v>
      </c>
      <c r="J13" s="1842" t="s">
        <v>16</v>
      </c>
      <c r="K13" s="1842" t="s">
        <v>17</v>
      </c>
      <c r="L13" s="1842" t="s">
        <v>18</v>
      </c>
      <c r="M13" s="1842" t="s">
        <v>19</v>
      </c>
      <c r="N13" s="1842" t="s">
        <v>20</v>
      </c>
    </row>
    <row r="14" spans="1:14" x14ac:dyDescent="0.25">
      <c r="A14" s="1842"/>
      <c r="B14" s="1842"/>
      <c r="C14" s="1842"/>
      <c r="D14" s="1842"/>
      <c r="E14" s="1842"/>
      <c r="F14" s="419" t="s">
        <v>21</v>
      </c>
      <c r="G14" s="1842"/>
      <c r="H14" s="1842"/>
      <c r="I14" s="1842"/>
      <c r="J14" s="1842"/>
      <c r="K14" s="1842"/>
      <c r="L14" s="1842"/>
      <c r="M14" s="1842"/>
      <c r="N14" s="184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807" t="s">
        <v>1223</v>
      </c>
      <c r="I58" s="1807"/>
      <c r="J58" s="1807"/>
      <c r="K58" s="1807"/>
      <c r="L58" s="1807"/>
      <c r="M58" s="1807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808" t="s">
        <v>852</v>
      </c>
      <c r="I59" s="1808"/>
      <c r="J59" s="1808"/>
      <c r="K59" s="1808"/>
      <c r="L59" s="1808"/>
      <c r="M59" s="1808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809" t="s">
        <v>1224</v>
      </c>
      <c r="I60" s="1809"/>
      <c r="J60" s="1809"/>
      <c r="K60" s="1809"/>
      <c r="L60" s="1809"/>
      <c r="M60" s="1809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810"/>
      <c r="J61" s="1810"/>
      <c r="K61" s="1810"/>
      <c r="L61" s="1810"/>
      <c r="M61" s="1810"/>
      <c r="N61" s="1810"/>
    </row>
    <row r="62" spans="1:14" ht="15.75" x14ac:dyDescent="0.25">
      <c r="A62" s="267"/>
      <c r="B62" s="267"/>
      <c r="C62" s="267"/>
      <c r="D62" s="268"/>
      <c r="E62" s="268"/>
      <c r="F62" s="269"/>
      <c r="G62" s="1738"/>
      <c r="H62" s="1738"/>
      <c r="I62" s="1738"/>
      <c r="J62" s="1738"/>
      <c r="K62" s="1738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1214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862" t="s">
        <v>1234</v>
      </c>
      <c r="G68" s="1862"/>
      <c r="H68" s="1862"/>
      <c r="I68" s="1862"/>
      <c r="J68" s="1862"/>
      <c r="K68" s="1862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808" t="s">
        <v>1222</v>
      </c>
      <c r="G69" s="1808"/>
      <c r="H69" s="1808"/>
      <c r="I69" s="1808"/>
      <c r="J69" s="1808"/>
      <c r="K69" s="1808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809" t="s">
        <v>1224</v>
      </c>
      <c r="G70" s="1809"/>
      <c r="H70" s="1809"/>
      <c r="I70" s="1809"/>
      <c r="J70" s="1809"/>
      <c r="K70" s="1809"/>
      <c r="L70" s="537"/>
    </row>
    <row r="71" spans="1:12" x14ac:dyDescent="0.25">
      <c r="A71" s="546"/>
      <c r="B71" s="546"/>
      <c r="C71" s="547"/>
      <c r="D71" s="541"/>
      <c r="E71" s="540"/>
      <c r="F71" s="537"/>
      <c r="G71" s="1810"/>
      <c r="H71" s="1810"/>
      <c r="I71" s="1810"/>
      <c r="J71" s="1810"/>
      <c r="K71" s="1810"/>
      <c r="L71" s="1810"/>
    </row>
    <row r="72" spans="1:12" ht="15.75" x14ac:dyDescent="0.25">
      <c r="A72" s="267"/>
      <c r="B72" s="267"/>
      <c r="C72" s="268"/>
      <c r="D72" s="269"/>
      <c r="E72" s="1738"/>
      <c r="F72" s="1738"/>
      <c r="G72" s="1738"/>
      <c r="H72" s="1738"/>
      <c r="I72" s="1738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1215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07" t="s">
        <v>854</v>
      </c>
      <c r="G36" s="1807"/>
      <c r="H36" s="1807"/>
      <c r="I36" s="1807"/>
      <c r="J36" s="1807"/>
      <c r="K36" s="180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8" t="s">
        <v>852</v>
      </c>
      <c r="G37" s="1808"/>
      <c r="H37" s="1808"/>
      <c r="I37" s="1808"/>
      <c r="J37" s="1808"/>
      <c r="K37" s="1808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809" t="s">
        <v>1236</v>
      </c>
      <c r="G38" s="1809"/>
      <c r="H38" s="1809"/>
      <c r="I38" s="1809"/>
      <c r="J38" s="1809"/>
      <c r="K38" s="1809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0"/>
      <c r="H39" s="1810"/>
      <c r="I39" s="1810"/>
      <c r="J39" s="1810"/>
      <c r="K39" s="1810"/>
      <c r="L39" s="1810"/>
    </row>
    <row r="40" spans="1:12" ht="15.75" x14ac:dyDescent="0.25">
      <c r="A40" s="267"/>
      <c r="B40" s="267"/>
      <c r="C40" s="268"/>
      <c r="D40" s="269"/>
      <c r="E40" s="1738"/>
      <c r="F40" s="1738"/>
      <c r="G40" s="1738"/>
      <c r="H40" s="1738"/>
      <c r="I40" s="1738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56" t="s">
        <v>0</v>
      </c>
      <c r="B5" s="1856"/>
      <c r="C5" s="1856"/>
      <c r="D5" s="1856"/>
      <c r="E5" s="1856"/>
      <c r="F5" s="1856"/>
      <c r="G5" s="1856"/>
      <c r="H5" s="1856"/>
      <c r="I5" s="1856"/>
      <c r="J5" s="1856"/>
      <c r="K5" s="1856"/>
      <c r="L5" s="1856"/>
      <c r="M5" s="1856"/>
    </row>
    <row r="6" spans="1:13" x14ac:dyDescent="0.25">
      <c r="A6" s="1856" t="s">
        <v>3</v>
      </c>
      <c r="B6" s="1856"/>
      <c r="C6" s="1856"/>
      <c r="D6" s="1856"/>
      <c r="E6" s="1856"/>
      <c r="F6" s="1856"/>
      <c r="G6" s="1856"/>
      <c r="H6" s="1856"/>
      <c r="I6" s="1856"/>
      <c r="J6" s="1856"/>
      <c r="K6" s="1856"/>
      <c r="L6" s="1856"/>
      <c r="M6" s="1856"/>
    </row>
    <row r="7" spans="1:13" x14ac:dyDescent="0.25">
      <c r="A7" s="1856" t="s">
        <v>1240</v>
      </c>
      <c r="B7" s="1856"/>
      <c r="C7" s="1856"/>
      <c r="D7" s="1856"/>
      <c r="E7" s="1856"/>
      <c r="F7" s="1856"/>
      <c r="G7" s="1856"/>
      <c r="H7" s="1856"/>
      <c r="I7" s="1856"/>
      <c r="J7" s="1856"/>
      <c r="K7" s="1856"/>
      <c r="L7" s="1856"/>
      <c r="M7" s="1856"/>
    </row>
    <row r="8" spans="1:13" x14ac:dyDescent="0.25">
      <c r="A8" s="1857" t="s">
        <v>404</v>
      </c>
      <c r="B8" s="1857"/>
      <c r="C8" s="1857"/>
      <c r="D8" s="1857"/>
      <c r="E8" s="1857"/>
      <c r="F8" s="1857"/>
      <c r="G8" s="1857"/>
      <c r="H8" s="1857"/>
      <c r="I8" s="1857"/>
      <c r="J8" s="1857"/>
      <c r="K8" s="1857"/>
      <c r="L8" s="1857"/>
      <c r="M8" s="1857"/>
    </row>
    <row r="9" spans="1:13" x14ac:dyDescent="0.25">
      <c r="A9" s="1858" t="s">
        <v>7</v>
      </c>
      <c r="B9" s="1858" t="s">
        <v>802</v>
      </c>
      <c r="C9" s="1858" t="s">
        <v>9</v>
      </c>
      <c r="D9" s="1858" t="s">
        <v>11</v>
      </c>
      <c r="E9" s="772" t="s">
        <v>12</v>
      </c>
      <c r="F9" s="1860" t="s">
        <v>13</v>
      </c>
      <c r="G9" s="1854" t="s">
        <v>14</v>
      </c>
      <c r="H9" s="1854" t="s">
        <v>15</v>
      </c>
      <c r="I9" s="1854" t="s">
        <v>16</v>
      </c>
      <c r="J9" s="1854" t="s">
        <v>17</v>
      </c>
      <c r="K9" s="1854" t="s">
        <v>18</v>
      </c>
      <c r="L9" s="1854" t="s">
        <v>19</v>
      </c>
      <c r="M9" s="1854" t="s">
        <v>20</v>
      </c>
    </row>
    <row r="10" spans="1:13" x14ac:dyDescent="0.25">
      <c r="A10" s="1859"/>
      <c r="B10" s="1859"/>
      <c r="C10" s="1859"/>
      <c r="D10" s="1859"/>
      <c r="E10" s="772" t="s">
        <v>21</v>
      </c>
      <c r="F10" s="1861"/>
      <c r="G10" s="1855"/>
      <c r="H10" s="1855"/>
      <c r="I10" s="1855"/>
      <c r="J10" s="1855"/>
      <c r="K10" s="1855"/>
      <c r="L10" s="1855"/>
      <c r="M10" s="185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1241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757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757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1244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3" t="s">
        <v>7</v>
      </c>
      <c r="B13" s="1842" t="s">
        <v>937</v>
      </c>
      <c r="C13" s="1842" t="s">
        <v>8</v>
      </c>
      <c r="D13" s="1842" t="s">
        <v>10</v>
      </c>
      <c r="E13" s="1842" t="s">
        <v>11</v>
      </c>
      <c r="F13" s="419" t="s">
        <v>12</v>
      </c>
      <c r="G13" s="1842" t="s">
        <v>13</v>
      </c>
      <c r="H13" s="1842" t="s">
        <v>14</v>
      </c>
      <c r="I13" s="1842" t="s">
        <v>15</v>
      </c>
      <c r="J13" s="1842" t="s">
        <v>16</v>
      </c>
      <c r="K13" s="1842" t="s">
        <v>17</v>
      </c>
      <c r="L13" s="1842" t="s">
        <v>18</v>
      </c>
      <c r="M13" s="1842" t="s">
        <v>19</v>
      </c>
      <c r="N13" s="1842" t="s">
        <v>20</v>
      </c>
    </row>
    <row r="14" spans="1:14" x14ac:dyDescent="0.25">
      <c r="A14" s="1844"/>
      <c r="B14" s="1842"/>
      <c r="C14" s="1842"/>
      <c r="D14" s="1842"/>
      <c r="E14" s="1842"/>
      <c r="F14" s="419" t="s">
        <v>21</v>
      </c>
      <c r="G14" s="1842"/>
      <c r="H14" s="1842"/>
      <c r="I14" s="1842"/>
      <c r="J14" s="1842"/>
      <c r="K14" s="1842"/>
      <c r="L14" s="1842"/>
      <c r="M14" s="1842"/>
      <c r="N14" s="1842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807" t="s">
        <v>1252</v>
      </c>
      <c r="I49" s="1807"/>
      <c r="J49" s="1807"/>
      <c r="K49" s="1807"/>
      <c r="L49" s="1807"/>
      <c r="M49" s="1807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808" t="s">
        <v>852</v>
      </c>
      <c r="I50" s="1808"/>
      <c r="J50" s="1808"/>
      <c r="K50" s="1808"/>
      <c r="L50" s="1808"/>
      <c r="M50" s="1808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809" t="s">
        <v>1224</v>
      </c>
      <c r="I51" s="1809"/>
      <c r="J51" s="1809"/>
      <c r="K51" s="1809"/>
      <c r="L51" s="1809"/>
      <c r="M51" s="1809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810"/>
      <c r="J52" s="1810"/>
      <c r="K52" s="1810"/>
      <c r="L52" s="1810"/>
      <c r="M52" s="1810"/>
      <c r="N52" s="1810"/>
    </row>
    <row r="53" spans="1:14" ht="15.75" x14ac:dyDescent="0.25">
      <c r="A53" s="267"/>
      <c r="B53" s="267"/>
      <c r="C53" s="267"/>
      <c r="D53" s="268"/>
      <c r="E53" s="268"/>
      <c r="F53" s="269"/>
      <c r="G53" s="1738"/>
      <c r="H53" s="1738"/>
      <c r="I53" s="1738"/>
      <c r="J53" s="1738"/>
      <c r="K53" s="1738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1242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886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862" t="s">
        <v>1234</v>
      </c>
      <c r="G64" s="1862"/>
      <c r="H64" s="1862"/>
      <c r="I64" s="1862"/>
      <c r="J64" s="1862"/>
      <c r="K64" s="1862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808" t="s">
        <v>1222</v>
      </c>
      <c r="G65" s="1808"/>
      <c r="H65" s="1808"/>
      <c r="I65" s="1808"/>
      <c r="J65" s="1808"/>
      <c r="K65" s="1808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809" t="s">
        <v>1224</v>
      </c>
      <c r="G66" s="1809"/>
      <c r="H66" s="1809"/>
      <c r="I66" s="1809"/>
      <c r="J66" s="1809"/>
      <c r="K66" s="1809"/>
      <c r="L66" s="537"/>
    </row>
    <row r="67" spans="1:12" x14ac:dyDescent="0.25">
      <c r="A67" s="546"/>
      <c r="B67" s="546"/>
      <c r="C67" s="547"/>
      <c r="D67" s="541"/>
      <c r="E67" s="540"/>
      <c r="F67" s="537"/>
      <c r="G67" s="1810"/>
      <c r="H67" s="1810"/>
      <c r="I67" s="1810"/>
      <c r="J67" s="1810"/>
      <c r="K67" s="1810"/>
      <c r="L67" s="1810"/>
    </row>
    <row r="68" spans="1:12" ht="15.75" x14ac:dyDescent="0.25">
      <c r="A68" s="267"/>
      <c r="B68" s="267"/>
      <c r="C68" s="268"/>
      <c r="D68" s="269"/>
      <c r="E68" s="1738"/>
      <c r="F68" s="1738"/>
      <c r="G68" s="1738"/>
      <c r="H68" s="1738"/>
      <c r="I68" s="1738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1243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6.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2" t="s">
        <v>1255</v>
      </c>
      <c r="G36" s="1862"/>
      <c r="H36" s="1862"/>
      <c r="I36" s="1862"/>
      <c r="J36" s="1862"/>
      <c r="K36" s="186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8" t="s">
        <v>852</v>
      </c>
      <c r="G37" s="1808"/>
      <c r="H37" s="1808"/>
      <c r="I37" s="1808"/>
      <c r="J37" s="1808"/>
      <c r="K37" s="180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09" t="s">
        <v>1257</v>
      </c>
      <c r="G38" s="1809"/>
      <c r="H38" s="1809"/>
      <c r="I38" s="1809"/>
      <c r="J38" s="1809"/>
      <c r="K38" s="1809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0"/>
      <c r="H39" s="1810"/>
      <c r="I39" s="1810"/>
      <c r="J39" s="1810"/>
      <c r="K39" s="1810"/>
      <c r="L39" s="1810"/>
    </row>
    <row r="40" spans="1:12" ht="15.75" x14ac:dyDescent="0.25">
      <c r="A40" s="267"/>
      <c r="B40" s="267"/>
      <c r="C40" s="268"/>
      <c r="D40" s="269"/>
      <c r="E40" s="1738"/>
      <c r="F40" s="1738"/>
      <c r="G40" s="1738"/>
      <c r="H40" s="1738"/>
      <c r="I40" s="1738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64" t="s">
        <v>0</v>
      </c>
      <c r="C5" s="1864"/>
      <c r="D5" s="1864"/>
      <c r="E5" s="1864"/>
      <c r="F5" s="1864"/>
      <c r="G5" s="1864"/>
      <c r="H5" s="1864"/>
      <c r="I5" s="1864"/>
      <c r="J5" s="1864"/>
      <c r="K5" s="1864"/>
      <c r="L5" s="1864"/>
      <c r="M5" s="1864"/>
      <c r="N5" s="1864"/>
    </row>
    <row r="6" spans="2:14" ht="15.75" x14ac:dyDescent="0.25">
      <c r="B6" s="1864" t="s">
        <v>3</v>
      </c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  <c r="N6" s="1864"/>
    </row>
    <row r="7" spans="2:14" ht="15.75" x14ac:dyDescent="0.25">
      <c r="B7" s="1864" t="s">
        <v>1260</v>
      </c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2:14" ht="15.75" x14ac:dyDescent="0.25">
      <c r="B8" s="1865" t="s">
        <v>404</v>
      </c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  <c r="N8" s="1865"/>
    </row>
    <row r="9" spans="2:14" ht="15.75" x14ac:dyDescent="0.25">
      <c r="B9" s="1866" t="s">
        <v>7</v>
      </c>
      <c r="C9" s="1866" t="s">
        <v>802</v>
      </c>
      <c r="D9" s="1866" t="s">
        <v>9</v>
      </c>
      <c r="E9" s="1866" t="s">
        <v>11</v>
      </c>
      <c r="F9" s="870" t="s">
        <v>12</v>
      </c>
      <c r="G9" s="1868" t="s">
        <v>13</v>
      </c>
      <c r="H9" s="1867" t="s">
        <v>14</v>
      </c>
      <c r="I9" s="1867" t="s">
        <v>15</v>
      </c>
      <c r="J9" s="1867" t="s">
        <v>16</v>
      </c>
      <c r="K9" s="1867" t="s">
        <v>17</v>
      </c>
      <c r="L9" s="1867" t="s">
        <v>18</v>
      </c>
      <c r="M9" s="1867" t="s">
        <v>19</v>
      </c>
      <c r="N9" s="1867" t="s">
        <v>20</v>
      </c>
    </row>
    <row r="10" spans="2:14" ht="15.75" x14ac:dyDescent="0.25">
      <c r="B10" s="1866"/>
      <c r="C10" s="1866"/>
      <c r="D10" s="1866"/>
      <c r="E10" s="1866"/>
      <c r="F10" s="870" t="s">
        <v>21</v>
      </c>
      <c r="G10" s="1868"/>
      <c r="H10" s="1867"/>
      <c r="I10" s="1867"/>
      <c r="J10" s="1867"/>
      <c r="K10" s="1867"/>
      <c r="L10" s="1867"/>
      <c r="M10" s="1867"/>
      <c r="N10" s="186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869" t="s">
        <v>852</v>
      </c>
      <c r="K213" s="1869"/>
      <c r="L213" s="1869"/>
      <c r="M213" s="1869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863" t="s">
        <v>1224</v>
      </c>
      <c r="K214" s="1863"/>
      <c r="L214" s="1863"/>
      <c r="M214" s="1863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1261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757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757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809" t="s">
        <v>1267</v>
      </c>
      <c r="F101" s="1809"/>
      <c r="G101" s="1809"/>
      <c r="H101" s="1809"/>
      <c r="I101" s="1809"/>
      <c r="J101" s="1809"/>
      <c r="K101" s="1809"/>
      <c r="L101" s="1809"/>
      <c r="M101" s="1809"/>
      <c r="N101" s="1809"/>
      <c r="O101" s="1809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1262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3" t="s">
        <v>7</v>
      </c>
      <c r="C13" s="1842" t="s">
        <v>937</v>
      </c>
      <c r="D13" s="1842" t="s">
        <v>8</v>
      </c>
      <c r="E13" s="1842" t="s">
        <v>10</v>
      </c>
      <c r="F13" s="1842" t="s">
        <v>11</v>
      </c>
      <c r="G13" s="419" t="s">
        <v>12</v>
      </c>
      <c r="H13" s="1842" t="s">
        <v>13</v>
      </c>
      <c r="I13" s="1842" t="s">
        <v>14</v>
      </c>
      <c r="J13" s="1842" t="s">
        <v>15</v>
      </c>
      <c r="K13" s="1842" t="s">
        <v>16</v>
      </c>
      <c r="L13" s="1842" t="s">
        <v>17</v>
      </c>
      <c r="M13" s="1842" t="s">
        <v>18</v>
      </c>
      <c r="N13" s="1842" t="s">
        <v>19</v>
      </c>
      <c r="O13" s="1842" t="s">
        <v>20</v>
      </c>
    </row>
    <row r="14" spans="2:15" x14ac:dyDescent="0.25">
      <c r="B14" s="1844"/>
      <c r="C14" s="1842"/>
      <c r="D14" s="1842"/>
      <c r="E14" s="1842"/>
      <c r="F14" s="1842"/>
      <c r="G14" s="419" t="s">
        <v>21</v>
      </c>
      <c r="H14" s="1842"/>
      <c r="I14" s="1842"/>
      <c r="J14" s="1842"/>
      <c r="K14" s="1842"/>
      <c r="L14" s="1842"/>
      <c r="M14" s="1842"/>
      <c r="N14" s="1842"/>
      <c r="O14" s="1842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870" t="s">
        <v>1269</v>
      </c>
      <c r="C45" s="1870"/>
      <c r="D45" s="1870"/>
      <c r="E45" s="753"/>
      <c r="F45" s="753"/>
      <c r="G45" s="754"/>
      <c r="H45" s="755"/>
      <c r="J45" s="1871" t="s">
        <v>852</v>
      </c>
      <c r="K45" s="1871"/>
      <c r="L45" s="1871"/>
      <c r="M45" s="1871"/>
      <c r="N45" s="1871"/>
      <c r="O45" s="1871"/>
    </row>
    <row r="46" spans="2:15" s="259" customFormat="1" ht="19.5" customHeight="1" x14ac:dyDescent="0.25">
      <c r="B46" s="1809" t="s">
        <v>1270</v>
      </c>
      <c r="C46" s="1809"/>
      <c r="D46" s="1809"/>
      <c r="E46" s="753"/>
      <c r="F46" s="753"/>
      <c r="G46" s="754"/>
      <c r="H46" s="755"/>
      <c r="J46" s="1623" t="s">
        <v>1224</v>
      </c>
      <c r="K46" s="1623"/>
      <c r="L46" s="1623"/>
      <c r="M46" s="1623"/>
      <c r="N46" s="1623"/>
      <c r="O46" s="1623"/>
    </row>
    <row r="58" spans="8:15" x14ac:dyDescent="0.25">
      <c r="H58" s="540"/>
      <c r="I58" s="537"/>
      <c r="J58" s="1810"/>
      <c r="K58" s="1810"/>
      <c r="L58" s="1810"/>
      <c r="M58" s="1810"/>
      <c r="N58" s="1810"/>
      <c r="O58" s="1810"/>
    </row>
    <row r="59" spans="8:15" ht="15.75" x14ac:dyDescent="0.25">
      <c r="H59" s="1738"/>
      <c r="I59" s="1738"/>
      <c r="J59" s="1738"/>
      <c r="K59" s="1738"/>
      <c r="L59" s="1738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1" t="s">
        <v>0</v>
      </c>
      <c r="B6" s="1881"/>
      <c r="C6" s="1881"/>
      <c r="D6" s="1881"/>
      <c r="E6" s="1881"/>
      <c r="F6" s="1881"/>
      <c r="G6" s="1881"/>
      <c r="H6" s="1881"/>
      <c r="I6" s="1881"/>
      <c r="J6" s="1881"/>
      <c r="K6" s="1881"/>
      <c r="L6" s="1881"/>
    </row>
    <row r="7" spans="1:12" x14ac:dyDescent="0.25">
      <c r="A7" s="1881" t="s">
        <v>1</v>
      </c>
      <c r="B7" s="1881"/>
      <c r="C7" s="1881"/>
      <c r="D7" s="1881"/>
      <c r="E7" s="1881"/>
      <c r="F7" s="1881"/>
      <c r="G7" s="1881"/>
      <c r="H7" s="1881"/>
      <c r="I7" s="1881"/>
      <c r="J7" s="1881"/>
      <c r="K7" s="1881"/>
      <c r="L7" s="1881"/>
    </row>
    <row r="8" spans="1:12" x14ac:dyDescent="0.25">
      <c r="A8" s="1881" t="s">
        <v>3</v>
      </c>
      <c r="B8" s="1881"/>
      <c r="C8" s="1881"/>
      <c r="D8" s="1881"/>
      <c r="E8" s="1881"/>
      <c r="F8" s="1881"/>
      <c r="G8" s="1881"/>
      <c r="H8" s="1881"/>
      <c r="I8" s="1881"/>
      <c r="J8" s="1881"/>
      <c r="K8" s="1881"/>
      <c r="L8" s="1881"/>
    </row>
    <row r="9" spans="1:12" x14ac:dyDescent="0.25">
      <c r="A9" s="1881" t="s">
        <v>1263</v>
      </c>
      <c r="B9" s="1881"/>
      <c r="C9" s="1881"/>
      <c r="D9" s="1881"/>
      <c r="E9" s="1881"/>
      <c r="F9" s="1881"/>
      <c r="G9" s="1881"/>
      <c r="H9" s="1881"/>
      <c r="I9" s="1881"/>
      <c r="J9" s="1881"/>
      <c r="K9" s="1881"/>
      <c r="L9" s="1881"/>
    </row>
    <row r="10" spans="1:12" x14ac:dyDescent="0.25">
      <c r="A10" s="1872" t="s">
        <v>886</v>
      </c>
      <c r="B10" s="1872"/>
      <c r="C10" s="1872"/>
      <c r="D10" s="1872"/>
      <c r="E10" s="1872"/>
      <c r="F10" s="1872"/>
      <c r="G10" s="1872"/>
      <c r="H10" s="1872"/>
      <c r="I10" s="1872"/>
      <c r="J10" s="1872"/>
      <c r="K10" s="1872"/>
      <c r="L10" s="1872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76" t="s">
        <v>7</v>
      </c>
      <c r="B12" s="1876" t="s">
        <v>802</v>
      </c>
      <c r="C12" s="1880" t="s">
        <v>9</v>
      </c>
      <c r="D12" s="888" t="s">
        <v>12</v>
      </c>
      <c r="E12" s="1878" t="s">
        <v>13</v>
      </c>
      <c r="F12" s="1873" t="s">
        <v>14</v>
      </c>
      <c r="G12" s="1873" t="s">
        <v>15</v>
      </c>
      <c r="H12" s="1873" t="s">
        <v>16</v>
      </c>
      <c r="I12" s="1873" t="s">
        <v>17</v>
      </c>
      <c r="J12" s="1873" t="s">
        <v>18</v>
      </c>
      <c r="K12" s="1873" t="s">
        <v>19</v>
      </c>
      <c r="L12" s="1873" t="s">
        <v>20</v>
      </c>
    </row>
    <row r="13" spans="1:12" ht="16.5" customHeight="1" x14ac:dyDescent="0.25">
      <c r="A13" s="1876"/>
      <c r="B13" s="1876"/>
      <c r="C13" s="1880"/>
      <c r="D13" s="888" t="s">
        <v>21</v>
      </c>
      <c r="E13" s="1878"/>
      <c r="F13" s="1873"/>
      <c r="G13" s="1873"/>
      <c r="H13" s="1873"/>
      <c r="I13" s="1873"/>
      <c r="J13" s="1873"/>
      <c r="K13" s="1873"/>
      <c r="L13" s="187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877" t="s">
        <v>1234</v>
      </c>
      <c r="G59" s="1877"/>
      <c r="H59" s="1877"/>
      <c r="I59" s="1877"/>
      <c r="J59" s="1877"/>
      <c r="K59" s="1877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875" t="s">
        <v>1222</v>
      </c>
      <c r="G60" s="1875"/>
      <c r="H60" s="1875"/>
      <c r="I60" s="1875"/>
      <c r="J60" s="1875"/>
      <c r="K60" s="1875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874" t="s">
        <v>1224</v>
      </c>
      <c r="G61" s="1874"/>
      <c r="H61" s="1874"/>
      <c r="I61" s="1874"/>
      <c r="J61" s="1874"/>
      <c r="K61" s="1874"/>
      <c r="L61" s="915"/>
    </row>
    <row r="71" spans="4:12" x14ac:dyDescent="0.25">
      <c r="D71" s="924"/>
      <c r="E71" s="923"/>
      <c r="F71" s="915"/>
      <c r="G71" s="1879"/>
      <c r="H71" s="1879"/>
      <c r="I71" s="1879"/>
      <c r="J71" s="1879"/>
      <c r="K71" s="1879"/>
      <c r="L71" s="1879"/>
    </row>
    <row r="72" spans="4:12" x14ac:dyDescent="0.25">
      <c r="D72" s="925"/>
      <c r="E72" s="1872"/>
      <c r="F72" s="1872"/>
      <c r="G72" s="1872"/>
      <c r="H72" s="1872"/>
      <c r="I72" s="1872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1264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2" t="s">
        <v>1255</v>
      </c>
      <c r="G36" s="1862"/>
      <c r="H36" s="1862"/>
      <c r="I36" s="1862"/>
      <c r="J36" s="1862"/>
      <c r="K36" s="186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8" t="s">
        <v>852</v>
      </c>
      <c r="G37" s="1808"/>
      <c r="H37" s="1808"/>
      <c r="I37" s="1808"/>
      <c r="J37" s="1808"/>
      <c r="K37" s="180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09" t="s">
        <v>1257</v>
      </c>
      <c r="G38" s="1809"/>
      <c r="H38" s="1809"/>
      <c r="I38" s="1809"/>
      <c r="J38" s="1809"/>
      <c r="K38" s="1809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0"/>
      <c r="H39" s="1810"/>
      <c r="I39" s="1810"/>
      <c r="J39" s="1810"/>
      <c r="K39" s="1810"/>
      <c r="L39" s="1810"/>
    </row>
    <row r="40" spans="1:12" ht="15.75" x14ac:dyDescent="0.25">
      <c r="A40" s="267"/>
      <c r="B40" s="267"/>
      <c r="C40" s="268"/>
      <c r="D40" s="269"/>
      <c r="E40" s="1738"/>
      <c r="F40" s="1738"/>
      <c r="G40" s="1738"/>
      <c r="H40" s="1738"/>
      <c r="I40" s="1738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64" t="s">
        <v>0</v>
      </c>
      <c r="C5" s="1864"/>
      <c r="D5" s="1864"/>
      <c r="E5" s="1864"/>
      <c r="F5" s="1864"/>
      <c r="G5" s="1864"/>
      <c r="H5" s="1864"/>
      <c r="I5" s="1864"/>
      <c r="J5" s="1864"/>
      <c r="K5" s="1864"/>
      <c r="L5" s="1864"/>
      <c r="M5" s="1864"/>
      <c r="N5" s="1864"/>
    </row>
    <row r="6" spans="2:14" ht="15.75" x14ac:dyDescent="0.25">
      <c r="B6" s="1864" t="s">
        <v>3</v>
      </c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  <c r="N6" s="1864"/>
    </row>
    <row r="7" spans="2:14" ht="15.75" x14ac:dyDescent="0.25">
      <c r="B7" s="1864" t="s">
        <v>1334</v>
      </c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2:14" ht="15.75" x14ac:dyDescent="0.25">
      <c r="B8" s="1865" t="s">
        <v>404</v>
      </c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  <c r="N8" s="1865"/>
    </row>
    <row r="9" spans="2:14" ht="15.75" x14ac:dyDescent="0.25">
      <c r="B9" s="1866" t="s">
        <v>7</v>
      </c>
      <c r="C9" s="1866" t="s">
        <v>802</v>
      </c>
      <c r="D9" s="1866" t="s">
        <v>9</v>
      </c>
      <c r="E9" s="1866" t="s">
        <v>11</v>
      </c>
      <c r="F9" s="870" t="s">
        <v>12</v>
      </c>
      <c r="G9" s="1868" t="s">
        <v>13</v>
      </c>
      <c r="H9" s="1867" t="s">
        <v>14</v>
      </c>
      <c r="I9" s="1867" t="s">
        <v>15</v>
      </c>
      <c r="J9" s="1867" t="s">
        <v>16</v>
      </c>
      <c r="K9" s="1867" t="s">
        <v>17</v>
      </c>
      <c r="L9" s="1867" t="s">
        <v>18</v>
      </c>
      <c r="M9" s="1867" t="s">
        <v>19</v>
      </c>
      <c r="N9" s="1867" t="s">
        <v>20</v>
      </c>
    </row>
    <row r="10" spans="2:14" ht="15.75" x14ac:dyDescent="0.25">
      <c r="B10" s="1866"/>
      <c r="C10" s="1866"/>
      <c r="D10" s="1866"/>
      <c r="E10" s="1866"/>
      <c r="F10" s="870" t="s">
        <v>21</v>
      </c>
      <c r="G10" s="1868"/>
      <c r="H10" s="1867"/>
      <c r="I10" s="1867"/>
      <c r="J10" s="1867"/>
      <c r="K10" s="1867"/>
      <c r="L10" s="1867"/>
      <c r="M10" s="1867"/>
      <c r="N10" s="186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869" t="s">
        <v>852</v>
      </c>
      <c r="K239" s="1869"/>
      <c r="L239" s="1869"/>
      <c r="M239" s="1869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863" t="s">
        <v>1224</v>
      </c>
      <c r="K240" s="1863"/>
      <c r="L240" s="1863"/>
      <c r="M240" s="1863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1276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9" t="s">
        <v>7</v>
      </c>
      <c r="B11" s="1789" t="s">
        <v>937</v>
      </c>
      <c r="C11" s="1790" t="s">
        <v>9</v>
      </c>
      <c r="D11" s="1789" t="s">
        <v>832</v>
      </c>
      <c r="E11" s="1789" t="s">
        <v>834</v>
      </c>
      <c r="F11" s="1789" t="s">
        <v>209</v>
      </c>
      <c r="G11" s="757" t="s">
        <v>12</v>
      </c>
      <c r="H11" s="1793" t="s">
        <v>13</v>
      </c>
      <c r="I11" s="1791" t="s">
        <v>14</v>
      </c>
      <c r="J11" s="1791" t="s">
        <v>15</v>
      </c>
      <c r="K11" s="1791" t="s">
        <v>16</v>
      </c>
      <c r="L11" s="1791" t="s">
        <v>17</v>
      </c>
      <c r="M11" s="1791" t="s">
        <v>18</v>
      </c>
      <c r="N11" s="1791" t="s">
        <v>19</v>
      </c>
      <c r="O11" s="1791" t="s">
        <v>20</v>
      </c>
    </row>
    <row r="12" spans="1:15" x14ac:dyDescent="0.25">
      <c r="A12" s="1789"/>
      <c r="B12" s="1789"/>
      <c r="C12" s="1790"/>
      <c r="D12" s="1789"/>
      <c r="E12" s="1789"/>
      <c r="F12" s="1789"/>
      <c r="G12" s="757" t="s">
        <v>21</v>
      </c>
      <c r="H12" s="1793"/>
      <c r="I12" s="1791"/>
      <c r="J12" s="1791"/>
      <c r="K12" s="1791"/>
      <c r="L12" s="1791"/>
      <c r="M12" s="1791"/>
      <c r="N12" s="1791"/>
      <c r="O12" s="179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809" t="s">
        <v>1267</v>
      </c>
      <c r="F133" s="1809"/>
      <c r="G133" s="1809"/>
      <c r="H133" s="1809"/>
      <c r="I133" s="1809"/>
      <c r="J133" s="1809"/>
      <c r="K133" s="1809"/>
      <c r="L133" s="1809"/>
      <c r="M133" s="1809"/>
      <c r="N133" s="1809"/>
      <c r="O133" s="1809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1277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3" t="s">
        <v>7</v>
      </c>
      <c r="C13" s="1842" t="s">
        <v>937</v>
      </c>
      <c r="D13" s="1842" t="s">
        <v>8</v>
      </c>
      <c r="E13" s="1842" t="s">
        <v>10</v>
      </c>
      <c r="F13" s="1842" t="s">
        <v>11</v>
      </c>
      <c r="G13" s="419" t="s">
        <v>12</v>
      </c>
      <c r="H13" s="1842" t="s">
        <v>13</v>
      </c>
      <c r="I13" s="1842" t="s">
        <v>14</v>
      </c>
      <c r="J13" s="1842" t="s">
        <v>15</v>
      </c>
      <c r="K13" s="1842" t="s">
        <v>16</v>
      </c>
      <c r="L13" s="1842" t="s">
        <v>17</v>
      </c>
      <c r="M13" s="1842" t="s">
        <v>18</v>
      </c>
      <c r="N13" s="1842" t="s">
        <v>19</v>
      </c>
      <c r="O13" s="1842" t="s">
        <v>20</v>
      </c>
    </row>
    <row r="14" spans="2:15" x14ac:dyDescent="0.25">
      <c r="B14" s="1844"/>
      <c r="C14" s="1842"/>
      <c r="D14" s="1842"/>
      <c r="E14" s="1842"/>
      <c r="F14" s="1842"/>
      <c r="G14" s="419" t="s">
        <v>21</v>
      </c>
      <c r="H14" s="1842"/>
      <c r="I14" s="1842"/>
      <c r="J14" s="1842"/>
      <c r="K14" s="1842"/>
      <c r="L14" s="1842"/>
      <c r="M14" s="1842"/>
      <c r="N14" s="1842"/>
      <c r="O14" s="1842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870" t="s">
        <v>1269</v>
      </c>
      <c r="C47" s="1870"/>
      <c r="D47" s="1870"/>
      <c r="E47" s="753"/>
      <c r="F47" s="753"/>
      <c r="G47" s="754"/>
      <c r="H47" s="755"/>
      <c r="J47" s="1871" t="s">
        <v>852</v>
      </c>
      <c r="K47" s="1871"/>
      <c r="L47" s="1871"/>
      <c r="M47" s="1871"/>
      <c r="N47" s="1871"/>
      <c r="O47" s="1871"/>
    </row>
    <row r="48" spans="2:15" s="259" customFormat="1" ht="19.5" customHeight="1" x14ac:dyDescent="0.25">
      <c r="B48" s="1809" t="s">
        <v>1270</v>
      </c>
      <c r="C48" s="1809"/>
      <c r="D48" s="1809"/>
      <c r="E48" s="753"/>
      <c r="F48" s="753"/>
      <c r="G48" s="754"/>
      <c r="H48" s="755"/>
      <c r="J48" s="1623" t="s">
        <v>1224</v>
      </c>
      <c r="K48" s="1623"/>
      <c r="L48" s="1623"/>
      <c r="M48" s="1623"/>
      <c r="N48" s="1623"/>
      <c r="O48" s="1623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810"/>
      <c r="K60" s="1810"/>
      <c r="L60" s="1810"/>
      <c r="M60" s="1810"/>
      <c r="N60" s="1810"/>
      <c r="O60" s="1810"/>
    </row>
    <row r="61" spans="2:15" ht="15.75" x14ac:dyDescent="0.25">
      <c r="B61" s="267"/>
      <c r="C61" s="267"/>
      <c r="D61" s="267"/>
      <c r="E61" s="268"/>
      <c r="F61" s="268"/>
      <c r="G61" s="269"/>
      <c r="H61" s="1738"/>
      <c r="I61" s="1738"/>
      <c r="J61" s="1738"/>
      <c r="K61" s="1738"/>
      <c r="L61" s="1738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1" t="s">
        <v>0</v>
      </c>
      <c r="B6" s="1881"/>
      <c r="C6" s="1881"/>
      <c r="D6" s="1881"/>
      <c r="E6" s="1881"/>
      <c r="F6" s="1881"/>
      <c r="G6" s="1881"/>
      <c r="H6" s="1881"/>
      <c r="I6" s="1881"/>
      <c r="J6" s="1881"/>
      <c r="K6" s="1881"/>
      <c r="L6" s="1881"/>
    </row>
    <row r="7" spans="1:12" x14ac:dyDescent="0.25">
      <c r="A7" s="1881" t="s">
        <v>1</v>
      </c>
      <c r="B7" s="1881"/>
      <c r="C7" s="1881"/>
      <c r="D7" s="1881"/>
      <c r="E7" s="1881"/>
      <c r="F7" s="1881"/>
      <c r="G7" s="1881"/>
      <c r="H7" s="1881"/>
      <c r="I7" s="1881"/>
      <c r="J7" s="1881"/>
      <c r="K7" s="1881"/>
      <c r="L7" s="1881"/>
    </row>
    <row r="8" spans="1:12" x14ac:dyDescent="0.25">
      <c r="A8" s="1881" t="s">
        <v>3</v>
      </c>
      <c r="B8" s="1881"/>
      <c r="C8" s="1881"/>
      <c r="D8" s="1881"/>
      <c r="E8" s="1881"/>
      <c r="F8" s="1881"/>
      <c r="G8" s="1881"/>
      <c r="H8" s="1881"/>
      <c r="I8" s="1881"/>
      <c r="J8" s="1881"/>
      <c r="K8" s="1881"/>
      <c r="L8" s="1881"/>
    </row>
    <row r="9" spans="1:12" x14ac:dyDescent="0.25">
      <c r="A9" s="1881" t="s">
        <v>1274</v>
      </c>
      <c r="B9" s="1881"/>
      <c r="C9" s="1881"/>
      <c r="D9" s="1881"/>
      <c r="E9" s="1881"/>
      <c r="F9" s="1881"/>
      <c r="G9" s="1881"/>
      <c r="H9" s="1881"/>
      <c r="I9" s="1881"/>
      <c r="J9" s="1881"/>
      <c r="K9" s="1881"/>
      <c r="L9" s="1881"/>
    </row>
    <row r="10" spans="1:12" x14ac:dyDescent="0.25">
      <c r="A10" s="1872" t="s">
        <v>886</v>
      </c>
      <c r="B10" s="1872"/>
      <c r="C10" s="1872"/>
      <c r="D10" s="1872"/>
      <c r="E10" s="1872"/>
      <c r="F10" s="1872"/>
      <c r="G10" s="1872"/>
      <c r="H10" s="1872"/>
      <c r="I10" s="1872"/>
      <c r="J10" s="1872"/>
      <c r="K10" s="1872"/>
      <c r="L10" s="1872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76" t="s">
        <v>7</v>
      </c>
      <c r="B12" s="1876" t="s">
        <v>802</v>
      </c>
      <c r="C12" s="1880" t="s">
        <v>9</v>
      </c>
      <c r="D12" s="888" t="s">
        <v>12</v>
      </c>
      <c r="E12" s="1878" t="s">
        <v>13</v>
      </c>
      <c r="F12" s="1873" t="s">
        <v>14</v>
      </c>
      <c r="G12" s="1873" t="s">
        <v>15</v>
      </c>
      <c r="H12" s="1873" t="s">
        <v>16</v>
      </c>
      <c r="I12" s="1873" t="s">
        <v>17</v>
      </c>
      <c r="J12" s="1873" t="s">
        <v>18</v>
      </c>
      <c r="K12" s="1873" t="s">
        <v>19</v>
      </c>
      <c r="L12" s="1873" t="s">
        <v>20</v>
      </c>
    </row>
    <row r="13" spans="1:12" ht="16.5" customHeight="1" x14ac:dyDescent="0.25">
      <c r="A13" s="1876"/>
      <c r="B13" s="1876"/>
      <c r="C13" s="1880"/>
      <c r="D13" s="888" t="s">
        <v>21</v>
      </c>
      <c r="E13" s="1878"/>
      <c r="F13" s="1873"/>
      <c r="G13" s="1873"/>
      <c r="H13" s="1873"/>
      <c r="I13" s="1873"/>
      <c r="J13" s="1873"/>
      <c r="K13" s="1873"/>
      <c r="L13" s="1873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877" t="s">
        <v>1234</v>
      </c>
      <c r="G55" s="1877"/>
      <c r="H55" s="1877"/>
      <c r="I55" s="1877"/>
      <c r="J55" s="1877"/>
      <c r="K55" s="1877"/>
    </row>
    <row r="56" spans="1:11" x14ac:dyDescent="0.25">
      <c r="A56" s="920" t="s">
        <v>1238</v>
      </c>
      <c r="B56" s="920"/>
      <c r="C56" s="921"/>
      <c r="D56" s="915"/>
      <c r="E56" s="915"/>
      <c r="F56" s="1875" t="s">
        <v>1222</v>
      </c>
      <c r="G56" s="1875"/>
      <c r="H56" s="1875"/>
      <c r="I56" s="1875"/>
      <c r="J56" s="1875"/>
      <c r="K56" s="1875"/>
    </row>
    <row r="57" spans="1:11" x14ac:dyDescent="0.25">
      <c r="A57" s="916" t="s">
        <v>1239</v>
      </c>
      <c r="B57" s="916"/>
      <c r="C57" s="915"/>
      <c r="D57" s="915"/>
      <c r="E57" s="923"/>
      <c r="F57" s="1874" t="s">
        <v>1224</v>
      </c>
      <c r="G57" s="1874"/>
      <c r="H57" s="1874"/>
      <c r="I57" s="1874"/>
      <c r="J57" s="1874"/>
      <c r="K57" s="1874"/>
    </row>
    <row r="67" spans="4:12" x14ac:dyDescent="0.25">
      <c r="D67" s="924"/>
      <c r="E67" s="923"/>
      <c r="F67" s="915"/>
      <c r="G67" s="1879"/>
      <c r="H67" s="1879"/>
      <c r="I67" s="1879"/>
      <c r="J67" s="1879"/>
      <c r="K67" s="1879"/>
      <c r="L67" s="1879"/>
    </row>
    <row r="68" spans="4:12" x14ac:dyDescent="0.25">
      <c r="D68" s="925"/>
      <c r="E68" s="1872"/>
      <c r="F68" s="1872"/>
      <c r="G68" s="1872"/>
      <c r="H68" s="1872"/>
      <c r="I68" s="1872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1273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89" t="s">
        <v>7</v>
      </c>
      <c r="B12" s="1789" t="s">
        <v>802</v>
      </c>
      <c r="C12" s="1789" t="s">
        <v>9</v>
      </c>
      <c r="D12" s="390" t="s">
        <v>12</v>
      </c>
      <c r="E12" s="1766" t="s">
        <v>13</v>
      </c>
      <c r="F12" s="1767" t="s">
        <v>14</v>
      </c>
      <c r="G12" s="1767" t="s">
        <v>15</v>
      </c>
      <c r="H12" s="1767" t="s">
        <v>16</v>
      </c>
      <c r="I12" s="1767" t="s">
        <v>17</v>
      </c>
      <c r="J12" s="1767" t="s">
        <v>18</v>
      </c>
      <c r="K12" s="1767" t="s">
        <v>19</v>
      </c>
      <c r="L12" s="1767" t="s">
        <v>20</v>
      </c>
    </row>
    <row r="13" spans="1:12" ht="15" customHeight="1" x14ac:dyDescent="0.25">
      <c r="A13" s="1789"/>
      <c r="B13" s="1789"/>
      <c r="C13" s="1789"/>
      <c r="D13" s="390" t="s">
        <v>21</v>
      </c>
      <c r="E13" s="1766"/>
      <c r="F13" s="1767"/>
      <c r="G13" s="1767"/>
      <c r="H13" s="1767"/>
      <c r="I13" s="1767"/>
      <c r="J13" s="1767"/>
      <c r="K13" s="1767"/>
      <c r="L13" s="1767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2" t="s">
        <v>1255</v>
      </c>
      <c r="G36" s="1862"/>
      <c r="H36" s="1862"/>
      <c r="I36" s="1862"/>
      <c r="J36" s="1862"/>
      <c r="K36" s="186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8" t="s">
        <v>852</v>
      </c>
      <c r="G37" s="1808"/>
      <c r="H37" s="1808"/>
      <c r="I37" s="1808"/>
      <c r="J37" s="1808"/>
      <c r="K37" s="180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09" t="s">
        <v>1257</v>
      </c>
      <c r="G38" s="1809"/>
      <c r="H38" s="1809"/>
      <c r="I38" s="1809"/>
      <c r="J38" s="1809"/>
      <c r="K38" s="1809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0"/>
      <c r="H39" s="1810"/>
      <c r="I39" s="1810"/>
      <c r="J39" s="1810"/>
      <c r="K39" s="1810"/>
      <c r="L39" s="1810"/>
    </row>
    <row r="40" spans="1:12" ht="15.75" x14ac:dyDescent="0.25">
      <c r="A40" s="267"/>
      <c r="B40" s="267"/>
      <c r="C40" s="268"/>
      <c r="D40" s="269"/>
      <c r="E40" s="1738"/>
      <c r="F40" s="1738"/>
      <c r="G40" s="1738"/>
      <c r="H40" s="1738"/>
      <c r="I40" s="1738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4" t="s">
        <v>0</v>
      </c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  <c r="N6" s="1864"/>
    </row>
    <row r="7" spans="2:14" ht="15.75" x14ac:dyDescent="0.25">
      <c r="B7" s="1864" t="s">
        <v>3</v>
      </c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2:14" ht="15.75" x14ac:dyDescent="0.25">
      <c r="B8" s="1864" t="s">
        <v>1340</v>
      </c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  <c r="N8" s="1864"/>
    </row>
    <row r="9" spans="2:14" ht="15.75" x14ac:dyDescent="0.25">
      <c r="B9" s="1882" t="s">
        <v>404</v>
      </c>
      <c r="C9" s="1882"/>
      <c r="D9" s="1882"/>
      <c r="E9" s="1882"/>
      <c r="F9" s="1882"/>
      <c r="G9" s="1882"/>
      <c r="H9" s="1882"/>
      <c r="I9" s="1882"/>
      <c r="J9" s="1882"/>
      <c r="K9" s="1882"/>
      <c r="L9" s="1882"/>
      <c r="M9" s="1882"/>
      <c r="N9" s="1882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883" t="s">
        <v>7</v>
      </c>
      <c r="C11" s="1883" t="s">
        <v>802</v>
      </c>
      <c r="D11" s="1883" t="s">
        <v>9</v>
      </c>
      <c r="E11" s="1883" t="s">
        <v>11</v>
      </c>
      <c r="F11" s="1057" t="s">
        <v>12</v>
      </c>
      <c r="G11" s="1885" t="s">
        <v>13</v>
      </c>
      <c r="H11" s="1886" t="s">
        <v>14</v>
      </c>
      <c r="I11" s="1886" t="s">
        <v>15</v>
      </c>
      <c r="J11" s="1886" t="s">
        <v>16</v>
      </c>
      <c r="K11" s="1886" t="s">
        <v>17</v>
      </c>
      <c r="L11" s="1886" t="s">
        <v>18</v>
      </c>
      <c r="M11" s="1886" t="s">
        <v>19</v>
      </c>
      <c r="N11" s="1886" t="s">
        <v>20</v>
      </c>
    </row>
    <row r="12" spans="2:14" ht="15.75" x14ac:dyDescent="0.25">
      <c r="B12" s="1883"/>
      <c r="C12" s="1883"/>
      <c r="D12" s="1883"/>
      <c r="E12" s="1883"/>
      <c r="F12" s="1057" t="s">
        <v>21</v>
      </c>
      <c r="G12" s="1885"/>
      <c r="H12" s="1886"/>
      <c r="I12" s="1886"/>
      <c r="J12" s="1886"/>
      <c r="K12" s="1886"/>
      <c r="L12" s="1886"/>
      <c r="M12" s="1886"/>
      <c r="N12" s="188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4" t="s">
        <v>1271</v>
      </c>
      <c r="C248" s="1884"/>
      <c r="D248" s="874"/>
      <c r="E248" s="874"/>
      <c r="F248" s="875"/>
      <c r="G248" s="873"/>
      <c r="H248" s="873"/>
      <c r="I248" s="1869" t="s">
        <v>852</v>
      </c>
      <c r="J248" s="1869"/>
      <c r="K248" s="1869"/>
      <c r="L248" s="1869"/>
      <c r="M248" s="1869"/>
      <c r="N248" s="186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63" t="s">
        <v>1370</v>
      </c>
      <c r="K249" s="1863"/>
      <c r="L249" s="1863"/>
      <c r="M249" s="1863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1341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0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0"/>
      <c r="M12" s="1620"/>
      <c r="N12" s="1620"/>
      <c r="O12" s="162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622" t="s">
        <v>1375</v>
      </c>
      <c r="J141" s="1622"/>
      <c r="K141" s="1622"/>
      <c r="L141" s="1622"/>
      <c r="M141" s="1622"/>
      <c r="N141" s="1622"/>
      <c r="O141" s="1622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623" t="s">
        <v>1224</v>
      </c>
      <c r="J142" s="1623"/>
      <c r="K142" s="1623"/>
      <c r="L142" s="1623"/>
      <c r="M142" s="1623"/>
      <c r="N142" s="1623"/>
      <c r="O142" s="1623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1342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887" t="s">
        <v>937</v>
      </c>
      <c r="D13" s="1887" t="s">
        <v>8</v>
      </c>
      <c r="E13" s="1887" t="s">
        <v>10</v>
      </c>
      <c r="F13" s="1887" t="s">
        <v>11</v>
      </c>
      <c r="G13" s="1047" t="s">
        <v>12</v>
      </c>
      <c r="H13" s="1887" t="s">
        <v>13</v>
      </c>
      <c r="I13" s="1887" t="s">
        <v>14</v>
      </c>
      <c r="J13" s="1887" t="s">
        <v>15</v>
      </c>
      <c r="K13" s="1887" t="s">
        <v>16</v>
      </c>
      <c r="L13" s="1887" t="s">
        <v>17</v>
      </c>
      <c r="M13" s="1887" t="s">
        <v>18</v>
      </c>
      <c r="N13" s="1887" t="s">
        <v>19</v>
      </c>
      <c r="O13" s="1887" t="s">
        <v>20</v>
      </c>
    </row>
    <row r="14" spans="2:15" x14ac:dyDescent="0.25">
      <c r="B14" s="1889"/>
      <c r="C14" s="1887"/>
      <c r="D14" s="1887"/>
      <c r="E14" s="1887"/>
      <c r="F14" s="1887"/>
      <c r="G14" s="1047" t="s">
        <v>21</v>
      </c>
      <c r="H14" s="1887"/>
      <c r="I14" s="1887"/>
      <c r="J14" s="1887"/>
      <c r="K14" s="1887"/>
      <c r="L14" s="1887"/>
      <c r="M14" s="1887"/>
      <c r="N14" s="1887"/>
      <c r="O14" s="18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0" t="s">
        <v>1269</v>
      </c>
      <c r="C50" s="1870"/>
      <c r="D50" s="1870"/>
      <c r="E50" s="753"/>
      <c r="F50" s="753"/>
      <c r="G50" s="754"/>
      <c r="H50" s="755"/>
      <c r="J50" s="1871" t="s">
        <v>852</v>
      </c>
      <c r="K50" s="1871"/>
      <c r="L50" s="1871"/>
      <c r="M50" s="1871"/>
      <c r="N50" s="1871"/>
      <c r="O50" s="1871"/>
    </row>
    <row r="51" spans="2:15" s="259" customFormat="1" ht="19.5" customHeight="1" x14ac:dyDescent="0.25">
      <c r="B51" s="1809" t="s">
        <v>1270</v>
      </c>
      <c r="C51" s="1809"/>
      <c r="D51" s="1809"/>
      <c r="E51" s="753"/>
      <c r="F51" s="753"/>
      <c r="G51" s="754"/>
      <c r="H51" s="755"/>
      <c r="J51" s="1623" t="s">
        <v>1224</v>
      </c>
      <c r="K51" s="1623"/>
      <c r="L51" s="1623"/>
      <c r="M51" s="1623"/>
      <c r="N51" s="1623"/>
      <c r="O51" s="16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0"/>
      <c r="K63" s="1810"/>
      <c r="L63" s="1810"/>
      <c r="M63" s="1810"/>
      <c r="N63" s="1810"/>
      <c r="O63" s="1810"/>
    </row>
    <row r="64" spans="2:15" ht="15.75" x14ac:dyDescent="0.25">
      <c r="B64" s="267"/>
      <c r="C64" s="267"/>
      <c r="D64" s="267"/>
      <c r="E64" s="268"/>
      <c r="F64" s="268"/>
      <c r="G64" s="269"/>
      <c r="H64" s="1738"/>
      <c r="I64" s="1738"/>
      <c r="J64" s="1738"/>
      <c r="K64" s="1738"/>
      <c r="L64" s="173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1" t="s">
        <v>0</v>
      </c>
      <c r="B6" s="1881"/>
      <c r="C6" s="1881"/>
      <c r="D6" s="1881"/>
      <c r="E6" s="1881"/>
      <c r="F6" s="1881"/>
      <c r="G6" s="1881"/>
      <c r="H6" s="1881"/>
      <c r="I6" s="1881"/>
      <c r="J6" s="1881"/>
      <c r="K6" s="1881"/>
      <c r="L6" s="1881"/>
    </row>
    <row r="7" spans="1:12" x14ac:dyDescent="0.25">
      <c r="A7" s="1881" t="s">
        <v>1</v>
      </c>
      <c r="B7" s="1881"/>
      <c r="C7" s="1881"/>
      <c r="D7" s="1881"/>
      <c r="E7" s="1881"/>
      <c r="F7" s="1881"/>
      <c r="G7" s="1881"/>
      <c r="H7" s="1881"/>
      <c r="I7" s="1881"/>
      <c r="J7" s="1881"/>
      <c r="K7" s="1881"/>
      <c r="L7" s="1881"/>
    </row>
    <row r="8" spans="1:12" x14ac:dyDescent="0.25">
      <c r="A8" s="1881" t="s">
        <v>3</v>
      </c>
      <c r="B8" s="1881"/>
      <c r="C8" s="1881"/>
      <c r="D8" s="1881"/>
      <c r="E8" s="1881"/>
      <c r="F8" s="1881"/>
      <c r="G8" s="1881"/>
      <c r="H8" s="1881"/>
      <c r="I8" s="1881"/>
      <c r="J8" s="1881"/>
      <c r="K8" s="1881"/>
      <c r="L8" s="1881"/>
    </row>
    <row r="9" spans="1:12" x14ac:dyDescent="0.25">
      <c r="A9" s="1881" t="s">
        <v>1343</v>
      </c>
      <c r="B9" s="1881"/>
      <c r="C9" s="1881"/>
      <c r="D9" s="1881"/>
      <c r="E9" s="1881"/>
      <c r="F9" s="1881"/>
      <c r="G9" s="1881"/>
      <c r="H9" s="1881"/>
      <c r="I9" s="1881"/>
      <c r="J9" s="1881"/>
      <c r="K9" s="1881"/>
      <c r="L9" s="1881"/>
    </row>
    <row r="10" spans="1:12" x14ac:dyDescent="0.25">
      <c r="A10" s="1872" t="s">
        <v>886</v>
      </c>
      <c r="B10" s="1872"/>
      <c r="C10" s="1872"/>
      <c r="D10" s="1872"/>
      <c r="E10" s="1872"/>
      <c r="F10" s="1872"/>
      <c r="G10" s="1872"/>
      <c r="H10" s="1872"/>
      <c r="I10" s="1872"/>
      <c r="J10" s="1872"/>
      <c r="K10" s="1872"/>
      <c r="L10" s="1872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77" t="s">
        <v>1372</v>
      </c>
      <c r="G58" s="1877"/>
      <c r="H58" s="1877"/>
      <c r="I58" s="1877"/>
      <c r="J58" s="1877"/>
      <c r="K58" s="1877"/>
    </row>
    <row r="59" spans="1:11" x14ac:dyDescent="0.25">
      <c r="A59" s="920" t="s">
        <v>1238</v>
      </c>
      <c r="B59" s="920"/>
      <c r="C59" s="921"/>
      <c r="D59" s="915"/>
      <c r="E59" s="915"/>
      <c r="F59" s="1875" t="s">
        <v>1222</v>
      </c>
      <c r="G59" s="1875"/>
      <c r="H59" s="1875"/>
      <c r="I59" s="1875"/>
      <c r="J59" s="1875"/>
      <c r="K59" s="1875"/>
    </row>
    <row r="60" spans="1:11" x14ac:dyDescent="0.25">
      <c r="A60" s="916" t="s">
        <v>1239</v>
      </c>
      <c r="B60" s="916"/>
      <c r="C60" s="915"/>
      <c r="D60" s="915"/>
      <c r="E60" s="923"/>
      <c r="F60" s="1874" t="s">
        <v>1224</v>
      </c>
      <c r="G60" s="1874"/>
      <c r="H60" s="1874"/>
      <c r="I60" s="1874"/>
      <c r="J60" s="1874"/>
      <c r="K60" s="1874"/>
    </row>
    <row r="70" spans="4:12" x14ac:dyDescent="0.25">
      <c r="D70" s="924"/>
      <c r="E70" s="923"/>
      <c r="F70" s="915"/>
      <c r="G70" s="1879"/>
      <c r="H70" s="1879"/>
      <c r="I70" s="1879"/>
      <c r="J70" s="1879"/>
      <c r="K70" s="1879"/>
      <c r="L70" s="1879"/>
    </row>
    <row r="71" spans="4:12" x14ac:dyDescent="0.25">
      <c r="D71" s="925"/>
      <c r="E71" s="1872"/>
      <c r="F71" s="1872"/>
      <c r="G71" s="1872"/>
      <c r="H71" s="1872"/>
      <c r="I71" s="1872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1344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16" t="s">
        <v>7</v>
      </c>
      <c r="B12" s="1615" t="s">
        <v>802</v>
      </c>
      <c r="C12" s="1615" t="s">
        <v>9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616"/>
      <c r="B13" s="1615"/>
      <c r="C13" s="1615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2" t="s">
        <v>1255</v>
      </c>
      <c r="G36" s="1862"/>
      <c r="H36" s="1862"/>
      <c r="I36" s="1862"/>
      <c r="J36" s="1862"/>
      <c r="K36" s="186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8" t="s">
        <v>852</v>
      </c>
      <c r="G37" s="1808"/>
      <c r="H37" s="1808"/>
      <c r="I37" s="1808"/>
      <c r="J37" s="1808"/>
      <c r="K37" s="180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809" t="s">
        <v>1257</v>
      </c>
      <c r="G38" s="1809"/>
      <c r="H38" s="1809"/>
      <c r="I38" s="1809"/>
      <c r="J38" s="1809"/>
      <c r="K38" s="1809"/>
      <c r="L38" s="537"/>
    </row>
    <row r="39" spans="1:12" x14ac:dyDescent="0.25">
      <c r="A39" s="546"/>
      <c r="B39" s="546"/>
      <c r="C39" s="547"/>
      <c r="D39" s="541"/>
      <c r="E39" s="540"/>
      <c r="F39" s="537"/>
      <c r="G39" s="1810"/>
      <c r="H39" s="1810"/>
      <c r="I39" s="1810"/>
      <c r="J39" s="1810"/>
      <c r="K39" s="1810"/>
      <c r="L39" s="1810"/>
    </row>
    <row r="40" spans="1:12" ht="15.75" x14ac:dyDescent="0.25">
      <c r="A40" s="267"/>
      <c r="B40" s="267"/>
      <c r="C40" s="268"/>
      <c r="D40" s="269"/>
      <c r="E40" s="1738"/>
      <c r="F40" s="1738"/>
      <c r="G40" s="1738"/>
      <c r="H40" s="1738"/>
      <c r="I40" s="1738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4" t="s">
        <v>0</v>
      </c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  <c r="N6" s="1864"/>
    </row>
    <row r="7" spans="2:14" ht="15.75" x14ac:dyDescent="0.25">
      <c r="B7" s="1864" t="s">
        <v>3</v>
      </c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2:14" ht="15.75" x14ac:dyDescent="0.25">
      <c r="B8" s="1864" t="s">
        <v>1378</v>
      </c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  <c r="N8" s="1864"/>
    </row>
    <row r="9" spans="2:14" ht="15.75" x14ac:dyDescent="0.25">
      <c r="B9" s="1882" t="s">
        <v>404</v>
      </c>
      <c r="C9" s="1882"/>
      <c r="D9" s="1882"/>
      <c r="E9" s="1882"/>
      <c r="F9" s="1882"/>
      <c r="G9" s="1882"/>
      <c r="H9" s="1882"/>
      <c r="I9" s="1882"/>
      <c r="J9" s="1882"/>
      <c r="K9" s="1882"/>
      <c r="L9" s="1882"/>
      <c r="M9" s="1882"/>
      <c r="N9" s="1882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83" t="s">
        <v>7</v>
      </c>
      <c r="C11" s="1883" t="s">
        <v>802</v>
      </c>
      <c r="D11" s="1883" t="s">
        <v>9</v>
      </c>
      <c r="E11" s="1883" t="s">
        <v>11</v>
      </c>
      <c r="F11" s="1057" t="s">
        <v>12</v>
      </c>
      <c r="G11" s="1885" t="s">
        <v>13</v>
      </c>
      <c r="H11" s="1886" t="s">
        <v>14</v>
      </c>
      <c r="I11" s="1886" t="s">
        <v>15</v>
      </c>
      <c r="J11" s="1886" t="s">
        <v>16</v>
      </c>
      <c r="K11" s="1886" t="s">
        <v>17</v>
      </c>
      <c r="L11" s="1886" t="s">
        <v>18</v>
      </c>
      <c r="M11" s="1886" t="s">
        <v>19</v>
      </c>
      <c r="N11" s="1886" t="s">
        <v>20</v>
      </c>
    </row>
    <row r="12" spans="2:14" ht="15.75" x14ac:dyDescent="0.25">
      <c r="B12" s="1883"/>
      <c r="C12" s="1883"/>
      <c r="D12" s="1883"/>
      <c r="E12" s="1883"/>
      <c r="F12" s="1057" t="s">
        <v>21</v>
      </c>
      <c r="G12" s="1885"/>
      <c r="H12" s="1886"/>
      <c r="I12" s="1886"/>
      <c r="J12" s="1886"/>
      <c r="K12" s="1886"/>
      <c r="L12" s="1886"/>
      <c r="M12" s="1886"/>
      <c r="N12" s="188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 t="shared" ref="H23:N23" si="1">SUM(H21:H22)</f>
        <v>113500</v>
      </c>
      <c r="I23" s="965">
        <f t="shared" si="1"/>
        <v>3257.45</v>
      </c>
      <c r="J23" s="965">
        <f t="shared" si="1"/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 t="shared" ref="H72:N72" si="10">SUM(H60:H71)</f>
        <v>373500</v>
      </c>
      <c r="I72" s="963">
        <f t="shared" si="10"/>
        <v>10719.45</v>
      </c>
      <c r="J72" s="963">
        <f t="shared" si="10"/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N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 t="shared" si="30"/>
        <v>23190.35</v>
      </c>
      <c r="N166" s="963">
        <f t="shared" si="30"/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 t="shared" ref="H227:N227" si="39">+H18+H23+H28+H38+H42+H47+H51+H57+H72+H87+H92+H97+H103+H108+H112+H121+H125+H130+H139+H146+H150+H154+H161+H166+H171+H185+H225</f>
        <v>6955500</v>
      </c>
      <c r="I227" s="1060">
        <f t="shared" si="39"/>
        <v>199622.84999999998</v>
      </c>
      <c r="J227" s="1060">
        <f t="shared" si="39"/>
        <v>454384.31</v>
      </c>
      <c r="K227" s="1060">
        <f t="shared" si="39"/>
        <v>208925.52</v>
      </c>
      <c r="L227" s="1060">
        <f t="shared" si="39"/>
        <v>139372.03</v>
      </c>
      <c r="M227" s="1060">
        <f t="shared" si="39"/>
        <v>1002304.7099999996</v>
      </c>
      <c r="N227" s="1060">
        <f t="shared" si="39"/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884" t="s">
        <v>1271</v>
      </c>
      <c r="C251" s="1884"/>
      <c r="D251" s="874"/>
      <c r="E251" s="874"/>
      <c r="F251" s="875"/>
      <c r="G251" s="873"/>
      <c r="H251" s="873"/>
      <c r="I251" s="1869" t="s">
        <v>852</v>
      </c>
      <c r="J251" s="1869"/>
      <c r="K251" s="1869"/>
      <c r="L251" s="1869"/>
      <c r="M251" s="1869"/>
      <c r="N251" s="1869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863" t="s">
        <v>1370</v>
      </c>
      <c r="K252" s="1863"/>
      <c r="L252" s="1863"/>
      <c r="M252" s="1863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1379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0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0"/>
      <c r="M12" s="1620"/>
      <c r="N12" s="1620"/>
      <c r="O12" s="162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>SUM(H24)</f>
        <v>0</v>
      </c>
      <c r="I25" s="695">
        <f t="shared" ref="I25:O25" si="2">SUM(I23:I24)</f>
        <v>185000</v>
      </c>
      <c r="J25" s="695">
        <f t="shared" si="2"/>
        <v>5309.5</v>
      </c>
      <c r="K25" s="695">
        <f t="shared" si="2"/>
        <v>21002.22</v>
      </c>
      <c r="L25" s="695">
        <f t="shared" si="2"/>
        <v>5624</v>
      </c>
      <c r="M25" s="695">
        <f t="shared" si="2"/>
        <v>11055.76</v>
      </c>
      <c r="N25" s="695">
        <f t="shared" si="2"/>
        <v>42991.479999999996</v>
      </c>
      <c r="O25" s="695">
        <f t="shared" si="2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>SUM(M28:M29)</f>
        <v>1456</v>
      </c>
      <c r="N30" s="695">
        <f t="shared" si="3"/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>SUM(M37)</f>
        <v>8637.92</v>
      </c>
      <c r="N38" s="697">
        <f t="shared" si="5"/>
        <v>25181.659999999996</v>
      </c>
      <c r="O38" s="697">
        <f t="shared" si="5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O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97">
        <f t="shared" si="6"/>
        <v>50</v>
      </c>
      <c r="N44" s="697">
        <f t="shared" si="6"/>
        <v>22874.37</v>
      </c>
      <c r="O44" s="697">
        <f t="shared" si="6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>SUM(H48)</f>
        <v>0</v>
      </c>
      <c r="I49" s="697">
        <f t="shared" ref="I49:O49" si="7">SUM(I47:I48)</f>
        <v>155000</v>
      </c>
      <c r="J49" s="697">
        <f t="shared" si="7"/>
        <v>4448.5</v>
      </c>
      <c r="K49" s="697">
        <f t="shared" si="7"/>
        <v>14665.050000000001</v>
      </c>
      <c r="L49" s="697">
        <f t="shared" si="7"/>
        <v>4712</v>
      </c>
      <c r="M49" s="697">
        <f>SUM(M47:M48)</f>
        <v>2593.4</v>
      </c>
      <c r="N49" s="697">
        <f t="shared" si="7"/>
        <v>26418.950000000004</v>
      </c>
      <c r="O49" s="697">
        <f t="shared" si="7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8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8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8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8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8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8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8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8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>SUM(H59)</f>
        <v>0</v>
      </c>
      <c r="I60" s="697">
        <f t="shared" ref="I60:O60" si="9">SUM(I52:I59)</f>
        <v>925000</v>
      </c>
      <c r="J60" s="697">
        <f t="shared" si="9"/>
        <v>26547.5</v>
      </c>
      <c r="K60" s="697">
        <f t="shared" si="9"/>
        <v>126565.91000000002</v>
      </c>
      <c r="L60" s="697">
        <f t="shared" si="9"/>
        <v>28120</v>
      </c>
      <c r="M60" s="697">
        <f>SUM(M52:M59)</f>
        <v>2200</v>
      </c>
      <c r="N60" s="697">
        <f t="shared" si="9"/>
        <v>183433.41</v>
      </c>
      <c r="O60" s="697">
        <f t="shared" si="9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>SUM(H67)</f>
        <v>0</v>
      </c>
      <c r="I68" s="695">
        <f t="shared" ref="I68:O68" si="10">SUM(I63:I67)</f>
        <v>385000</v>
      </c>
      <c r="J68" s="695">
        <f t="shared" si="10"/>
        <v>11049.5</v>
      </c>
      <c r="K68" s="695">
        <f t="shared" si="10"/>
        <v>35461.090000000004</v>
      </c>
      <c r="L68" s="695">
        <f t="shared" si="10"/>
        <v>11704</v>
      </c>
      <c r="M68" s="695">
        <f>SUM(M63:M67)</f>
        <v>125</v>
      </c>
      <c r="N68" s="695">
        <f t="shared" si="10"/>
        <v>58339.590000000004</v>
      </c>
      <c r="O68" s="695">
        <f t="shared" si="10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1">SUM(H71)</f>
        <v>0</v>
      </c>
      <c r="I72" s="695">
        <f t="shared" si="11"/>
        <v>185000</v>
      </c>
      <c r="J72" s="695">
        <f t="shared" si="11"/>
        <v>5309.5</v>
      </c>
      <c r="K72" s="695">
        <f t="shared" si="11"/>
        <v>32099.49</v>
      </c>
      <c r="L72" s="695">
        <f t="shared" si="11"/>
        <v>5624</v>
      </c>
      <c r="M72" s="695">
        <f>SUM(M71)</f>
        <v>4557.26</v>
      </c>
      <c r="N72" s="695">
        <f t="shared" si="11"/>
        <v>47590.250000000007</v>
      </c>
      <c r="O72" s="695">
        <f t="shared" si="11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>SUM(H76)</f>
        <v>0</v>
      </c>
      <c r="I77" s="695">
        <f t="shared" ref="I77:O77" si="12">SUM(I75:I76)</f>
        <v>120000</v>
      </c>
      <c r="J77" s="695">
        <f t="shared" si="12"/>
        <v>3444</v>
      </c>
      <c r="K77" s="695">
        <f t="shared" si="12"/>
        <v>6973.36</v>
      </c>
      <c r="L77" s="695">
        <f t="shared" si="12"/>
        <v>3648</v>
      </c>
      <c r="M77" s="695">
        <f>SUM(M75:M76)</f>
        <v>50</v>
      </c>
      <c r="N77" s="695">
        <f t="shared" si="12"/>
        <v>14115.36</v>
      </c>
      <c r="O77" s="695">
        <f t="shared" si="12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>SUM(H80)</f>
        <v>0</v>
      </c>
      <c r="I81" s="695">
        <f t="shared" ref="I81:N81" si="13">SUM(I80)</f>
        <v>120000</v>
      </c>
      <c r="J81" s="695">
        <f t="shared" si="13"/>
        <v>3444</v>
      </c>
      <c r="K81" s="695">
        <f t="shared" si="13"/>
        <v>16809.87</v>
      </c>
      <c r="L81" s="695">
        <f t="shared" si="13"/>
        <v>3648</v>
      </c>
      <c r="M81" s="695">
        <f>SUM(M80)</f>
        <v>25</v>
      </c>
      <c r="N81" s="695">
        <f t="shared" si="13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:N88" si="14">+J83+K83+L83+M83</f>
        <v>9530.48</v>
      </c>
      <c r="O83" s="468">
        <f t="shared" ref="O83:O88" si="15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si="14"/>
        <v>9530.48</v>
      </c>
      <c r="O84" s="468">
        <f t="shared" si="15"/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14"/>
        <v>9530.48</v>
      </c>
      <c r="O85" s="468">
        <f t="shared" si="15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14"/>
        <v>8294.08</v>
      </c>
      <c r="O86" s="468">
        <f t="shared" si="15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14"/>
        <v>8294.08</v>
      </c>
      <c r="O87" s="468">
        <f t="shared" si="15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14"/>
        <v>5835.18</v>
      </c>
      <c r="O88" s="468">
        <f t="shared" si="15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>SUM(H88)</f>
        <v>0</v>
      </c>
      <c r="I89" s="695">
        <f t="shared" ref="I89:N89" si="16">SUM(I83:I88)</f>
        <v>395000</v>
      </c>
      <c r="J89" s="695">
        <f t="shared" si="16"/>
        <v>11336.5</v>
      </c>
      <c r="K89" s="695">
        <f t="shared" si="16"/>
        <v>27520.28</v>
      </c>
      <c r="L89" s="695">
        <f t="shared" si="16"/>
        <v>12008</v>
      </c>
      <c r="M89" s="695">
        <f>SUM(M83:M88)</f>
        <v>150</v>
      </c>
      <c r="N89" s="695">
        <f t="shared" si="16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17">SUM(H92)</f>
        <v>0</v>
      </c>
      <c r="I93" s="695">
        <f t="shared" si="17"/>
        <v>70000</v>
      </c>
      <c r="J93" s="695">
        <f t="shared" si="17"/>
        <v>2009</v>
      </c>
      <c r="K93" s="695">
        <f t="shared" si="17"/>
        <v>5368.48</v>
      </c>
      <c r="L93" s="695">
        <f t="shared" si="17"/>
        <v>2128</v>
      </c>
      <c r="M93" s="695">
        <f>SUM(M92)</f>
        <v>525</v>
      </c>
      <c r="N93" s="695">
        <f>SUM(N92)</f>
        <v>10030.48</v>
      </c>
      <c r="O93" s="695">
        <f t="shared" si="17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18">+J98+K98+L98+M98</f>
        <v>9530.48</v>
      </c>
      <c r="O98" s="468">
        <f t="shared" ref="O98:O110" si="19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18"/>
        <v>9530.48</v>
      </c>
      <c r="O99" s="468">
        <f t="shared" si="19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18"/>
        <v>10902.84</v>
      </c>
      <c r="O100" s="468">
        <f t="shared" si="19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18"/>
        <v>12153.869999999999</v>
      </c>
      <c r="O101" s="468">
        <f t="shared" si="19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18"/>
        <v>9530.48</v>
      </c>
      <c r="O105" s="468">
        <f t="shared" si="19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18"/>
        <v>9530.48</v>
      </c>
      <c r="O106" s="468">
        <f t="shared" si="19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18"/>
        <v>9530.48</v>
      </c>
      <c r="O107" s="468">
        <f t="shared" si="19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18"/>
        <v>9530.48</v>
      </c>
      <c r="O108" s="468">
        <f t="shared" si="19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8"/>
        <v>8294.08</v>
      </c>
      <c r="O109" s="468">
        <f t="shared" si="19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8"/>
        <v>8294.08</v>
      </c>
      <c r="O110" s="468">
        <f t="shared" si="19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8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8"/>
        <v>8294.08</v>
      </c>
      <c r="O112" s="468">
        <f t="shared" ref="O112:O129" si="20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8"/>
        <v>8294.08</v>
      </c>
      <c r="O113" s="468">
        <f t="shared" si="20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18"/>
        <v>8294.08</v>
      </c>
      <c r="O114" s="468">
        <f t="shared" si="20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18"/>
        <v>8294.08</v>
      </c>
      <c r="O115" s="468">
        <f t="shared" si="20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18"/>
        <v>8294.08</v>
      </c>
      <c r="O116" s="468">
        <f t="shared" si="20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18"/>
        <v>8294.08</v>
      </c>
      <c r="O117" s="468">
        <f t="shared" si="20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18"/>
        <v>8294.08</v>
      </c>
      <c r="O118" s="468">
        <f t="shared" si="20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18"/>
        <v>8294.08</v>
      </c>
      <c r="O119" s="468">
        <f t="shared" si="20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18"/>
        <v>8294.08</v>
      </c>
      <c r="O120" s="468">
        <f t="shared" si="20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21">+J124+K124+L124+M124</f>
        <v>3832.83</v>
      </c>
      <c r="O124" s="468">
        <f t="shared" si="20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21"/>
        <v>3532.4700000000003</v>
      </c>
      <c r="O125" s="468">
        <f t="shared" si="20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21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21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21"/>
        <v>5290.97</v>
      </c>
      <c r="O128" s="468">
        <f t="shared" si="20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21"/>
        <v>8294.08</v>
      </c>
      <c r="O129" s="468">
        <f t="shared" si="20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22">SUM(I97:I129)</f>
        <v>2170500</v>
      </c>
      <c r="J130" s="695">
        <f t="shared" si="22"/>
        <v>62293.349999999991</v>
      </c>
      <c r="K130" s="695">
        <f t="shared" si="22"/>
        <v>153987.54999999996</v>
      </c>
      <c r="L130" s="695">
        <f t="shared" si="22"/>
        <v>65983.200000000012</v>
      </c>
      <c r="M130" s="695">
        <f t="shared" si="22"/>
        <v>11117.759999999998</v>
      </c>
      <c r="N130" s="695">
        <f t="shared" si="22"/>
        <v>293381.85999999975</v>
      </c>
      <c r="O130" s="695">
        <f t="shared" si="22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23">+I15+I20+I25+I30+I34+I38+I44+I49+I60+I68+I72+I77+I81+I89+I93+I130</f>
        <v>5460500</v>
      </c>
      <c r="J132" s="1055">
        <f t="shared" si="23"/>
        <v>156716.34999999998</v>
      </c>
      <c r="K132" s="1055">
        <f t="shared" si="23"/>
        <v>517199.0199999999</v>
      </c>
      <c r="L132" s="1055">
        <f t="shared" si="23"/>
        <v>165999.20000000001</v>
      </c>
      <c r="M132" s="1055">
        <f>+M15+M20+M25+M30+M34+M38+M44+M49+M60+M68+M72+M77+M81+M89+M93+M130</f>
        <v>56083.16</v>
      </c>
      <c r="N132" s="1055">
        <f t="shared" si="23"/>
        <v>895997.72999999986</v>
      </c>
      <c r="O132" s="1055">
        <f t="shared" si="23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22" t="s">
        <v>1375</v>
      </c>
      <c r="J149" s="1622"/>
      <c r="K149" s="1622"/>
      <c r="L149" s="1622"/>
      <c r="M149" s="1622"/>
      <c r="N149" s="1622"/>
      <c r="O149" s="162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23" t="s">
        <v>1224</v>
      </c>
      <c r="J150" s="1623"/>
      <c r="K150" s="1623"/>
      <c r="L150" s="1623"/>
      <c r="M150" s="1623"/>
      <c r="N150" s="1623"/>
      <c r="O150" s="162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1380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887" t="s">
        <v>937</v>
      </c>
      <c r="D13" s="1887" t="s">
        <v>8</v>
      </c>
      <c r="E13" s="1887" t="s">
        <v>10</v>
      </c>
      <c r="F13" s="1887" t="s">
        <v>11</v>
      </c>
      <c r="G13" s="1047" t="s">
        <v>12</v>
      </c>
      <c r="H13" s="1887" t="s">
        <v>13</v>
      </c>
      <c r="I13" s="1887" t="s">
        <v>14</v>
      </c>
      <c r="J13" s="1887" t="s">
        <v>15</v>
      </c>
      <c r="K13" s="1887" t="s">
        <v>16</v>
      </c>
      <c r="L13" s="1887" t="s">
        <v>17</v>
      </c>
      <c r="M13" s="1887" t="s">
        <v>18</v>
      </c>
      <c r="N13" s="1887" t="s">
        <v>19</v>
      </c>
      <c r="O13" s="1887" t="s">
        <v>20</v>
      </c>
    </row>
    <row r="14" spans="2:15" x14ac:dyDescent="0.25">
      <c r="B14" s="1889"/>
      <c r="C14" s="1887"/>
      <c r="D14" s="1887"/>
      <c r="E14" s="1887"/>
      <c r="F14" s="1887"/>
      <c r="G14" s="1047" t="s">
        <v>21</v>
      </c>
      <c r="H14" s="1887"/>
      <c r="I14" s="1887"/>
      <c r="J14" s="1887"/>
      <c r="K14" s="1887"/>
      <c r="L14" s="1887"/>
      <c r="M14" s="1887"/>
      <c r="N14" s="1887"/>
      <c r="O14" s="18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0" t="s">
        <v>1269</v>
      </c>
      <c r="C50" s="1870"/>
      <c r="D50" s="1870"/>
      <c r="E50" s="753"/>
      <c r="F50" s="753"/>
      <c r="G50" s="754"/>
      <c r="H50" s="755"/>
      <c r="J50" s="1871" t="s">
        <v>852</v>
      </c>
      <c r="K50" s="1871"/>
      <c r="L50" s="1871"/>
      <c r="M50" s="1871"/>
      <c r="N50" s="1871"/>
      <c r="O50" s="1871"/>
    </row>
    <row r="51" spans="2:15" s="259" customFormat="1" ht="19.5" customHeight="1" x14ac:dyDescent="0.25">
      <c r="B51" s="1809" t="s">
        <v>1270</v>
      </c>
      <c r="C51" s="1809"/>
      <c r="D51" s="1809"/>
      <c r="E51" s="753"/>
      <c r="F51" s="753"/>
      <c r="G51" s="754"/>
      <c r="H51" s="755"/>
      <c r="J51" s="1623" t="s">
        <v>1224</v>
      </c>
      <c r="K51" s="1623"/>
      <c r="L51" s="1623"/>
      <c r="M51" s="1623"/>
      <c r="N51" s="1623"/>
      <c r="O51" s="16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0"/>
      <c r="K63" s="1810"/>
      <c r="L63" s="1810"/>
      <c r="M63" s="1810"/>
      <c r="N63" s="1810"/>
      <c r="O63" s="1810"/>
    </row>
    <row r="64" spans="2:15" ht="15.75" x14ac:dyDescent="0.25">
      <c r="B64" s="267"/>
      <c r="C64" s="267"/>
      <c r="D64" s="267"/>
      <c r="E64" s="268"/>
      <c r="F64" s="268"/>
      <c r="G64" s="269"/>
      <c r="H64" s="1738"/>
      <c r="I64" s="1738"/>
      <c r="J64" s="1738"/>
      <c r="K64" s="1738"/>
      <c r="L64" s="173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7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1" t="s">
        <v>0</v>
      </c>
      <c r="B6" s="1881"/>
      <c r="C6" s="1881"/>
      <c r="D6" s="1881"/>
      <c r="E6" s="1881"/>
      <c r="F6" s="1881"/>
      <c r="G6" s="1881"/>
      <c r="H6" s="1881"/>
      <c r="I6" s="1881"/>
      <c r="J6" s="1881"/>
      <c r="K6" s="1881"/>
      <c r="L6" s="1881"/>
    </row>
    <row r="7" spans="1:12" x14ac:dyDescent="0.25">
      <c r="A7" s="1881" t="s">
        <v>1</v>
      </c>
      <c r="B7" s="1881"/>
      <c r="C7" s="1881"/>
      <c r="D7" s="1881"/>
      <c r="E7" s="1881"/>
      <c r="F7" s="1881"/>
      <c r="G7" s="1881"/>
      <c r="H7" s="1881"/>
      <c r="I7" s="1881"/>
      <c r="J7" s="1881"/>
      <c r="K7" s="1881"/>
      <c r="L7" s="1881"/>
    </row>
    <row r="8" spans="1:12" x14ac:dyDescent="0.25">
      <c r="A8" s="1881" t="s">
        <v>3</v>
      </c>
      <c r="B8" s="1881"/>
      <c r="C8" s="1881"/>
      <c r="D8" s="1881"/>
      <c r="E8" s="1881"/>
      <c r="F8" s="1881"/>
      <c r="G8" s="1881"/>
      <c r="H8" s="1881"/>
      <c r="I8" s="1881"/>
      <c r="J8" s="1881"/>
      <c r="K8" s="1881"/>
      <c r="L8" s="1881"/>
    </row>
    <row r="9" spans="1:12" x14ac:dyDescent="0.25">
      <c r="A9" s="1881" t="s">
        <v>1381</v>
      </c>
      <c r="B9" s="1881"/>
      <c r="C9" s="1881"/>
      <c r="D9" s="1881"/>
      <c r="E9" s="1881"/>
      <c r="F9" s="1881"/>
      <c r="G9" s="1881"/>
      <c r="H9" s="1881"/>
      <c r="I9" s="1881"/>
      <c r="J9" s="1881"/>
      <c r="K9" s="1881"/>
      <c r="L9" s="1881"/>
    </row>
    <row r="10" spans="1:12" x14ac:dyDescent="0.25">
      <c r="A10" s="1872" t="s">
        <v>886</v>
      </c>
      <c r="B10" s="1872"/>
      <c r="C10" s="1872"/>
      <c r="D10" s="1872"/>
      <c r="E10" s="1872"/>
      <c r="F10" s="1872"/>
      <c r="G10" s="1872"/>
      <c r="H10" s="1872"/>
      <c r="I10" s="1872"/>
      <c r="J10" s="1872"/>
      <c r="K10" s="1872"/>
      <c r="L10" s="1872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2">+D28</f>
        <v>6500</v>
      </c>
      <c r="E29" s="899">
        <v>0</v>
      </c>
      <c r="F29" s="898">
        <f t="shared" si="2"/>
        <v>6500</v>
      </c>
      <c r="G29" s="898">
        <f t="shared" si="2"/>
        <v>186.55</v>
      </c>
      <c r="H29" s="898">
        <f t="shared" si="2"/>
        <v>917.38</v>
      </c>
      <c r="I29" s="898">
        <f t="shared" si="2"/>
        <v>197.6</v>
      </c>
      <c r="J29" s="899">
        <v>0</v>
      </c>
      <c r="K29" s="898">
        <f t="shared" si="2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3">+D32</f>
        <v>5000</v>
      </c>
      <c r="E33" s="899">
        <v>0</v>
      </c>
      <c r="F33" s="898">
        <f t="shared" si="3"/>
        <v>5000</v>
      </c>
      <c r="G33" s="898">
        <f t="shared" si="3"/>
        <v>143.5</v>
      </c>
      <c r="H33" s="898">
        <f t="shared" si="3"/>
        <v>705.68</v>
      </c>
      <c r="I33" s="898">
        <f t="shared" si="3"/>
        <v>152</v>
      </c>
      <c r="J33" s="899">
        <v>0</v>
      </c>
      <c r="K33" s="898">
        <f t="shared" si="3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4">+D37</f>
        <v>40000</v>
      </c>
      <c r="E38" s="899">
        <v>0</v>
      </c>
      <c r="F38" s="898">
        <f t="shared" si="4"/>
        <v>40000</v>
      </c>
      <c r="G38" s="898">
        <f t="shared" si="4"/>
        <v>1148</v>
      </c>
      <c r="H38" s="898">
        <f t="shared" si="4"/>
        <v>9409</v>
      </c>
      <c r="I38" s="898">
        <f t="shared" si="4"/>
        <v>1216</v>
      </c>
      <c r="J38" s="899">
        <v>0</v>
      </c>
      <c r="K38" s="898">
        <f t="shared" si="4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5">+D41</f>
        <v>40000</v>
      </c>
      <c r="E42" s="899">
        <v>0</v>
      </c>
      <c r="F42" s="898">
        <f t="shared" si="5"/>
        <v>40000</v>
      </c>
      <c r="G42" s="898">
        <f t="shared" si="5"/>
        <v>1148</v>
      </c>
      <c r="H42" s="898">
        <f t="shared" si="5"/>
        <v>9409</v>
      </c>
      <c r="I42" s="898">
        <f t="shared" si="5"/>
        <v>1216</v>
      </c>
      <c r="J42" s="899">
        <v>0</v>
      </c>
      <c r="K42" s="898">
        <f t="shared" si="5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6">+F42+F38+F33+F29+F24+F20+F16</f>
        <v>166000</v>
      </c>
      <c r="G45" s="1043">
        <f t="shared" si="6"/>
        <v>4764.2000000000007</v>
      </c>
      <c r="H45" s="1043">
        <f t="shared" si="6"/>
        <v>32788.680000000008</v>
      </c>
      <c r="I45" s="1043">
        <f t="shared" si="6"/>
        <v>5046.3999999999996</v>
      </c>
      <c r="J45" s="1045">
        <v>0</v>
      </c>
      <c r="K45" s="1043">
        <f t="shared" si="6"/>
        <v>42599.28</v>
      </c>
      <c r="L45" s="1043">
        <f t="shared" si="6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77" t="s">
        <v>1372</v>
      </c>
      <c r="G58" s="1877"/>
      <c r="H58" s="1877"/>
      <c r="I58" s="1877"/>
      <c r="J58" s="1877"/>
      <c r="K58" s="1877"/>
    </row>
    <row r="59" spans="1:11" x14ac:dyDescent="0.25">
      <c r="A59" s="920" t="s">
        <v>1238</v>
      </c>
      <c r="B59" s="920"/>
      <c r="C59" s="921"/>
      <c r="D59" s="915"/>
      <c r="E59" s="915"/>
      <c r="F59" s="1875" t="s">
        <v>1222</v>
      </c>
      <c r="G59" s="1875"/>
      <c r="H59" s="1875"/>
      <c r="I59" s="1875"/>
      <c r="J59" s="1875"/>
      <c r="K59" s="1875"/>
    </row>
    <row r="60" spans="1:11" x14ac:dyDescent="0.25">
      <c r="A60" s="916" t="s">
        <v>1239</v>
      </c>
      <c r="B60" s="916"/>
      <c r="C60" s="915"/>
      <c r="D60" s="915"/>
      <c r="E60" s="923"/>
      <c r="F60" s="1874" t="s">
        <v>1224</v>
      </c>
      <c r="G60" s="1874"/>
      <c r="H60" s="1874"/>
      <c r="I60" s="1874"/>
      <c r="J60" s="1874"/>
      <c r="K60" s="1874"/>
    </row>
    <row r="70" spans="4:12" x14ac:dyDescent="0.25">
      <c r="D70" s="924"/>
      <c r="E70" s="923"/>
      <c r="F70" s="915"/>
      <c r="G70" s="1879"/>
      <c r="H70" s="1879"/>
      <c r="I70" s="1879"/>
      <c r="J70" s="1879"/>
      <c r="K70" s="1879"/>
      <c r="L70" s="1879"/>
    </row>
    <row r="71" spans="4:12" x14ac:dyDescent="0.25">
      <c r="D71" s="925"/>
      <c r="E71" s="1872"/>
      <c r="F71" s="1872"/>
      <c r="G71" s="1872"/>
      <c r="H71" s="1872"/>
      <c r="I71" s="1872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9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1382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16" t="s">
        <v>7</v>
      </c>
      <c r="B12" s="1615" t="s">
        <v>802</v>
      </c>
      <c r="C12" s="1615" t="s">
        <v>9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616"/>
      <c r="B13" s="1615"/>
      <c r="C13" s="1615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>+J15</f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0">+E18</f>
        <v>0</v>
      </c>
      <c r="F19" s="463">
        <f>+F18</f>
        <v>40000</v>
      </c>
      <c r="G19" s="463">
        <f t="shared" si="0"/>
        <v>1148</v>
      </c>
      <c r="H19" s="463">
        <f t="shared" si="0"/>
        <v>9409</v>
      </c>
      <c r="I19" s="463">
        <f t="shared" si="0"/>
        <v>1216</v>
      </c>
      <c r="J19" s="464">
        <f t="shared" si="0"/>
        <v>0</v>
      </c>
      <c r="K19" s="463">
        <f t="shared" si="0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862" t="s">
        <v>1255</v>
      </c>
      <c r="G34" s="1862"/>
      <c r="H34" s="1862"/>
      <c r="I34" s="1862"/>
      <c r="J34" s="1862"/>
      <c r="K34" s="1862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808" t="s">
        <v>852</v>
      </c>
      <c r="G35" s="1808"/>
      <c r="H35" s="1808"/>
      <c r="I35" s="1808"/>
      <c r="J35" s="1808"/>
      <c r="K35" s="1808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809" t="s">
        <v>1257</v>
      </c>
      <c r="G36" s="1809"/>
      <c r="H36" s="1809"/>
      <c r="I36" s="1809"/>
      <c r="J36" s="1809"/>
      <c r="K36" s="1809"/>
      <c r="L36" s="537"/>
    </row>
    <row r="37" spans="1:12" x14ac:dyDescent="0.25">
      <c r="A37" s="546"/>
      <c r="B37" s="546"/>
      <c r="C37" s="547"/>
      <c r="D37" s="541"/>
      <c r="E37" s="540"/>
      <c r="F37" s="537"/>
      <c r="G37" s="1810"/>
      <c r="H37" s="1810"/>
      <c r="I37" s="1810"/>
      <c r="J37" s="1810"/>
      <c r="K37" s="1810"/>
      <c r="L37" s="1810"/>
    </row>
    <row r="38" spans="1:12" ht="15.75" x14ac:dyDescent="0.25">
      <c r="A38" s="267"/>
      <c r="B38" s="267"/>
      <c r="C38" s="268"/>
      <c r="D38" s="269"/>
      <c r="E38" s="1738"/>
      <c r="F38" s="1738"/>
      <c r="G38" s="1738"/>
      <c r="H38" s="1738"/>
      <c r="I38" s="1738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1385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16" t="s">
        <v>7</v>
      </c>
      <c r="B12" s="1615" t="s">
        <v>802</v>
      </c>
      <c r="C12" s="1615" t="s">
        <v>9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616"/>
      <c r="B13" s="1615"/>
      <c r="C13" s="1615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862" t="s">
        <v>1255</v>
      </c>
      <c r="G30" s="1862"/>
      <c r="H30" s="1862"/>
      <c r="I30" s="1862"/>
      <c r="J30" s="1862"/>
      <c r="K30" s="1862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808" t="s">
        <v>852</v>
      </c>
      <c r="G31" s="1808"/>
      <c r="H31" s="1808"/>
      <c r="I31" s="1808"/>
      <c r="J31" s="1808"/>
      <c r="K31" s="1808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809" t="s">
        <v>1257</v>
      </c>
      <c r="G32" s="1809"/>
      <c r="H32" s="1809"/>
      <c r="I32" s="1809"/>
      <c r="J32" s="1809"/>
      <c r="K32" s="1809"/>
      <c r="L32" s="537"/>
    </row>
    <row r="33" spans="1:12" x14ac:dyDescent="0.25">
      <c r="A33" s="546"/>
      <c r="B33" s="546"/>
      <c r="C33" s="547"/>
      <c r="D33" s="541"/>
      <c r="E33" s="540"/>
      <c r="F33" s="537"/>
      <c r="G33" s="1810"/>
      <c r="H33" s="1810"/>
      <c r="I33" s="1810"/>
      <c r="J33" s="1810"/>
      <c r="K33" s="1810"/>
      <c r="L33" s="1810"/>
    </row>
    <row r="34" spans="1:12" ht="15.75" x14ac:dyDescent="0.25">
      <c r="A34" s="267"/>
      <c r="B34" s="267"/>
      <c r="C34" s="268"/>
      <c r="D34" s="269"/>
      <c r="E34" s="1738"/>
      <c r="F34" s="1738"/>
      <c r="G34" s="1738"/>
      <c r="H34" s="1738"/>
      <c r="I34" s="1738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4" t="s">
        <v>0</v>
      </c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  <c r="N6" s="1864"/>
    </row>
    <row r="7" spans="2:14" ht="15.75" x14ac:dyDescent="0.25">
      <c r="B7" s="1864" t="s">
        <v>3</v>
      </c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2:14" ht="15.75" x14ac:dyDescent="0.25">
      <c r="B8" s="1864" t="s">
        <v>1402</v>
      </c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  <c r="N8" s="1864"/>
    </row>
    <row r="9" spans="2:14" ht="15.75" x14ac:dyDescent="0.25">
      <c r="B9" s="1882" t="s">
        <v>404</v>
      </c>
      <c r="C9" s="1882"/>
      <c r="D9" s="1882"/>
      <c r="E9" s="1882"/>
      <c r="F9" s="1882"/>
      <c r="G9" s="1882"/>
      <c r="H9" s="1882"/>
      <c r="I9" s="1882"/>
      <c r="J9" s="1882"/>
      <c r="K9" s="1882"/>
      <c r="L9" s="1882"/>
      <c r="M9" s="1882"/>
      <c r="N9" s="1882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83" t="s">
        <v>7</v>
      </c>
      <c r="C11" s="1883" t="s">
        <v>802</v>
      </c>
      <c r="D11" s="1883" t="s">
        <v>9</v>
      </c>
      <c r="E11" s="1883" t="s">
        <v>11</v>
      </c>
      <c r="F11" s="1057" t="s">
        <v>12</v>
      </c>
      <c r="G11" s="1885" t="s">
        <v>13</v>
      </c>
      <c r="H11" s="1886" t="s">
        <v>14</v>
      </c>
      <c r="I11" s="1886" t="s">
        <v>15</v>
      </c>
      <c r="J11" s="1886" t="s">
        <v>16</v>
      </c>
      <c r="K11" s="1886" t="s">
        <v>17</v>
      </c>
      <c r="L11" s="1886" t="s">
        <v>18</v>
      </c>
      <c r="M11" s="1886" t="s">
        <v>19</v>
      </c>
      <c r="N11" s="1886" t="s">
        <v>20</v>
      </c>
    </row>
    <row r="12" spans="2:14" ht="15.75" x14ac:dyDescent="0.25">
      <c r="B12" s="1883"/>
      <c r="C12" s="1883"/>
      <c r="D12" s="1883"/>
      <c r="E12" s="1883"/>
      <c r="F12" s="1057" t="s">
        <v>21</v>
      </c>
      <c r="G12" s="1885"/>
      <c r="H12" s="1886"/>
      <c r="I12" s="1886"/>
      <c r="J12" s="1886"/>
      <c r="K12" s="1886"/>
      <c r="L12" s="1886"/>
      <c r="M12" s="1886"/>
      <c r="N12" s="188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>SUM(G74:G85)</f>
        <v>0</v>
      </c>
      <c r="H87" s="963">
        <f t="shared" ref="H87:N87" si="13">SUM(H74:H86)</f>
        <v>355500</v>
      </c>
      <c r="I87" s="963">
        <f t="shared" si="13"/>
        <v>10202.849999999999</v>
      </c>
      <c r="J87" s="963">
        <f t="shared" si="13"/>
        <v>89.81</v>
      </c>
      <c r="K87" s="963">
        <f t="shared" si="13"/>
        <v>10807.2</v>
      </c>
      <c r="L87" s="963">
        <f t="shared" si="13"/>
        <v>15739.91</v>
      </c>
      <c r="M87" s="963">
        <f t="shared" si="13"/>
        <v>36839.769999999997</v>
      </c>
      <c r="N87" s="963">
        <f t="shared" si="13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>SUM(L95:L96)</f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6">SUM(H100:H102)</f>
        <v>263500</v>
      </c>
      <c r="I103" s="963">
        <f t="shared" si="16"/>
        <v>7562.45</v>
      </c>
      <c r="J103" s="963">
        <f t="shared" si="16"/>
        <v>29228.21</v>
      </c>
      <c r="K103" s="963">
        <f t="shared" si="16"/>
        <v>8010.4</v>
      </c>
      <c r="L103" s="963">
        <f t="shared" si="16"/>
        <v>7493.58</v>
      </c>
      <c r="M103" s="963">
        <f t="shared" si="16"/>
        <v>52294.64</v>
      </c>
      <c r="N103" s="963">
        <f t="shared" si="16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9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9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9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9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0">SUM(F115:F121)</f>
        <v>507500</v>
      </c>
      <c r="G122" s="964">
        <f t="shared" si="20"/>
        <v>0</v>
      </c>
      <c r="H122" s="963">
        <f t="shared" si="20"/>
        <v>507500</v>
      </c>
      <c r="I122" s="963">
        <f t="shared" si="20"/>
        <v>14565.25</v>
      </c>
      <c r="J122" s="963">
        <f t="shared" si="20"/>
        <v>48953.08</v>
      </c>
      <c r="K122" s="963">
        <f t="shared" si="20"/>
        <v>15428</v>
      </c>
      <c r="L122" s="963">
        <f t="shared" si="20"/>
        <v>16757.09</v>
      </c>
      <c r="M122" s="963">
        <f t="shared" si="20"/>
        <v>95703.419999999984</v>
      </c>
      <c r="N122" s="963">
        <f t="shared" si="20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1">SUM(F126:F127)</f>
        <v>93500</v>
      </c>
      <c r="G128" s="964">
        <f t="shared" si="21"/>
        <v>0</v>
      </c>
      <c r="H128" s="963">
        <f t="shared" si="21"/>
        <v>93500</v>
      </c>
      <c r="I128" s="963">
        <f t="shared" si="21"/>
        <v>2683.45</v>
      </c>
      <c r="J128" s="963">
        <f t="shared" si="21"/>
        <v>2790.62</v>
      </c>
      <c r="K128" s="963">
        <f t="shared" si="21"/>
        <v>2842.4</v>
      </c>
      <c r="L128" s="963">
        <f t="shared" si="21"/>
        <v>2753</v>
      </c>
      <c r="M128" s="963">
        <f t="shared" si="21"/>
        <v>11069.470000000001</v>
      </c>
      <c r="N128" s="963">
        <f t="shared" si="21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2">+I131+J131+K131+L131</f>
        <v>12956.869999999999</v>
      </c>
      <c r="N131" s="951">
        <f t="shared" ref="N131:N136" si="23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2"/>
        <v>3932.83</v>
      </c>
      <c r="N132" s="953">
        <f t="shared" si="23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2"/>
        <v>5537</v>
      </c>
      <c r="N133" s="953">
        <f t="shared" si="23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2"/>
        <v>2331.06</v>
      </c>
      <c r="N134" s="951">
        <f t="shared" si="23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2"/>
        <v>8101.31</v>
      </c>
      <c r="N135" s="951">
        <f t="shared" si="23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2"/>
        <v>3832.83</v>
      </c>
      <c r="N136" s="953">
        <f t="shared" si="23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 t="shared" ref="H137:N137" si="24">SUM(H131:H136)</f>
        <v>312500</v>
      </c>
      <c r="I137" s="963">
        <f t="shared" si="24"/>
        <v>8968.75</v>
      </c>
      <c r="J137" s="963">
        <f t="shared" si="24"/>
        <v>14201.02</v>
      </c>
      <c r="K137" s="963">
        <f t="shared" si="24"/>
        <v>9500</v>
      </c>
      <c r="L137" s="963">
        <f t="shared" si="24"/>
        <v>4022.13</v>
      </c>
      <c r="M137" s="963">
        <f t="shared" si="24"/>
        <v>36691.9</v>
      </c>
      <c r="N137" s="963">
        <f t="shared" si="24"/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5">SUM(H140:H143)</f>
        <v>360000</v>
      </c>
      <c r="I144" s="965">
        <f t="shared" si="25"/>
        <v>10332</v>
      </c>
      <c r="J144" s="965">
        <f t="shared" si="25"/>
        <v>41281.230000000003</v>
      </c>
      <c r="K144" s="965">
        <f t="shared" si="25"/>
        <v>10944</v>
      </c>
      <c r="L144" s="966">
        <f>SUM(L140:L143)</f>
        <v>16261.630000000001</v>
      </c>
      <c r="M144" s="965">
        <f t="shared" si="25"/>
        <v>78818.860000000015</v>
      </c>
      <c r="N144" s="965">
        <f t="shared" si="25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6">SUM(F147)</f>
        <v>80000</v>
      </c>
      <c r="G148" s="993">
        <f t="shared" si="26"/>
        <v>0</v>
      </c>
      <c r="H148" s="994">
        <f t="shared" si="26"/>
        <v>80000</v>
      </c>
      <c r="I148" s="994">
        <f t="shared" si="26"/>
        <v>2296</v>
      </c>
      <c r="J148" s="994">
        <f t="shared" si="26"/>
        <v>7400.87</v>
      </c>
      <c r="K148" s="994">
        <f t="shared" si="26"/>
        <v>2432</v>
      </c>
      <c r="L148" s="995">
        <f t="shared" si="26"/>
        <v>2097.1999999999998</v>
      </c>
      <c r="M148" s="994">
        <f>SUM(M147)</f>
        <v>14226.07</v>
      </c>
      <c r="N148" s="994">
        <f t="shared" si="26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7">SUM(F151:F151)</f>
        <v>43500</v>
      </c>
      <c r="G152" s="964">
        <f t="shared" si="27"/>
        <v>0</v>
      </c>
      <c r="H152" s="965">
        <f t="shared" si="27"/>
        <v>43500</v>
      </c>
      <c r="I152" s="965">
        <f t="shared" si="27"/>
        <v>1248.45</v>
      </c>
      <c r="J152" s="996">
        <f t="shared" si="27"/>
        <v>936.62</v>
      </c>
      <c r="K152" s="996">
        <f t="shared" si="27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8">SUM(H155:H158)</f>
        <v>237000</v>
      </c>
      <c r="I159" s="963">
        <f t="shared" si="28"/>
        <v>6801.9</v>
      </c>
      <c r="J159" s="963">
        <f t="shared" si="28"/>
        <v>14642.59</v>
      </c>
      <c r="K159" s="963">
        <f t="shared" si="28"/>
        <v>7204.7999999999993</v>
      </c>
      <c r="L159" s="963">
        <f t="shared" si="28"/>
        <v>4643.3999999999996</v>
      </c>
      <c r="M159" s="963">
        <f t="shared" si="28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9">SUM(H162:H163)</f>
        <v>150000</v>
      </c>
      <c r="I164" s="963">
        <f t="shared" si="29"/>
        <v>4305</v>
      </c>
      <c r="J164" s="963">
        <f t="shared" si="29"/>
        <v>12769.349999999999</v>
      </c>
      <c r="K164" s="963">
        <f t="shared" si="29"/>
        <v>4560</v>
      </c>
      <c r="L164" s="963">
        <f t="shared" si="29"/>
        <v>1556</v>
      </c>
      <c r="M164" s="963">
        <f t="shared" si="29"/>
        <v>23190.35</v>
      </c>
      <c r="N164" s="963">
        <f t="shared" si="29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0">SUM(G167:G168)</f>
        <v>0</v>
      </c>
      <c r="H169" s="965">
        <f>SUM(H167:H168)</f>
        <v>123500</v>
      </c>
      <c r="I169" s="965">
        <f t="shared" si="30"/>
        <v>3544.45</v>
      </c>
      <c r="J169" s="965">
        <f t="shared" si="30"/>
        <v>8337.49</v>
      </c>
      <c r="K169" s="965">
        <f t="shared" si="30"/>
        <v>3754.4</v>
      </c>
      <c r="L169" s="966">
        <f t="shared" si="30"/>
        <v>3335.58</v>
      </c>
      <c r="M169" s="965">
        <f>SUM(M167:M168)</f>
        <v>18971.919999999998</v>
      </c>
      <c r="N169" s="965">
        <f t="shared" si="30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1">+I172+J172+K172+L172</f>
        <v>14697.269999999999</v>
      </c>
      <c r="N172" s="951">
        <f t="shared" ref="N172:N182" si="32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1"/>
        <v>3532.4700000000003</v>
      </c>
      <c r="N173" s="951">
        <f t="shared" si="32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1"/>
        <v>3532.4700000000003</v>
      </c>
      <c r="N174" s="951">
        <f t="shared" si="32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1"/>
        <v>3532.4700000000003</v>
      </c>
      <c r="N175" s="951">
        <f t="shared" si="32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1"/>
        <v>3034.06</v>
      </c>
      <c r="N176" s="951">
        <f t="shared" si="32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1"/>
        <v>7854.75</v>
      </c>
      <c r="N177" s="951">
        <f t="shared" si="32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1"/>
        <v>2331.06</v>
      </c>
      <c r="N178" s="953">
        <f t="shared" si="32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1"/>
        <v>3532.4700000000003</v>
      </c>
      <c r="N179" s="953">
        <f t="shared" si="32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1"/>
        <v>3532.4700000000003</v>
      </c>
      <c r="N180" s="953">
        <f t="shared" si="32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1"/>
        <v>2331.06</v>
      </c>
      <c r="N181" s="953">
        <f t="shared" si="32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1"/>
        <v>2331.06</v>
      </c>
      <c r="N182" s="951">
        <f t="shared" si="32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3">SUM(I172:I182)</f>
        <v>14091.7</v>
      </c>
      <c r="J183" s="963">
        <f t="shared" si="33"/>
        <v>12865.19</v>
      </c>
      <c r="K183" s="963">
        <f t="shared" si="33"/>
        <v>14926.4</v>
      </c>
      <c r="L183" s="963">
        <f t="shared" si="33"/>
        <v>8358.32</v>
      </c>
      <c r="M183" s="963">
        <f t="shared" si="33"/>
        <v>50241.61</v>
      </c>
      <c r="N183" s="963">
        <f t="shared" si="33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4">+I186+J186+K186+L186</f>
        <v>23926.87</v>
      </c>
      <c r="N186" s="1031">
        <f t="shared" ref="N186:N218" si="35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4"/>
        <v>23926.87</v>
      </c>
      <c r="N187" s="1032">
        <f t="shared" si="35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4"/>
        <v>10766.880000000001</v>
      </c>
      <c r="N188" s="1032">
        <f t="shared" si="35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4"/>
        <v>12153.869999999999</v>
      </c>
      <c r="N189" s="1032">
        <f t="shared" si="35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4"/>
        <v>9530.48</v>
      </c>
      <c r="N190" s="1032">
        <f t="shared" si="35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4"/>
        <v>15451.01</v>
      </c>
      <c r="N191" s="1032">
        <f t="shared" si="35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5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5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6">+I194+J194+K194+L194</f>
        <v>3532.4700000000003</v>
      </c>
      <c r="N194" s="1032">
        <f t="shared" si="35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6"/>
        <v>5672.17</v>
      </c>
      <c r="N195" s="1032">
        <f t="shared" si="35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6"/>
        <v>1886.65</v>
      </c>
      <c r="N196" s="1032">
        <f t="shared" si="35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6"/>
        <v>1886.65</v>
      </c>
      <c r="N197" s="1031">
        <f t="shared" si="35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6"/>
        <v>1886.65</v>
      </c>
      <c r="N198" s="1031">
        <f t="shared" si="35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6"/>
        <v>1886.65</v>
      </c>
      <c r="N199" s="1031">
        <f t="shared" si="35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6"/>
        <v>3532.4700000000003</v>
      </c>
      <c r="N200" s="1031">
        <f t="shared" si="35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6"/>
        <v>2331.06</v>
      </c>
      <c r="N202" s="1032">
        <f t="shared" si="35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6"/>
        <v>2331.06</v>
      </c>
      <c r="N203" s="1032">
        <f t="shared" si="35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6"/>
        <v>2331.06</v>
      </c>
      <c r="N204" s="1032">
        <f t="shared" si="35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6"/>
        <v>2331.06</v>
      </c>
      <c r="N205" s="1032">
        <f t="shared" si="35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6"/>
        <v>3532.4700000000003</v>
      </c>
      <c r="N206" s="1031">
        <f t="shared" si="35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6"/>
        <v>1502.5</v>
      </c>
      <c r="N207" s="1031">
        <f t="shared" si="35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6"/>
        <v>1502.5</v>
      </c>
      <c r="N208" s="1031">
        <f t="shared" si="35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6"/>
        <v>1502.5</v>
      </c>
      <c r="N209" s="1031">
        <f t="shared" si="35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6"/>
        <v>1502.5</v>
      </c>
      <c r="N210" s="1032">
        <f t="shared" si="35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6"/>
        <v>1502.5</v>
      </c>
      <c r="N211" s="1032">
        <f t="shared" si="35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6"/>
        <v>1798</v>
      </c>
      <c r="N212" s="1032">
        <f t="shared" si="35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6"/>
        <v>1798</v>
      </c>
      <c r="N213" s="1032">
        <f t="shared" si="35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6"/>
        <v>1798</v>
      </c>
      <c r="N214" s="1032">
        <f t="shared" si="35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6"/>
        <v>1798</v>
      </c>
      <c r="N215" s="1031">
        <f t="shared" si="35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6"/>
        <v>3907</v>
      </c>
      <c r="N216" s="1031">
        <f t="shared" si="35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6"/>
        <v>1798</v>
      </c>
      <c r="N217" s="1031">
        <f t="shared" si="35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6"/>
        <v>1798</v>
      </c>
      <c r="N218" s="1031">
        <f t="shared" si="35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7">SUM(H186:H221)</f>
        <v>1601500</v>
      </c>
      <c r="I222" s="963">
        <f t="shared" si="37"/>
        <v>45963.049999999996</v>
      </c>
      <c r="J222" s="963">
        <f t="shared" si="37"/>
        <v>74518.849999999977</v>
      </c>
      <c r="K222" s="963">
        <f t="shared" si="37"/>
        <v>48685.599999999999</v>
      </c>
      <c r="L222" s="963">
        <f t="shared" si="37"/>
        <v>14004.76</v>
      </c>
      <c r="M222" s="963">
        <f t="shared" si="37"/>
        <v>183172.25999999995</v>
      </c>
      <c r="N222" s="963">
        <f t="shared" si="37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38">+H18+H23+H28+H38+H42+H47+H51+H57+H71+H87+H92+H97+H103+H108+H112+H122+H128+H137+H144+H148+H152+H159+H164+H169+H183+H222</f>
        <v>7021500</v>
      </c>
      <c r="I224" s="1076">
        <f t="shared" si="38"/>
        <v>201517.05</v>
      </c>
      <c r="J224" s="1076">
        <f t="shared" si="38"/>
        <v>478333.92999999993</v>
      </c>
      <c r="K224" s="1076">
        <f t="shared" si="38"/>
        <v>210931.91999999995</v>
      </c>
      <c r="L224" s="1076">
        <f t="shared" si="38"/>
        <v>142774.07</v>
      </c>
      <c r="M224" s="1076">
        <f t="shared" si="38"/>
        <v>1033556.9699999997</v>
      </c>
      <c r="N224" s="1076">
        <f t="shared" si="38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4" t="s">
        <v>1271</v>
      </c>
      <c r="C248" s="1884"/>
      <c r="D248" s="874"/>
      <c r="E248" s="874"/>
      <c r="F248" s="875"/>
      <c r="G248" s="873"/>
      <c r="H248" s="873"/>
      <c r="I248" s="1869" t="s">
        <v>852</v>
      </c>
      <c r="J248" s="1869"/>
      <c r="K248" s="1869"/>
      <c r="L248" s="1869"/>
      <c r="M248" s="1869"/>
      <c r="N248" s="186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63" t="s">
        <v>1370</v>
      </c>
      <c r="K249" s="1863"/>
      <c r="L249" s="1863"/>
      <c r="M249" s="1863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1404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0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0"/>
      <c r="M12" s="1620"/>
      <c r="N12" s="1620"/>
      <c r="O12" s="162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>SUM(H15)</f>
        <v>0</v>
      </c>
      <c r="I16" s="571">
        <f t="shared" ref="I16:O16" si="0">SUM(I14:I15)</f>
        <v>69333.33</v>
      </c>
      <c r="J16" s="571">
        <f t="shared" si="0"/>
        <v>1989.8700000000001</v>
      </c>
      <c r="K16" s="571">
        <f t="shared" si="0"/>
        <v>2324.4499999999998</v>
      </c>
      <c r="L16" s="571">
        <f t="shared" si="0"/>
        <v>2107.73</v>
      </c>
      <c r="M16" s="571">
        <f t="shared" si="0"/>
        <v>50</v>
      </c>
      <c r="N16" s="571">
        <f t="shared" si="0"/>
        <v>6472.0499999999993</v>
      </c>
      <c r="O16" s="571">
        <f t="shared" si="0"/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1">SUM(G19)</f>
        <v>120000</v>
      </c>
      <c r="H20" s="696">
        <f t="shared" si="1"/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>SUM(H24)</f>
        <v>0</v>
      </c>
      <c r="I25" s="571">
        <f t="shared" ref="I25:O25" si="2">SUM(I23:I24)</f>
        <v>145000</v>
      </c>
      <c r="J25" s="571">
        <f t="shared" si="2"/>
        <v>4161.5</v>
      </c>
      <c r="K25" s="571">
        <f t="shared" si="2"/>
        <v>11677.86</v>
      </c>
      <c r="L25" s="571">
        <f t="shared" si="2"/>
        <v>4408</v>
      </c>
      <c r="M25" s="571">
        <f t="shared" si="2"/>
        <v>7593.4</v>
      </c>
      <c r="N25" s="571">
        <f t="shared" si="2"/>
        <v>27840.760000000002</v>
      </c>
      <c r="O25" s="571">
        <f t="shared" si="2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695">
        <f t="shared" si="3"/>
        <v>11055.76</v>
      </c>
      <c r="N30" s="695">
        <f t="shared" si="3"/>
        <v>42991.479999999996</v>
      </c>
      <c r="O30" s="695">
        <f t="shared" si="3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695">
        <f>SUM(M33:M34)</f>
        <v>1456</v>
      </c>
      <c r="N35" s="695">
        <f t="shared" si="4"/>
        <v>28695.239999999998</v>
      </c>
      <c r="O35" s="695">
        <f t="shared" si="4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97">
        <f t="shared" si="5"/>
        <v>2134</v>
      </c>
      <c r="N39" s="697">
        <f t="shared" si="5"/>
        <v>18677.739999999998</v>
      </c>
      <c r="O39" s="697">
        <f t="shared" si="5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6">SUM(G42)</f>
        <v>95000</v>
      </c>
      <c r="H43" s="696">
        <f>SUM(H42)</f>
        <v>0</v>
      </c>
      <c r="I43" s="697">
        <f t="shared" si="6"/>
        <v>95000</v>
      </c>
      <c r="J43" s="697">
        <f t="shared" si="6"/>
        <v>2726.5</v>
      </c>
      <c r="K43" s="697">
        <f t="shared" si="6"/>
        <v>10929.24</v>
      </c>
      <c r="L43" s="697">
        <f t="shared" si="6"/>
        <v>2888</v>
      </c>
      <c r="M43" s="697">
        <f>SUM(M42)</f>
        <v>8637.92</v>
      </c>
      <c r="N43" s="697">
        <f t="shared" si="6"/>
        <v>25181.659999999996</v>
      </c>
      <c r="O43" s="697">
        <f t="shared" si="6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>SUM(H48)</f>
        <v>0</v>
      </c>
      <c r="I49" s="697">
        <f t="shared" ref="I49:O49" si="7">SUM(I47:I48)</f>
        <v>150000</v>
      </c>
      <c r="J49" s="697">
        <f t="shared" si="7"/>
        <v>4305</v>
      </c>
      <c r="K49" s="697">
        <f t="shared" si="7"/>
        <v>13959.37</v>
      </c>
      <c r="L49" s="697">
        <f t="shared" si="7"/>
        <v>4560</v>
      </c>
      <c r="M49" s="697">
        <f t="shared" si="7"/>
        <v>50</v>
      </c>
      <c r="N49" s="697">
        <f t="shared" si="7"/>
        <v>22874.37</v>
      </c>
      <c r="O49" s="697">
        <f t="shared" si="7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697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9"/>
        <v>22455.239999999998</v>
      </c>
      <c r="O62" s="498">
        <f t="shared" si="10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9"/>
        <v>23741.839999999997</v>
      </c>
      <c r="O63" s="626">
        <f t="shared" si="10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>SUM(H63)</f>
        <v>0</v>
      </c>
      <c r="I64" s="697">
        <f t="shared" ref="I64:O64" si="11">SUM(I57:I63)</f>
        <v>855000</v>
      </c>
      <c r="J64" s="697">
        <f t="shared" si="11"/>
        <v>24538.5</v>
      </c>
      <c r="K64" s="697">
        <f t="shared" si="11"/>
        <v>120768.57000000002</v>
      </c>
      <c r="L64" s="697">
        <f t="shared" si="11"/>
        <v>25992</v>
      </c>
      <c r="M64" s="697">
        <f t="shared" si="11"/>
        <v>1890.46</v>
      </c>
      <c r="N64" s="697">
        <f t="shared" si="11"/>
        <v>173189.53</v>
      </c>
      <c r="O64" s="697">
        <f t="shared" si="11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>SUM(H70)</f>
        <v>0</v>
      </c>
      <c r="I71" s="695">
        <f t="shared" ref="I71:O71" si="12">SUM(I67:I70)</f>
        <v>350000</v>
      </c>
      <c r="J71" s="695">
        <f t="shared" si="12"/>
        <v>10045</v>
      </c>
      <c r="K71" s="695">
        <f t="shared" si="12"/>
        <v>38090.26</v>
      </c>
      <c r="L71" s="695">
        <f t="shared" si="12"/>
        <v>10640</v>
      </c>
      <c r="M71" s="695">
        <f t="shared" si="12"/>
        <v>100</v>
      </c>
      <c r="N71" s="695">
        <f t="shared" si="12"/>
        <v>58875.26</v>
      </c>
      <c r="O71" s="695">
        <f t="shared" si="12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13">SUM(H74)</f>
        <v>0</v>
      </c>
      <c r="I75" s="695">
        <f t="shared" si="13"/>
        <v>185000</v>
      </c>
      <c r="J75" s="695">
        <f t="shared" si="13"/>
        <v>5309.5</v>
      </c>
      <c r="K75" s="695">
        <f t="shared" si="13"/>
        <v>32099.49</v>
      </c>
      <c r="L75" s="695">
        <f t="shared" si="13"/>
        <v>5624</v>
      </c>
      <c r="M75" s="695">
        <f>SUM(M74)</f>
        <v>4557.26</v>
      </c>
      <c r="N75" s="695">
        <f t="shared" si="13"/>
        <v>47590.250000000007</v>
      </c>
      <c r="O75" s="695">
        <f t="shared" si="13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>SUM(H79)</f>
        <v>0</v>
      </c>
      <c r="I80" s="695">
        <f t="shared" ref="I80:O80" si="14">SUM(I78:I79)</f>
        <v>120000</v>
      </c>
      <c r="J80" s="695">
        <f t="shared" si="14"/>
        <v>3444</v>
      </c>
      <c r="K80" s="695">
        <f t="shared" si="14"/>
        <v>6973.36</v>
      </c>
      <c r="L80" s="695">
        <f t="shared" si="14"/>
        <v>3648</v>
      </c>
      <c r="M80" s="695">
        <f>SUM(M78:M79)</f>
        <v>50</v>
      </c>
      <c r="N80" s="695">
        <f t="shared" si="14"/>
        <v>14115.36</v>
      </c>
      <c r="O80" s="695">
        <f t="shared" si="14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15">SUM(H83)</f>
        <v>0</v>
      </c>
      <c r="I84" s="695">
        <f t="shared" si="15"/>
        <v>120000</v>
      </c>
      <c r="J84" s="695">
        <f t="shared" si="15"/>
        <v>3444</v>
      </c>
      <c r="K84" s="695">
        <f t="shared" si="15"/>
        <v>16809.87</v>
      </c>
      <c r="L84" s="695">
        <f t="shared" si="15"/>
        <v>3648</v>
      </c>
      <c r="M84" s="695">
        <f>SUM(M83)</f>
        <v>25</v>
      </c>
      <c r="N84" s="695">
        <f t="shared" si="15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16">+J86+K86+L86+M86</f>
        <v>9530.48</v>
      </c>
      <c r="O86" s="468">
        <f t="shared" ref="O86:O91" si="17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16"/>
        <v>9530.48</v>
      </c>
      <c r="O87" s="468">
        <f t="shared" si="17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16"/>
        <v>9530.48</v>
      </c>
      <c r="O88" s="468">
        <f t="shared" si="17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16"/>
        <v>8294.08</v>
      </c>
      <c r="O89" s="468">
        <f t="shared" si="17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16"/>
        <v>8294.08</v>
      </c>
      <c r="O90" s="468">
        <f t="shared" si="17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16"/>
        <v>5835.18</v>
      </c>
      <c r="O91" s="468">
        <f t="shared" si="17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>SUM(H91)</f>
        <v>0</v>
      </c>
      <c r="I92" s="695">
        <f t="shared" ref="I92:N92" si="18">SUM(I86:I91)</f>
        <v>395000</v>
      </c>
      <c r="J92" s="695">
        <f t="shared" si="18"/>
        <v>11336.5</v>
      </c>
      <c r="K92" s="695">
        <f t="shared" si="18"/>
        <v>27520.28</v>
      </c>
      <c r="L92" s="695">
        <f t="shared" si="18"/>
        <v>12008</v>
      </c>
      <c r="M92" s="695">
        <f>SUM(M86:M91)</f>
        <v>150</v>
      </c>
      <c r="N92" s="695">
        <f t="shared" si="1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19">SUM(H95)</f>
        <v>0</v>
      </c>
      <c r="I96" s="695">
        <f t="shared" si="19"/>
        <v>70000</v>
      </c>
      <c r="J96" s="695">
        <f t="shared" si="19"/>
        <v>2009</v>
      </c>
      <c r="K96" s="695">
        <f t="shared" si="19"/>
        <v>5368.48</v>
      </c>
      <c r="L96" s="695">
        <f t="shared" si="19"/>
        <v>2128</v>
      </c>
      <c r="M96" s="695">
        <f>SUM(M95)</f>
        <v>525</v>
      </c>
      <c r="N96" s="695">
        <f>SUM(N95)</f>
        <v>10030.48</v>
      </c>
      <c r="O96" s="695">
        <f t="shared" si="1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20">+J101+K101+L101+M101</f>
        <v>9530.48</v>
      </c>
      <c r="O101" s="468">
        <f t="shared" ref="O101:O112" si="2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20"/>
        <v>9530.48</v>
      </c>
      <c r="O102" s="468">
        <f t="shared" si="2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20"/>
        <v>10902.84</v>
      </c>
      <c r="O103" s="468">
        <f t="shared" si="2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20"/>
        <v>23926.87</v>
      </c>
      <c r="O104" s="468">
        <f t="shared" si="2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20"/>
        <v>12275.210000000001</v>
      </c>
      <c r="O105" s="468">
        <f t="shared" si="2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20"/>
        <v>10902.84</v>
      </c>
      <c r="O106" s="468">
        <f t="shared" si="2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20"/>
        <v>9530.48</v>
      </c>
      <c r="O107" s="468">
        <f t="shared" si="2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20"/>
        <v>9530.48</v>
      </c>
      <c r="O109" s="468">
        <f t="shared" si="2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20"/>
        <v>9530.48</v>
      </c>
      <c r="O110" s="468">
        <f t="shared" si="2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20"/>
        <v>9530.48</v>
      </c>
      <c r="O111" s="468">
        <f t="shared" si="2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20"/>
        <v>8294.08</v>
      </c>
      <c r="O112" s="468">
        <f t="shared" si="2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2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20"/>
        <v>8294.08</v>
      </c>
      <c r="O114" s="468">
        <f t="shared" ref="O114:O129" si="2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20"/>
        <v>8294.08</v>
      </c>
      <c r="O115" s="468">
        <f t="shared" si="2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20"/>
        <v>8294.08</v>
      </c>
      <c r="O116" s="468">
        <f t="shared" si="2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 t="shared" si="2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si="2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>+J123+K123+L123+M123</f>
        <v>8294.08</v>
      </c>
      <c r="O123" s="468">
        <f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>+J125+K125+L125+M125</f>
        <v>1945.75</v>
      </c>
      <c r="O125" s="468">
        <f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>+J127+K127+L127+M127</f>
        <v>3832.83</v>
      </c>
      <c r="O127" s="468">
        <f t="shared" si="2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>+J128+K128+L128+M128</f>
        <v>5290.97</v>
      </c>
      <c r="O128" s="468">
        <f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>+J129+K129+L129+M129</f>
        <v>3532.4700000000003</v>
      </c>
      <c r="O129" s="468">
        <f t="shared" si="2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>+J130+K130+L130+M130</f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>+J131+K131+L131+M131</f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23">SUM(I100:I131)</f>
        <v>2113000</v>
      </c>
      <c r="J132" s="695">
        <f t="shared" si="23"/>
        <v>60643.099999999991</v>
      </c>
      <c r="K132" s="695">
        <f t="shared" si="23"/>
        <v>154541.38999999996</v>
      </c>
      <c r="L132" s="695">
        <f t="shared" si="23"/>
        <v>64235.200000000004</v>
      </c>
      <c r="M132" s="695">
        <f t="shared" si="23"/>
        <v>11092.759999999998</v>
      </c>
      <c r="N132" s="695">
        <f t="shared" si="23"/>
        <v>290512.44999999972</v>
      </c>
      <c r="O132" s="695">
        <f t="shared" si="23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24">+I16+I20+I25+I30+I35+I39+I43+I49+I54+I64+I71+I75+I80+I84+I92+I96+I132</f>
        <v>5407333.3300000001</v>
      </c>
      <c r="J134" s="1055">
        <f t="shared" si="24"/>
        <v>155190.46999999997</v>
      </c>
      <c r="K134" s="1055">
        <f t="shared" si="24"/>
        <v>526661.24</v>
      </c>
      <c r="L134" s="1055">
        <f t="shared" si="24"/>
        <v>164382.93</v>
      </c>
      <c r="M134" s="1055">
        <f t="shared" si="24"/>
        <v>54058.16</v>
      </c>
      <c r="N134" s="1055">
        <f t="shared" si="24"/>
        <v>900292.7999999997</v>
      </c>
      <c r="O134" s="1055">
        <f t="shared" si="24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622" t="s">
        <v>1375</v>
      </c>
      <c r="J151" s="1622"/>
      <c r="K151" s="1622"/>
      <c r="L151" s="1622"/>
      <c r="M151" s="1622"/>
      <c r="N151" s="1622"/>
      <c r="O151" s="1622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623" t="s">
        <v>1224</v>
      </c>
      <c r="J152" s="1623"/>
      <c r="K152" s="1623"/>
      <c r="L152" s="1623"/>
      <c r="M152" s="1623"/>
      <c r="N152" s="1623"/>
      <c r="O152" s="1623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1416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887" t="s">
        <v>937</v>
      </c>
      <c r="D13" s="1887" t="s">
        <v>8</v>
      </c>
      <c r="E13" s="1887" t="s">
        <v>10</v>
      </c>
      <c r="F13" s="1887" t="s">
        <v>11</v>
      </c>
      <c r="G13" s="1047" t="s">
        <v>12</v>
      </c>
      <c r="H13" s="1887" t="s">
        <v>13</v>
      </c>
      <c r="I13" s="1887" t="s">
        <v>14</v>
      </c>
      <c r="J13" s="1887" t="s">
        <v>15</v>
      </c>
      <c r="K13" s="1887" t="s">
        <v>16</v>
      </c>
      <c r="L13" s="1887" t="s">
        <v>17</v>
      </c>
      <c r="M13" s="1887" t="s">
        <v>18</v>
      </c>
      <c r="N13" s="1887" t="s">
        <v>19</v>
      </c>
      <c r="O13" s="1887" t="s">
        <v>20</v>
      </c>
    </row>
    <row r="14" spans="2:15" x14ac:dyDescent="0.25">
      <c r="B14" s="1889"/>
      <c r="C14" s="1887"/>
      <c r="D14" s="1887"/>
      <c r="E14" s="1887"/>
      <c r="F14" s="1887"/>
      <c r="G14" s="1047" t="s">
        <v>21</v>
      </c>
      <c r="H14" s="1887"/>
      <c r="I14" s="1887"/>
      <c r="J14" s="1887"/>
      <c r="K14" s="1887"/>
      <c r="L14" s="1887"/>
      <c r="M14" s="1887"/>
      <c r="N14" s="1887"/>
      <c r="O14" s="18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0" t="s">
        <v>1269</v>
      </c>
      <c r="C50" s="1870"/>
      <c r="D50" s="1870"/>
      <c r="E50" s="753"/>
      <c r="F50" s="753"/>
      <c r="G50" s="754"/>
      <c r="H50" s="755"/>
      <c r="J50" s="1871" t="s">
        <v>852</v>
      </c>
      <c r="K50" s="1871"/>
      <c r="L50" s="1871"/>
      <c r="M50" s="1871"/>
      <c r="N50" s="1871"/>
      <c r="O50" s="1871"/>
    </row>
    <row r="51" spans="2:15" s="259" customFormat="1" ht="19.5" customHeight="1" x14ac:dyDescent="0.25">
      <c r="B51" s="1809" t="s">
        <v>1270</v>
      </c>
      <c r="C51" s="1809"/>
      <c r="D51" s="1809"/>
      <c r="E51" s="753"/>
      <c r="F51" s="753"/>
      <c r="G51" s="754"/>
      <c r="H51" s="755"/>
      <c r="J51" s="1623" t="s">
        <v>1224</v>
      </c>
      <c r="K51" s="1623"/>
      <c r="L51" s="1623"/>
      <c r="M51" s="1623"/>
      <c r="N51" s="1623"/>
      <c r="O51" s="16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0"/>
      <c r="K63" s="1810"/>
      <c r="L63" s="1810"/>
      <c r="M63" s="1810"/>
      <c r="N63" s="1810"/>
      <c r="O63" s="1810"/>
    </row>
    <row r="64" spans="2:15" ht="15.75" x14ac:dyDescent="0.25">
      <c r="B64" s="267"/>
      <c r="C64" s="267"/>
      <c r="D64" s="267"/>
      <c r="E64" s="268"/>
      <c r="F64" s="268"/>
      <c r="G64" s="269"/>
      <c r="H64" s="1738"/>
      <c r="I64" s="1738"/>
      <c r="J64" s="1738"/>
      <c r="K64" s="1738"/>
      <c r="L64" s="173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1" t="s">
        <v>0</v>
      </c>
      <c r="B6" s="1881"/>
      <c r="C6" s="1881"/>
      <c r="D6" s="1881"/>
      <c r="E6" s="1881"/>
      <c r="F6" s="1881"/>
      <c r="G6" s="1881"/>
      <c r="H6" s="1881"/>
      <c r="I6" s="1881"/>
      <c r="J6" s="1881"/>
      <c r="K6" s="1881"/>
      <c r="L6" s="1881"/>
    </row>
    <row r="7" spans="1:12" x14ac:dyDescent="0.25">
      <c r="A7" s="1881" t="s">
        <v>1</v>
      </c>
      <c r="B7" s="1881"/>
      <c r="C7" s="1881"/>
      <c r="D7" s="1881"/>
      <c r="E7" s="1881"/>
      <c r="F7" s="1881"/>
      <c r="G7" s="1881"/>
      <c r="H7" s="1881"/>
      <c r="I7" s="1881"/>
      <c r="J7" s="1881"/>
      <c r="K7" s="1881"/>
      <c r="L7" s="1881"/>
    </row>
    <row r="8" spans="1:12" x14ac:dyDescent="0.25">
      <c r="A8" s="1881" t="s">
        <v>3</v>
      </c>
      <c r="B8" s="1881"/>
      <c r="C8" s="1881"/>
      <c r="D8" s="1881"/>
      <c r="E8" s="1881"/>
      <c r="F8" s="1881"/>
      <c r="G8" s="1881"/>
      <c r="H8" s="1881"/>
      <c r="I8" s="1881"/>
      <c r="J8" s="1881"/>
      <c r="K8" s="1881"/>
      <c r="L8" s="1881"/>
    </row>
    <row r="9" spans="1:12" x14ac:dyDescent="0.25">
      <c r="A9" s="1881" t="s">
        <v>1411</v>
      </c>
      <c r="B9" s="1881"/>
      <c r="C9" s="1881"/>
      <c r="D9" s="1881"/>
      <c r="E9" s="1881"/>
      <c r="F9" s="1881"/>
      <c r="G9" s="1881"/>
      <c r="H9" s="1881"/>
      <c r="I9" s="1881"/>
      <c r="J9" s="1881"/>
      <c r="K9" s="1881"/>
      <c r="L9" s="1881"/>
    </row>
    <row r="10" spans="1:12" x14ac:dyDescent="0.25">
      <c r="A10" s="1872" t="s">
        <v>886</v>
      </c>
      <c r="B10" s="1872"/>
      <c r="C10" s="1872"/>
      <c r="D10" s="1872"/>
      <c r="E10" s="1872"/>
      <c r="F10" s="1872"/>
      <c r="G10" s="1872"/>
      <c r="H10" s="1872"/>
      <c r="I10" s="1872"/>
      <c r="J10" s="1872"/>
      <c r="K10" s="1872"/>
      <c r="L10" s="1872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>+D36</f>
        <v>11500</v>
      </c>
      <c r="E37" s="899">
        <v>0</v>
      </c>
      <c r="F37" s="898">
        <f>+F36</f>
        <v>11500</v>
      </c>
      <c r="G37" s="898">
        <f>+G36</f>
        <v>330.05</v>
      </c>
      <c r="H37" s="898">
        <f>+H36</f>
        <v>1623.06</v>
      </c>
      <c r="I37" s="898">
        <f>+I36</f>
        <v>349.6</v>
      </c>
      <c r="J37" s="899">
        <v>0</v>
      </c>
      <c r="K37" s="898">
        <f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5">SUM(F40:F41)</f>
        <v>51500</v>
      </c>
      <c r="G42" s="898">
        <f t="shared" si="5"/>
        <v>1478.05</v>
      </c>
      <c r="H42" s="898">
        <f t="shared" si="5"/>
        <v>11032.06</v>
      </c>
      <c r="I42" s="898">
        <f t="shared" si="5"/>
        <v>1565.6</v>
      </c>
      <c r="J42" s="898">
        <f t="shared" si="5"/>
        <v>0</v>
      </c>
      <c r="K42" s="898">
        <f t="shared" si="5"/>
        <v>14075.71</v>
      </c>
      <c r="L42" s="898">
        <f t="shared" si="5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>+D45</f>
        <v>11500</v>
      </c>
      <c r="E46" s="899">
        <v>0</v>
      </c>
      <c r="F46" s="898">
        <f>+F45</f>
        <v>11500</v>
      </c>
      <c r="G46" s="898">
        <f>+G45</f>
        <v>330.05</v>
      </c>
      <c r="H46" s="898">
        <f>+H45</f>
        <v>1623.06</v>
      </c>
      <c r="I46" s="898">
        <f>+I45</f>
        <v>349.6</v>
      </c>
      <c r="J46" s="899">
        <v>0</v>
      </c>
      <c r="K46" s="898">
        <f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6">+D49</f>
        <v>40000</v>
      </c>
      <c r="E50" s="899">
        <v>0</v>
      </c>
      <c r="F50" s="898">
        <f t="shared" si="6"/>
        <v>40000</v>
      </c>
      <c r="G50" s="898">
        <f t="shared" si="6"/>
        <v>1148</v>
      </c>
      <c r="H50" s="898">
        <f t="shared" si="6"/>
        <v>9409</v>
      </c>
      <c r="I50" s="898">
        <f t="shared" si="6"/>
        <v>1216</v>
      </c>
      <c r="J50" s="899">
        <v>0</v>
      </c>
      <c r="K50" s="898">
        <f t="shared" si="6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7">+F16+F20+F24+F29+F33+F37+F42+F46+F50</f>
        <v>200500</v>
      </c>
      <c r="G53" s="1077">
        <f t="shared" si="7"/>
        <v>5754.35</v>
      </c>
      <c r="H53" s="1077">
        <f t="shared" si="7"/>
        <v>37657.86</v>
      </c>
      <c r="I53" s="1077">
        <f t="shared" si="7"/>
        <v>6095.2</v>
      </c>
      <c r="J53" s="1045">
        <v>0</v>
      </c>
      <c r="K53" s="1077">
        <f t="shared" si="7"/>
        <v>49507.409999999996</v>
      </c>
      <c r="L53" s="1077">
        <f t="shared" si="7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877" t="s">
        <v>1372</v>
      </c>
      <c r="G66" s="1877"/>
      <c r="H66" s="1877"/>
      <c r="I66" s="1877"/>
      <c r="J66" s="1877"/>
      <c r="K66" s="1877"/>
    </row>
    <row r="67" spans="1:12" x14ac:dyDescent="0.25">
      <c r="A67" s="1083" t="s">
        <v>1238</v>
      </c>
      <c r="B67" s="1083"/>
      <c r="C67" s="921"/>
      <c r="D67" s="915"/>
      <c r="E67" s="915"/>
      <c r="F67" s="1875" t="s">
        <v>1222</v>
      </c>
      <c r="G67" s="1875"/>
      <c r="H67" s="1875"/>
      <c r="I67" s="1875"/>
      <c r="J67" s="1875"/>
      <c r="K67" s="1875"/>
    </row>
    <row r="68" spans="1:12" x14ac:dyDescent="0.25">
      <c r="A68" s="916" t="s">
        <v>1239</v>
      </c>
      <c r="B68" s="916"/>
      <c r="C68" s="915"/>
      <c r="D68" s="915"/>
      <c r="E68" s="923"/>
      <c r="F68" s="1874" t="s">
        <v>1224</v>
      </c>
      <c r="G68" s="1874"/>
      <c r="H68" s="1874"/>
      <c r="I68" s="1874"/>
      <c r="J68" s="1874"/>
      <c r="K68" s="1874"/>
    </row>
    <row r="78" spans="1:12" x14ac:dyDescent="0.25">
      <c r="D78" s="924"/>
      <c r="E78" s="923"/>
      <c r="F78" s="915"/>
      <c r="G78" s="1879"/>
      <c r="H78" s="1879"/>
      <c r="I78" s="1879"/>
      <c r="J78" s="1879"/>
      <c r="K78" s="1879"/>
      <c r="L78" s="1879"/>
    </row>
    <row r="79" spans="1:12" x14ac:dyDescent="0.25">
      <c r="D79" s="925"/>
      <c r="E79" s="1872"/>
      <c r="F79" s="1872"/>
      <c r="G79" s="1872"/>
      <c r="H79" s="1872"/>
      <c r="I79" s="1872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1415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2" t="s">
        <v>1255</v>
      </c>
      <c r="H34" s="1862"/>
      <c r="I34" s="1862"/>
      <c r="J34" s="1862"/>
      <c r="K34" s="1862"/>
      <c r="L34" s="1862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08" t="s">
        <v>852</v>
      </c>
      <c r="H35" s="1808"/>
      <c r="I35" s="1808"/>
      <c r="J35" s="1808"/>
      <c r="K35" s="1808"/>
      <c r="L35" s="180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809" t="s">
        <v>1257</v>
      </c>
      <c r="H36" s="1809"/>
      <c r="I36" s="1809"/>
      <c r="J36" s="1809"/>
      <c r="K36" s="1809"/>
      <c r="L36" s="1809"/>
      <c r="M36" s="537"/>
    </row>
    <row r="37" spans="2:13" x14ac:dyDescent="0.25">
      <c r="B37" s="546"/>
      <c r="C37" s="546"/>
      <c r="D37" s="547"/>
      <c r="E37" s="541"/>
      <c r="F37" s="540"/>
      <c r="G37" s="537"/>
      <c r="H37" s="1810"/>
      <c r="I37" s="1810"/>
      <c r="J37" s="1810"/>
      <c r="K37" s="1810"/>
      <c r="L37" s="1810"/>
      <c r="M37" s="1810"/>
    </row>
    <row r="38" spans="2:13" ht="15.75" x14ac:dyDescent="0.25">
      <c r="B38" s="267"/>
      <c r="C38" s="267"/>
      <c r="D38" s="268"/>
      <c r="E38" s="269"/>
      <c r="F38" s="1738"/>
      <c r="G38" s="1738"/>
      <c r="H38" s="1738"/>
      <c r="I38" s="1738"/>
      <c r="J38" s="1738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1417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862" t="s">
        <v>1255</v>
      </c>
      <c r="H30" s="1862"/>
      <c r="I30" s="1862"/>
      <c r="J30" s="1862"/>
      <c r="K30" s="1862"/>
      <c r="L30" s="1862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808" t="s">
        <v>852</v>
      </c>
      <c r="H31" s="1808"/>
      <c r="I31" s="1808"/>
      <c r="J31" s="1808"/>
      <c r="K31" s="1808"/>
      <c r="L31" s="1808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809" t="s">
        <v>1257</v>
      </c>
      <c r="H32" s="1809"/>
      <c r="I32" s="1809"/>
      <c r="J32" s="1809"/>
      <c r="K32" s="1809"/>
      <c r="L32" s="1809"/>
      <c r="M32" s="537"/>
    </row>
    <row r="33" spans="2:13" x14ac:dyDescent="0.25">
      <c r="B33" s="546"/>
      <c r="C33" s="546"/>
      <c r="D33" s="547"/>
      <c r="E33" s="541"/>
      <c r="F33" s="540"/>
      <c r="G33" s="537"/>
      <c r="H33" s="1810"/>
      <c r="I33" s="1810"/>
      <c r="J33" s="1810"/>
      <c r="K33" s="1810"/>
      <c r="L33" s="1810"/>
      <c r="M33" s="1810"/>
    </row>
    <row r="34" spans="2:13" ht="15.75" x14ac:dyDescent="0.25">
      <c r="B34" s="267"/>
      <c r="C34" s="267"/>
      <c r="D34" s="268"/>
      <c r="E34" s="269"/>
      <c r="F34" s="1738"/>
      <c r="G34" s="1738"/>
      <c r="H34" s="1738"/>
      <c r="I34" s="1738"/>
      <c r="J34" s="1738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4" t="s">
        <v>0</v>
      </c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  <c r="N6" s="1864"/>
    </row>
    <row r="7" spans="2:14" ht="15.75" x14ac:dyDescent="0.25">
      <c r="B7" s="1864" t="s">
        <v>3</v>
      </c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2:14" ht="15.75" x14ac:dyDescent="0.25">
      <c r="B8" s="1864" t="s">
        <v>1419</v>
      </c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  <c r="N8" s="1864"/>
    </row>
    <row r="9" spans="2:14" ht="15.75" x14ac:dyDescent="0.25">
      <c r="B9" s="1882" t="s">
        <v>404</v>
      </c>
      <c r="C9" s="1882"/>
      <c r="D9" s="1882"/>
      <c r="E9" s="1882"/>
      <c r="F9" s="1882"/>
      <c r="G9" s="1882"/>
      <c r="H9" s="1882"/>
      <c r="I9" s="1882"/>
      <c r="J9" s="1882"/>
      <c r="K9" s="1882"/>
      <c r="L9" s="1882"/>
      <c r="M9" s="1882"/>
      <c r="N9" s="1882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83" t="s">
        <v>7</v>
      </c>
      <c r="C11" s="1883" t="s">
        <v>802</v>
      </c>
      <c r="D11" s="1883" t="s">
        <v>9</v>
      </c>
      <c r="E11" s="1883" t="s">
        <v>11</v>
      </c>
      <c r="F11" s="1057" t="s">
        <v>12</v>
      </c>
      <c r="G11" s="1885" t="s">
        <v>13</v>
      </c>
      <c r="H11" s="1886" t="s">
        <v>14</v>
      </c>
      <c r="I11" s="1886" t="s">
        <v>15</v>
      </c>
      <c r="J11" s="1886" t="s">
        <v>16</v>
      </c>
      <c r="K11" s="1886" t="s">
        <v>17</v>
      </c>
      <c r="L11" s="1886" t="s">
        <v>18</v>
      </c>
      <c r="M11" s="1886" t="s">
        <v>19</v>
      </c>
      <c r="N11" s="1886" t="s">
        <v>20</v>
      </c>
    </row>
    <row r="12" spans="2:14" ht="15.75" x14ac:dyDescent="0.25">
      <c r="B12" s="1883"/>
      <c r="C12" s="1883"/>
      <c r="D12" s="1883"/>
      <c r="E12" s="1883"/>
      <c r="F12" s="1057" t="s">
        <v>21</v>
      </c>
      <c r="G12" s="1885"/>
      <c r="H12" s="1886"/>
      <c r="I12" s="1886"/>
      <c r="J12" s="1886"/>
      <c r="K12" s="1886"/>
      <c r="L12" s="1886"/>
      <c r="M12" s="1886"/>
      <c r="N12" s="188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>+I23+J23+K23+L23</f>
        <v>2331.06</v>
      </c>
      <c r="N23" s="951">
        <f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1">SUM(H21:H23)</f>
        <v>176000</v>
      </c>
      <c r="I24" s="963">
        <f t="shared" si="1"/>
        <v>5051.2</v>
      </c>
      <c r="J24" s="963">
        <f t="shared" si="1"/>
        <v>11526.81</v>
      </c>
      <c r="K24" s="963">
        <f t="shared" si="1"/>
        <v>5350.4</v>
      </c>
      <c r="L24" s="963">
        <f t="shared" si="1"/>
        <v>6790.46</v>
      </c>
      <c r="M24" s="963">
        <f t="shared" si="1"/>
        <v>28718.870000000003</v>
      </c>
      <c r="N24" s="963">
        <f t="shared" si="1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2">SUM(F27:F27)</f>
        <v>43500</v>
      </c>
      <c r="G28" s="964">
        <f t="shared" si="2"/>
        <v>0</v>
      </c>
      <c r="H28" s="965">
        <f t="shared" si="2"/>
        <v>43500</v>
      </c>
      <c r="I28" s="965">
        <f t="shared" si="2"/>
        <v>1248.45</v>
      </c>
      <c r="J28" s="965">
        <f t="shared" si="2"/>
        <v>936.62</v>
      </c>
      <c r="K28" s="965">
        <f t="shared" si="2"/>
        <v>1322.4</v>
      </c>
      <c r="L28" s="966">
        <f t="shared" si="2"/>
        <v>1296.7</v>
      </c>
      <c r="M28" s="965">
        <f t="shared" si="2"/>
        <v>4804.17</v>
      </c>
      <c r="N28" s="965">
        <f t="shared" si="2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3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3"/>
        <v>13375.999999999998</v>
      </c>
      <c r="L38" s="963">
        <f t="shared" si="3"/>
        <v>7136.84</v>
      </c>
      <c r="M38" s="963">
        <f t="shared" si="3"/>
        <v>68469.33</v>
      </c>
      <c r="N38" s="963">
        <f t="shared" si="3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8">+I60+J60+K60+L60</f>
        <v>3532.4700000000003</v>
      </c>
      <c r="N60" s="953">
        <f t="shared" ref="N60:N68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0">SUM(H60:H68)</f>
        <v>283500</v>
      </c>
      <c r="I69" s="963">
        <f t="shared" si="10"/>
        <v>8136.45</v>
      </c>
      <c r="J69" s="963">
        <f t="shared" si="10"/>
        <v>936.62</v>
      </c>
      <c r="K69" s="965">
        <f t="shared" si="10"/>
        <v>8618.4</v>
      </c>
      <c r="L69" s="963">
        <f t="shared" si="10"/>
        <v>7112.7999999999993</v>
      </c>
      <c r="M69" s="963">
        <f t="shared" si="10"/>
        <v>24804.269999999997</v>
      </c>
      <c r="N69" s="963">
        <f t="shared" si="10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1">+I72+J72+K72+L72</f>
        <v>3331.06</v>
      </c>
      <c r="N72" s="953">
        <f t="shared" ref="N72:N82" si="12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1"/>
        <v>1602.5</v>
      </c>
      <c r="N73" s="953">
        <f t="shared" si="12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1"/>
        <v>3502.5</v>
      </c>
      <c r="N74" s="953">
        <f t="shared" si="12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1"/>
        <v>3002.5</v>
      </c>
      <c r="N75" s="951">
        <f t="shared" si="12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1"/>
        <v>1502.5</v>
      </c>
      <c r="N76" s="951">
        <f t="shared" si="12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1"/>
        <v>1502.5</v>
      </c>
      <c r="N77" s="951">
        <f t="shared" si="12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1"/>
        <v>3502.5</v>
      </c>
      <c r="N78" s="951">
        <f t="shared" si="12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1"/>
        <v>4502.5</v>
      </c>
      <c r="N79" s="951">
        <f t="shared" si="12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1"/>
        <v>1502.5</v>
      </c>
      <c r="N80" s="951">
        <f t="shared" si="12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1"/>
        <v>3502.5</v>
      </c>
      <c r="N81" s="951">
        <f t="shared" si="12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1"/>
        <v>5701.5599999999995</v>
      </c>
      <c r="N82" s="953">
        <f t="shared" si="12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3">SUM(H72:H83)</f>
        <v>324000</v>
      </c>
      <c r="I84" s="963">
        <f t="shared" si="13"/>
        <v>9298.7999999999993</v>
      </c>
      <c r="J84" s="963">
        <f t="shared" si="13"/>
        <v>89.81</v>
      </c>
      <c r="K84" s="963">
        <f t="shared" si="13"/>
        <v>9849.6</v>
      </c>
      <c r="L84" s="963">
        <f t="shared" si="13"/>
        <v>15714.91</v>
      </c>
      <c r="M84" s="963">
        <f t="shared" si="13"/>
        <v>34953.119999999995</v>
      </c>
      <c r="N84" s="963">
        <f t="shared" si="13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4">SUM(F87:F88)</f>
        <v>132500</v>
      </c>
      <c r="G89" s="964">
        <f t="shared" si="14"/>
        <v>0</v>
      </c>
      <c r="H89" s="965">
        <f t="shared" si="14"/>
        <v>132500</v>
      </c>
      <c r="I89" s="965">
        <f t="shared" si="14"/>
        <v>3802.75</v>
      </c>
      <c r="J89" s="965">
        <f t="shared" si="14"/>
        <v>10929.24</v>
      </c>
      <c r="K89" s="965">
        <f t="shared" si="14"/>
        <v>4028</v>
      </c>
      <c r="L89" s="966">
        <f t="shared" si="14"/>
        <v>1765.46</v>
      </c>
      <c r="M89" s="965">
        <f t="shared" si="14"/>
        <v>20525.449999999997</v>
      </c>
      <c r="N89" s="965">
        <f t="shared" si="14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5">SUM(H92:H93)</f>
        <v>98500</v>
      </c>
      <c r="I94" s="965">
        <f t="shared" si="15"/>
        <v>2826.95</v>
      </c>
      <c r="J94" s="965">
        <f t="shared" si="15"/>
        <v>3496.2999999999997</v>
      </c>
      <c r="K94" s="965">
        <f t="shared" si="15"/>
        <v>2994.4</v>
      </c>
      <c r="L94" s="966">
        <f>SUM(L92:L93)</f>
        <v>1321.7</v>
      </c>
      <c r="M94" s="965">
        <f t="shared" si="15"/>
        <v>10639.35</v>
      </c>
      <c r="N94" s="965">
        <f t="shared" si="15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6">SUM(H97:H99)</f>
        <v>263500</v>
      </c>
      <c r="I100" s="963">
        <f t="shared" si="16"/>
        <v>7562.45</v>
      </c>
      <c r="J100" s="963">
        <f t="shared" si="16"/>
        <v>29228.21</v>
      </c>
      <c r="K100" s="963">
        <f t="shared" si="16"/>
        <v>8010.4</v>
      </c>
      <c r="L100" s="963">
        <f t="shared" si="16"/>
        <v>7493.58</v>
      </c>
      <c r="M100" s="963">
        <f t="shared" si="16"/>
        <v>52294.64</v>
      </c>
      <c r="N100" s="963">
        <f t="shared" si="16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7">SUM(H103:H104)</f>
        <v>87000</v>
      </c>
      <c r="I105" s="963">
        <f t="shared" si="17"/>
        <v>2496.9</v>
      </c>
      <c r="J105" s="963">
        <f t="shared" si="17"/>
        <v>1873.24</v>
      </c>
      <c r="K105" s="963">
        <f t="shared" si="17"/>
        <v>2644.8</v>
      </c>
      <c r="L105" s="963">
        <f t="shared" si="17"/>
        <v>2050</v>
      </c>
      <c r="M105" s="963">
        <f t="shared" si="17"/>
        <v>9064.94</v>
      </c>
      <c r="N105" s="963">
        <f t="shared" si="17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18">SUM(H108:H108)</f>
        <v>80000</v>
      </c>
      <c r="I109" s="965">
        <f t="shared" si="18"/>
        <v>2296</v>
      </c>
      <c r="J109" s="965">
        <f t="shared" si="18"/>
        <v>6972</v>
      </c>
      <c r="K109" s="965">
        <f t="shared" si="18"/>
        <v>2432</v>
      </c>
      <c r="L109" s="965">
        <f t="shared" si="18"/>
        <v>1740.46</v>
      </c>
      <c r="M109" s="965">
        <f t="shared" si="18"/>
        <v>13440.46</v>
      </c>
      <c r="N109" s="965">
        <f t="shared" si="18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19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19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19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19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19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19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0">SUM(F112:F118)</f>
        <v>507500</v>
      </c>
      <c r="G119" s="964">
        <f t="shared" si="20"/>
        <v>0</v>
      </c>
      <c r="H119" s="963">
        <f t="shared" si="20"/>
        <v>507500</v>
      </c>
      <c r="I119" s="963">
        <f t="shared" si="20"/>
        <v>14565.25</v>
      </c>
      <c r="J119" s="963">
        <f t="shared" si="20"/>
        <v>48953.08</v>
      </c>
      <c r="K119" s="963">
        <f t="shared" si="20"/>
        <v>15428</v>
      </c>
      <c r="L119" s="963">
        <f t="shared" si="20"/>
        <v>16070.86</v>
      </c>
      <c r="M119" s="963">
        <f t="shared" si="20"/>
        <v>95017.19</v>
      </c>
      <c r="N119" s="963">
        <f t="shared" si="20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1">SUM(G123:G124)</f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2753</v>
      </c>
      <c r="M125" s="963">
        <f t="shared" si="21"/>
        <v>11069.470000000001</v>
      </c>
      <c r="N125" s="963">
        <f t="shared" si="21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2">+I128+J128+K128+L128</f>
        <v>12956.869999999999</v>
      </c>
      <c r="N128" s="951">
        <f t="shared" ref="N128:N133" si="23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3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2"/>
        <v>6538.18</v>
      </c>
      <c r="N130" s="951">
        <f t="shared" si="23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2"/>
        <v>2331.06</v>
      </c>
      <c r="N131" s="951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2"/>
        <v>8101.31</v>
      </c>
      <c r="N132" s="951">
        <f t="shared" si="23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2"/>
        <v>5835.18</v>
      </c>
      <c r="N133" s="951">
        <f t="shared" si="23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 t="shared" ref="H134:N134" si="24">SUM(H128:H133)</f>
        <v>337500</v>
      </c>
      <c r="I134" s="963">
        <f t="shared" si="24"/>
        <v>9686.25</v>
      </c>
      <c r="J134" s="963">
        <f t="shared" si="24"/>
        <v>17729.399999999998</v>
      </c>
      <c r="K134" s="963">
        <f t="shared" si="24"/>
        <v>10260</v>
      </c>
      <c r="L134" s="963">
        <f t="shared" si="24"/>
        <v>4022.13</v>
      </c>
      <c r="M134" s="963">
        <f t="shared" si="24"/>
        <v>41697.78</v>
      </c>
      <c r="N134" s="963">
        <f t="shared" si="24"/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5">SUM(H137:H139)</f>
        <v>290000</v>
      </c>
      <c r="I140" s="965">
        <f t="shared" si="25"/>
        <v>8323</v>
      </c>
      <c r="J140" s="965">
        <f t="shared" si="25"/>
        <v>36255.85</v>
      </c>
      <c r="K140" s="965">
        <f t="shared" si="25"/>
        <v>8816</v>
      </c>
      <c r="L140" s="966">
        <f t="shared" si="25"/>
        <v>11235.59</v>
      </c>
      <c r="M140" s="965">
        <f t="shared" si="25"/>
        <v>64630.44</v>
      </c>
      <c r="N140" s="965">
        <f t="shared" si="25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6">SUM(F143)</f>
        <v>80000</v>
      </c>
      <c r="G144" s="993">
        <f t="shared" si="26"/>
        <v>0</v>
      </c>
      <c r="H144" s="994">
        <f t="shared" si="26"/>
        <v>80000</v>
      </c>
      <c r="I144" s="994">
        <f t="shared" si="26"/>
        <v>2296</v>
      </c>
      <c r="J144" s="994">
        <f t="shared" si="26"/>
        <v>7400.87</v>
      </c>
      <c r="K144" s="994">
        <f t="shared" si="26"/>
        <v>2432</v>
      </c>
      <c r="L144" s="995">
        <f t="shared" si="26"/>
        <v>2097.1999999999998</v>
      </c>
      <c r="M144" s="994">
        <f>SUM(M143)</f>
        <v>14226.07</v>
      </c>
      <c r="N144" s="994">
        <f t="shared" si="26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7">SUM(F147:F147)</f>
        <v>43500</v>
      </c>
      <c r="G148" s="964">
        <f t="shared" si="27"/>
        <v>0</v>
      </c>
      <c r="H148" s="965">
        <f t="shared" si="27"/>
        <v>43500</v>
      </c>
      <c r="I148" s="965">
        <f t="shared" si="27"/>
        <v>1248.45</v>
      </c>
      <c r="J148" s="996">
        <f t="shared" si="27"/>
        <v>936.62</v>
      </c>
      <c r="K148" s="996">
        <f t="shared" si="27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>SUM(G154)</f>
        <v>0</v>
      </c>
      <c r="H155" s="963">
        <f t="shared" ref="H155:M155" si="28">SUM(H151:H154)</f>
        <v>237000</v>
      </c>
      <c r="I155" s="963">
        <f t="shared" si="28"/>
        <v>6801.9</v>
      </c>
      <c r="J155" s="963">
        <f t="shared" si="28"/>
        <v>14642.59</v>
      </c>
      <c r="K155" s="963">
        <f t="shared" si="28"/>
        <v>7204.7999999999993</v>
      </c>
      <c r="L155" s="963">
        <f t="shared" si="28"/>
        <v>4643.3999999999996</v>
      </c>
      <c r="M155" s="963">
        <f t="shared" si="28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N160" si="29">SUM(H158:H159)</f>
        <v>150000</v>
      </c>
      <c r="I160" s="963">
        <f t="shared" si="29"/>
        <v>4305</v>
      </c>
      <c r="J160" s="963">
        <f t="shared" si="29"/>
        <v>12769.349999999999</v>
      </c>
      <c r="K160" s="963">
        <f t="shared" si="29"/>
        <v>4560</v>
      </c>
      <c r="L160" s="963">
        <f t="shared" si="29"/>
        <v>1556</v>
      </c>
      <c r="M160" s="963">
        <f t="shared" si="29"/>
        <v>23190.35</v>
      </c>
      <c r="N160" s="963">
        <f t="shared" si="29"/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0">SUM(G163:G164)</f>
        <v>0</v>
      </c>
      <c r="H165" s="965">
        <f>SUM(H163:H164)</f>
        <v>123500</v>
      </c>
      <c r="I165" s="965">
        <f t="shared" si="30"/>
        <v>3544.45</v>
      </c>
      <c r="J165" s="965">
        <f t="shared" si="30"/>
        <v>8337.49</v>
      </c>
      <c r="K165" s="965">
        <f t="shared" si="30"/>
        <v>3754.4</v>
      </c>
      <c r="L165" s="966">
        <f t="shared" si="30"/>
        <v>3335.58</v>
      </c>
      <c r="M165" s="965">
        <f>SUM(M163:M164)</f>
        <v>18971.919999999998</v>
      </c>
      <c r="N165" s="965">
        <f t="shared" si="30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1">+I168+J168+K168+L168</f>
        <v>14697.269999999999</v>
      </c>
      <c r="N168" s="951">
        <f t="shared" ref="N168:N178" si="32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1"/>
        <v>3532.4700000000003</v>
      </c>
      <c r="N169" s="951">
        <f t="shared" si="32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1"/>
        <v>3532.4700000000003</v>
      </c>
      <c r="N170" s="951">
        <f t="shared" si="32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1"/>
        <v>3532.4700000000003</v>
      </c>
      <c r="N171" s="951">
        <f t="shared" si="32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1"/>
        <v>3034.06</v>
      </c>
      <c r="N172" s="951">
        <f t="shared" si="32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1"/>
        <v>7854.75</v>
      </c>
      <c r="N173" s="951">
        <f t="shared" si="32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1"/>
        <v>2331.06</v>
      </c>
      <c r="N174" s="953">
        <f t="shared" si="32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1"/>
        <v>3532.4700000000003</v>
      </c>
      <c r="N175" s="953">
        <f t="shared" si="32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1"/>
        <v>2331.06</v>
      </c>
      <c r="N177" s="953">
        <f t="shared" si="32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1"/>
        <v>2331.06</v>
      </c>
      <c r="N178" s="951">
        <f t="shared" si="32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3">SUM(I168:I178)</f>
        <v>14091.7</v>
      </c>
      <c r="J179" s="963">
        <f t="shared" si="33"/>
        <v>12865.19</v>
      </c>
      <c r="K179" s="963">
        <f t="shared" si="33"/>
        <v>14926.4</v>
      </c>
      <c r="L179" s="963">
        <f t="shared" si="33"/>
        <v>8358.32</v>
      </c>
      <c r="M179" s="963">
        <f t="shared" si="33"/>
        <v>50241.61</v>
      </c>
      <c r="N179" s="963">
        <f t="shared" si="33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4">+I182+J182+K182+L182</f>
        <v>23926.87</v>
      </c>
      <c r="N182" s="1031">
        <f t="shared" ref="N182:N214" si="35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4"/>
        <v>23926.87</v>
      </c>
      <c r="N183" s="1032">
        <f t="shared" si="35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4"/>
        <v>10766.880000000001</v>
      </c>
      <c r="N184" s="1032">
        <f t="shared" si="35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4"/>
        <v>12153.869999999999</v>
      </c>
      <c r="N185" s="1032">
        <f t="shared" si="35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4"/>
        <v>9530.48</v>
      </c>
      <c r="N186" s="1032">
        <f t="shared" si="35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4"/>
        <v>15451.01</v>
      </c>
      <c r="N187" s="1032">
        <f t="shared" si="35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5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5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6">+I190+J190+K190+L190</f>
        <v>3532.4700000000003</v>
      </c>
      <c r="N190" s="1032">
        <f t="shared" si="35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6"/>
        <v>5672.17</v>
      </c>
      <c r="N191" s="1032">
        <f t="shared" si="35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6"/>
        <v>1886.65</v>
      </c>
      <c r="N192" s="1032">
        <f t="shared" si="35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6"/>
        <v>1886.65</v>
      </c>
      <c r="N193" s="1031">
        <f t="shared" si="35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6"/>
        <v>1886.65</v>
      </c>
      <c r="N194" s="1031">
        <f t="shared" si="35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6"/>
        <v>1886.65</v>
      </c>
      <c r="N195" s="1031">
        <f t="shared" si="35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6"/>
        <v>3532.4700000000003</v>
      </c>
      <c r="N196" s="1031">
        <f t="shared" si="35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6"/>
        <v>2331.06</v>
      </c>
      <c r="N197" s="1032">
        <f t="shared" si="35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6"/>
        <v>2331.06</v>
      </c>
      <c r="N198" s="1032">
        <f t="shared" si="35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6"/>
        <v>2331.06</v>
      </c>
      <c r="N199" s="1032">
        <f t="shared" si="35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6"/>
        <v>2331.06</v>
      </c>
      <c r="N200" s="1032">
        <f t="shared" si="35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6"/>
        <v>3532.4700000000003</v>
      </c>
      <c r="N202" s="1031">
        <f t="shared" si="35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6"/>
        <v>1502.5</v>
      </c>
      <c r="N203" s="1031">
        <f t="shared" si="35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6"/>
        <v>1502.5</v>
      </c>
      <c r="N204" s="1031">
        <f t="shared" si="35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6"/>
        <v>1502.5</v>
      </c>
      <c r="N205" s="1031">
        <f t="shared" si="35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6"/>
        <v>1502.5</v>
      </c>
      <c r="N206" s="1032">
        <f t="shared" si="35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6"/>
        <v>1502.5</v>
      </c>
      <c r="N207" s="1032">
        <f t="shared" si="35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6"/>
        <v>1798</v>
      </c>
      <c r="N208" s="1032">
        <f t="shared" si="35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6"/>
        <v>1798</v>
      </c>
      <c r="N209" s="1032">
        <f t="shared" si="35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6"/>
        <v>1798</v>
      </c>
      <c r="N210" s="1032">
        <f t="shared" si="35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6"/>
        <v>1798</v>
      </c>
      <c r="N211" s="1031">
        <f t="shared" si="35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6"/>
        <v>3907</v>
      </c>
      <c r="N212" s="1031">
        <f t="shared" si="35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6"/>
        <v>1798</v>
      </c>
      <c r="N213" s="1031">
        <f t="shared" si="35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6"/>
        <v>1798</v>
      </c>
      <c r="N214" s="1031">
        <f t="shared" si="35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37">SUM(H182:H218)</f>
        <v>1625500</v>
      </c>
      <c r="I219" s="963">
        <f t="shared" si="37"/>
        <v>46651.049999999996</v>
      </c>
      <c r="J219" s="963">
        <f t="shared" si="37"/>
        <v>74518.849999999977</v>
      </c>
      <c r="K219" s="963">
        <f t="shared" si="37"/>
        <v>49412.2</v>
      </c>
      <c r="L219" s="963">
        <f t="shared" si="37"/>
        <v>14029.76</v>
      </c>
      <c r="M219" s="963">
        <f t="shared" si="37"/>
        <v>184615.65999999995</v>
      </c>
      <c r="N219" s="963">
        <f t="shared" si="37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38">+H18+H24+H28+H38+H42+H47+H51+H57+H69+H84+H89+H94+H100+H105+H109+H119+H125+H134+H140+H144+H148+H155+H160+H165+H179+H219</f>
        <v>6830500</v>
      </c>
      <c r="I221" s="1076">
        <f t="shared" si="38"/>
        <v>196034.55</v>
      </c>
      <c r="J221" s="1076">
        <f t="shared" si="38"/>
        <v>453996.73999999993</v>
      </c>
      <c r="K221" s="1076">
        <f t="shared" si="38"/>
        <v>205122.51999999996</v>
      </c>
      <c r="L221" s="1076">
        <f t="shared" si="38"/>
        <v>138727.26</v>
      </c>
      <c r="M221" s="1076">
        <f t="shared" si="38"/>
        <v>993456.00999999989</v>
      </c>
      <c r="N221" s="1076">
        <f t="shared" si="38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884" t="s">
        <v>1271</v>
      </c>
      <c r="C245" s="1884"/>
      <c r="D245" s="874"/>
      <c r="E245" s="874"/>
      <c r="F245" s="875"/>
      <c r="G245" s="873"/>
      <c r="H245" s="873"/>
      <c r="I245" s="1869" t="s">
        <v>852</v>
      </c>
      <c r="J245" s="1869"/>
      <c r="K245" s="1869"/>
      <c r="L245" s="1869"/>
      <c r="M245" s="1869"/>
      <c r="N245" s="1869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863" t="s">
        <v>1370</v>
      </c>
      <c r="K246" s="1863"/>
      <c r="L246" s="1863"/>
      <c r="M246" s="1863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1428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0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0"/>
      <c r="M12" s="1620"/>
      <c r="N12" s="1620"/>
      <c r="O12" s="162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>SUM(H30)</f>
        <v>0</v>
      </c>
      <c r="I31" s="695">
        <f t="shared" ref="I31:O31" si="3">SUM(I29:I30)</f>
        <v>185000</v>
      </c>
      <c r="J31" s="695">
        <f t="shared" si="3"/>
        <v>5309.5</v>
      </c>
      <c r="K31" s="695">
        <f t="shared" si="3"/>
        <v>21002.22</v>
      </c>
      <c r="L31" s="695">
        <f t="shared" si="3"/>
        <v>5624</v>
      </c>
      <c r="M31" s="695">
        <f t="shared" si="3"/>
        <v>11055.76</v>
      </c>
      <c r="N31" s="695">
        <f t="shared" si="3"/>
        <v>42991.380000000005</v>
      </c>
      <c r="O31" s="695">
        <f t="shared" si="3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>SUM(H35)</f>
        <v>0</v>
      </c>
      <c r="I36" s="695">
        <f t="shared" ref="I36:O36" si="4">SUM(I34:I35)</f>
        <v>165000</v>
      </c>
      <c r="J36" s="695">
        <f t="shared" si="4"/>
        <v>4735.5</v>
      </c>
      <c r="K36" s="695">
        <f t="shared" si="4"/>
        <v>17487.739999999998</v>
      </c>
      <c r="L36" s="695">
        <f t="shared" si="4"/>
        <v>5016</v>
      </c>
      <c r="M36" s="695">
        <f>SUM(M34:M35)</f>
        <v>2159</v>
      </c>
      <c r="N36" s="695">
        <f t="shared" si="4"/>
        <v>29398.239999999998</v>
      </c>
      <c r="O36" s="695">
        <f t="shared" si="4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5">SUM(I39)</f>
        <v>95000</v>
      </c>
      <c r="J40" s="697">
        <f t="shared" si="5"/>
        <v>2726.5</v>
      </c>
      <c r="K40" s="697">
        <f t="shared" si="5"/>
        <v>10929.24</v>
      </c>
      <c r="L40" s="697">
        <f t="shared" si="5"/>
        <v>2888</v>
      </c>
      <c r="M40" s="697">
        <f t="shared" si="5"/>
        <v>2134</v>
      </c>
      <c r="N40" s="697">
        <f t="shared" si="5"/>
        <v>18677.739999999998</v>
      </c>
      <c r="O40" s="697">
        <f t="shared" si="5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6">SUM(I43)</f>
        <v>95000</v>
      </c>
      <c r="J44" s="697">
        <f t="shared" si="6"/>
        <v>2726.5</v>
      </c>
      <c r="K44" s="697">
        <f t="shared" si="6"/>
        <v>10929.24</v>
      </c>
      <c r="L44" s="697">
        <f t="shared" si="6"/>
        <v>2888</v>
      </c>
      <c r="M44" s="697">
        <f>SUM(M43)</f>
        <v>8637.92</v>
      </c>
      <c r="N44" s="697">
        <f t="shared" si="6"/>
        <v>25181.659999999996</v>
      </c>
      <c r="O44" s="697">
        <f t="shared" si="6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>SUM(H49)</f>
        <v>0</v>
      </c>
      <c r="I50" s="697">
        <f t="shared" ref="I50:N50" si="7">SUM(I48:I49)</f>
        <v>150000</v>
      </c>
      <c r="J50" s="697">
        <f t="shared" si="7"/>
        <v>4305</v>
      </c>
      <c r="K50" s="697">
        <f t="shared" si="7"/>
        <v>13959.37</v>
      </c>
      <c r="L50" s="697">
        <f t="shared" si="7"/>
        <v>4560</v>
      </c>
      <c r="M50" s="697">
        <f t="shared" si="7"/>
        <v>50</v>
      </c>
      <c r="N50" s="697">
        <f t="shared" si="7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>SUM(H54)</f>
        <v>0</v>
      </c>
      <c r="I55" s="697">
        <f t="shared" ref="I55:O55" si="8">SUM(I53:I54)</f>
        <v>175000</v>
      </c>
      <c r="J55" s="697">
        <f t="shared" si="8"/>
        <v>5022.5</v>
      </c>
      <c r="K55" s="697">
        <f t="shared" si="8"/>
        <v>19369.55</v>
      </c>
      <c r="L55" s="697">
        <f t="shared" si="8"/>
        <v>5320</v>
      </c>
      <c r="M55" s="697">
        <f>SUM(M53:M54)</f>
        <v>2593.4</v>
      </c>
      <c r="N55" s="697">
        <f t="shared" si="8"/>
        <v>32305.45</v>
      </c>
      <c r="O55" s="697">
        <f t="shared" si="8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9">+J58+K58+L58+M58</f>
        <v>25398.49</v>
      </c>
      <c r="O58" s="498">
        <f t="shared" ref="O58:O64" si="10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9"/>
        <v>25398.49</v>
      </c>
      <c r="O62" s="498">
        <f t="shared" si="10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9"/>
        <v>22455.239999999998</v>
      </c>
      <c r="O63" s="498">
        <f t="shared" si="10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9"/>
        <v>23741.839999999997</v>
      </c>
      <c r="O64" s="626">
        <f t="shared" si="10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>SUM(H64)</f>
        <v>0</v>
      </c>
      <c r="I65" s="697">
        <f t="shared" ref="I65:O65" si="11">SUM(I58:I64)</f>
        <v>855000</v>
      </c>
      <c r="J65" s="697">
        <f t="shared" si="11"/>
        <v>24538.5</v>
      </c>
      <c r="K65" s="697">
        <f t="shared" si="11"/>
        <v>120768.57000000002</v>
      </c>
      <c r="L65" s="697">
        <f t="shared" si="11"/>
        <v>25992</v>
      </c>
      <c r="M65" s="697">
        <f t="shared" si="11"/>
        <v>1890.46</v>
      </c>
      <c r="N65" s="697">
        <f t="shared" si="11"/>
        <v>173189.53</v>
      </c>
      <c r="O65" s="697">
        <f t="shared" si="11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>SUM(H71)</f>
        <v>0</v>
      </c>
      <c r="I72" s="695">
        <f t="shared" ref="I72:O72" si="12">SUM(I68:I71)</f>
        <v>350000</v>
      </c>
      <c r="J72" s="695">
        <f t="shared" si="12"/>
        <v>10045</v>
      </c>
      <c r="K72" s="695">
        <f t="shared" si="12"/>
        <v>38090.26</v>
      </c>
      <c r="L72" s="695">
        <f t="shared" si="12"/>
        <v>10640</v>
      </c>
      <c r="M72" s="695">
        <f t="shared" si="12"/>
        <v>100</v>
      </c>
      <c r="N72" s="695">
        <f t="shared" si="12"/>
        <v>58875.26</v>
      </c>
      <c r="O72" s="695">
        <f t="shared" si="12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69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>SUM(H80)</f>
        <v>0</v>
      </c>
      <c r="I81" s="695">
        <f t="shared" ref="I81:O81" si="14">SUM(I79:I80)</f>
        <v>120000</v>
      </c>
      <c r="J81" s="695">
        <f t="shared" si="14"/>
        <v>3444</v>
      </c>
      <c r="K81" s="695">
        <f t="shared" si="14"/>
        <v>6973.36</v>
      </c>
      <c r="L81" s="695">
        <f t="shared" si="14"/>
        <v>3648</v>
      </c>
      <c r="M81" s="695">
        <f>SUM(M79:M80)</f>
        <v>50</v>
      </c>
      <c r="N81" s="695">
        <f t="shared" si="14"/>
        <v>14115.36</v>
      </c>
      <c r="O81" s="695">
        <f t="shared" si="14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15">SUM(H88)</f>
        <v>0</v>
      </c>
      <c r="I89" s="695">
        <f t="shared" si="15"/>
        <v>120000</v>
      </c>
      <c r="J89" s="695">
        <f t="shared" si="15"/>
        <v>3444</v>
      </c>
      <c r="K89" s="695">
        <f t="shared" si="15"/>
        <v>16809.87</v>
      </c>
      <c r="L89" s="695">
        <f t="shared" si="15"/>
        <v>3648</v>
      </c>
      <c r="M89" s="695">
        <f>SUM(M88)</f>
        <v>4169.3999999999996</v>
      </c>
      <c r="N89" s="695">
        <f t="shared" si="15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16">+J91+K91+L91+M91</f>
        <v>9530.48</v>
      </c>
      <c r="O91" s="468">
        <f t="shared" ref="O91:O96" si="17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16"/>
        <v>9530.48</v>
      </c>
      <c r="O93" s="468">
        <f t="shared" si="17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16"/>
        <v>8294.08</v>
      </c>
      <c r="O94" s="468">
        <f t="shared" si="17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16"/>
        <v>8294.08</v>
      </c>
      <c r="O95" s="468">
        <f t="shared" si="17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16"/>
        <v>5835.18</v>
      </c>
      <c r="O96" s="468">
        <f t="shared" si="17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>SUM(H96)</f>
        <v>0</v>
      </c>
      <c r="I97" s="695">
        <f t="shared" ref="I97:N97" si="18">SUM(I91:I96)</f>
        <v>395000</v>
      </c>
      <c r="J97" s="695">
        <f t="shared" si="18"/>
        <v>11336.5</v>
      </c>
      <c r="K97" s="695">
        <f t="shared" si="18"/>
        <v>27520.28</v>
      </c>
      <c r="L97" s="695">
        <f t="shared" si="18"/>
        <v>12008</v>
      </c>
      <c r="M97" s="695">
        <f>SUM(M91:M96)</f>
        <v>150</v>
      </c>
      <c r="N97" s="695">
        <f t="shared" si="18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19">SUM(H100)</f>
        <v>0</v>
      </c>
      <c r="I101" s="695">
        <f t="shared" si="19"/>
        <v>70000</v>
      </c>
      <c r="J101" s="695">
        <f t="shared" si="19"/>
        <v>2009</v>
      </c>
      <c r="K101" s="695">
        <f t="shared" si="19"/>
        <v>5368.48</v>
      </c>
      <c r="L101" s="695">
        <f t="shared" si="19"/>
        <v>2128</v>
      </c>
      <c r="M101" s="695">
        <f>SUM(M100)</f>
        <v>525</v>
      </c>
      <c r="N101" s="695">
        <f>SUM(N100)</f>
        <v>10030.48</v>
      </c>
      <c r="O101" s="695">
        <f t="shared" si="19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>+J105+K105+L105+M105</f>
        <v>23926.87</v>
      </c>
      <c r="O105" s="468">
        <f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20">+J107+K107+L107+M107</f>
        <v>9530.48</v>
      </c>
      <c r="O107" s="468">
        <f t="shared" ref="O107:O117" si="2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20"/>
        <v>10902.84</v>
      </c>
      <c r="O109" s="468">
        <f t="shared" si="2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20"/>
        <v>12275.210000000001</v>
      </c>
      <c r="O110" s="468">
        <f t="shared" si="2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20"/>
        <v>10902.84</v>
      </c>
      <c r="O111" s="468">
        <f t="shared" si="2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20"/>
        <v>9530.48</v>
      </c>
      <c r="O112" s="468">
        <f t="shared" si="2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20"/>
        <v>9530.48</v>
      </c>
      <c r="O113" s="468">
        <f t="shared" si="2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20"/>
        <v>9530.48</v>
      </c>
      <c r="O114" s="468">
        <f t="shared" si="2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20"/>
        <v>9530.48</v>
      </c>
      <c r="O115" s="468">
        <f t="shared" si="2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20"/>
        <v>9530.48</v>
      </c>
      <c r="O116" s="468">
        <f t="shared" si="2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ref="O119:O134" si="2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20"/>
        <v>8294.08</v>
      </c>
      <c r="O122" s="468">
        <f t="shared" si="2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20"/>
        <v>8294.08</v>
      </c>
      <c r="O123" s="468">
        <f t="shared" si="2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20"/>
        <v>8294.08</v>
      </c>
      <c r="O124" s="468">
        <f t="shared" si="2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20"/>
        <v>8294.08</v>
      </c>
      <c r="O125" s="468">
        <f t="shared" si="2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20"/>
        <v>8294.08</v>
      </c>
      <c r="O126" s="468">
        <f t="shared" si="2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>+J128+K128+L128+M128</f>
        <v>8294.08</v>
      </c>
      <c r="O128" s="468">
        <f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>+J130+K130+L130+M130</f>
        <v>8294.08</v>
      </c>
      <c r="O130" s="468">
        <f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>+J132+K132+L132+M132</f>
        <v>3832.83</v>
      </c>
      <c r="O132" s="468">
        <f t="shared" si="2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>+J133+K133+L133+M133</f>
        <v>5290.97</v>
      </c>
      <c r="O133" s="468">
        <f t="shared" si="2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>+J134+K134+L134+M134</f>
        <v>3532.4700000000003</v>
      </c>
      <c r="O134" s="468">
        <f t="shared" si="2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>+J135+K135+L135+M135</f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>+J136+K136+L136+M136</f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23">SUM(I105:I136)</f>
        <v>2145500</v>
      </c>
      <c r="J137" s="695">
        <f t="shared" si="23"/>
        <v>61575.849999999991</v>
      </c>
      <c r="K137" s="695">
        <f t="shared" si="23"/>
        <v>158968.96999999994</v>
      </c>
      <c r="L137" s="695">
        <f t="shared" si="23"/>
        <v>65223.200000000004</v>
      </c>
      <c r="M137" s="695">
        <f t="shared" si="23"/>
        <v>11092.759999999998</v>
      </c>
      <c r="N137" s="695">
        <f t="shared" si="23"/>
        <v>296860.77999999974</v>
      </c>
      <c r="O137" s="695">
        <f t="shared" si="23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24">+I16+I20+I26+I31+I36+I40+I44+I50+I55+I65+I72+I76+I81+I85+I89+I97+I101+I137</f>
        <v>5750500</v>
      </c>
      <c r="J139" s="1055">
        <f t="shared" si="24"/>
        <v>165039.34999999998</v>
      </c>
      <c r="K139" s="1055">
        <f t="shared" si="24"/>
        <v>576412.86</v>
      </c>
      <c r="L139" s="1055">
        <f t="shared" si="24"/>
        <v>174815.2</v>
      </c>
      <c r="M139" s="1055">
        <f t="shared" si="24"/>
        <v>63956.600000000006</v>
      </c>
      <c r="N139" s="1055">
        <f t="shared" si="24"/>
        <v>980223.90999999968</v>
      </c>
      <c r="O139" s="1055">
        <f t="shared" si="24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622" t="s">
        <v>1375</v>
      </c>
      <c r="J156" s="1622"/>
      <c r="K156" s="1622"/>
      <c r="L156" s="1622"/>
      <c r="M156" s="1622"/>
      <c r="N156" s="1622"/>
      <c r="O156" s="1622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623" t="s">
        <v>1224</v>
      </c>
      <c r="J157" s="1623"/>
      <c r="K157" s="1623"/>
      <c r="L157" s="1623"/>
      <c r="M157" s="1623"/>
      <c r="N157" s="1623"/>
      <c r="O157" s="1623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1429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887" t="s">
        <v>937</v>
      </c>
      <c r="D13" s="1887" t="s">
        <v>8</v>
      </c>
      <c r="E13" s="1887" t="s">
        <v>10</v>
      </c>
      <c r="F13" s="1887" t="s">
        <v>11</v>
      </c>
      <c r="G13" s="1047" t="s">
        <v>12</v>
      </c>
      <c r="H13" s="1887" t="s">
        <v>13</v>
      </c>
      <c r="I13" s="1887" t="s">
        <v>14</v>
      </c>
      <c r="J13" s="1887" t="s">
        <v>15</v>
      </c>
      <c r="K13" s="1887" t="s">
        <v>16</v>
      </c>
      <c r="L13" s="1887" t="s">
        <v>17</v>
      </c>
      <c r="M13" s="1887" t="s">
        <v>18</v>
      </c>
      <c r="N13" s="1887" t="s">
        <v>19</v>
      </c>
      <c r="O13" s="1887" t="s">
        <v>20</v>
      </c>
    </row>
    <row r="14" spans="2:15" x14ac:dyDescent="0.25">
      <c r="B14" s="1889"/>
      <c r="C14" s="1887"/>
      <c r="D14" s="1887"/>
      <c r="E14" s="1887"/>
      <c r="F14" s="1887"/>
      <c r="G14" s="1047" t="s">
        <v>21</v>
      </c>
      <c r="H14" s="1887"/>
      <c r="I14" s="1887"/>
      <c r="J14" s="1887"/>
      <c r="K14" s="1887"/>
      <c r="L14" s="1887"/>
      <c r="M14" s="1887"/>
      <c r="N14" s="1887"/>
      <c r="O14" s="18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0" t="s">
        <v>1269</v>
      </c>
      <c r="C50" s="1870"/>
      <c r="D50" s="1870"/>
      <c r="E50" s="753"/>
      <c r="F50" s="753"/>
      <c r="G50" s="754"/>
      <c r="H50" s="755"/>
      <c r="J50" s="1871" t="s">
        <v>852</v>
      </c>
      <c r="K50" s="1871"/>
      <c r="L50" s="1871"/>
      <c r="M50" s="1871"/>
      <c r="N50" s="1871"/>
      <c r="O50" s="1871"/>
    </row>
    <row r="51" spans="2:15" s="259" customFormat="1" ht="19.5" customHeight="1" x14ac:dyDescent="0.25">
      <c r="B51" s="1809" t="s">
        <v>1270</v>
      </c>
      <c r="C51" s="1809"/>
      <c r="D51" s="1809"/>
      <c r="E51" s="753"/>
      <c r="F51" s="753"/>
      <c r="G51" s="754"/>
      <c r="H51" s="755"/>
      <c r="J51" s="1623" t="s">
        <v>1224</v>
      </c>
      <c r="K51" s="1623"/>
      <c r="L51" s="1623"/>
      <c r="M51" s="1623"/>
      <c r="N51" s="1623"/>
      <c r="O51" s="16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0"/>
      <c r="K63" s="1810"/>
      <c r="L63" s="1810"/>
      <c r="M63" s="1810"/>
      <c r="N63" s="1810"/>
      <c r="O63" s="1810"/>
    </row>
    <row r="64" spans="2:15" ht="15.75" x14ac:dyDescent="0.25">
      <c r="B64" s="267"/>
      <c r="C64" s="267"/>
      <c r="D64" s="267"/>
      <c r="E64" s="268"/>
      <c r="F64" s="268"/>
      <c r="G64" s="269"/>
      <c r="H64" s="1738"/>
      <c r="I64" s="1738"/>
      <c r="J64" s="1738"/>
      <c r="K64" s="1738"/>
      <c r="L64" s="173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81" t="s">
        <v>0</v>
      </c>
      <c r="B6" s="1881"/>
      <c r="C6" s="1881"/>
      <c r="D6" s="1881"/>
      <c r="E6" s="1881"/>
      <c r="F6" s="1881"/>
      <c r="G6" s="1881"/>
      <c r="H6" s="1881"/>
      <c r="I6" s="1881"/>
      <c r="J6" s="1881"/>
      <c r="K6" s="1881"/>
      <c r="L6" s="1881"/>
    </row>
    <row r="7" spans="1:12" x14ac:dyDescent="0.25">
      <c r="A7" s="1881" t="s">
        <v>1</v>
      </c>
      <c r="B7" s="1881"/>
      <c r="C7" s="1881"/>
      <c r="D7" s="1881"/>
      <c r="E7" s="1881"/>
      <c r="F7" s="1881"/>
      <c r="G7" s="1881"/>
      <c r="H7" s="1881"/>
      <c r="I7" s="1881"/>
      <c r="J7" s="1881"/>
      <c r="K7" s="1881"/>
      <c r="L7" s="1881"/>
    </row>
    <row r="8" spans="1:12" x14ac:dyDescent="0.25">
      <c r="A8" s="1881" t="s">
        <v>3</v>
      </c>
      <c r="B8" s="1881"/>
      <c r="C8" s="1881"/>
      <c r="D8" s="1881"/>
      <c r="E8" s="1881"/>
      <c r="F8" s="1881"/>
      <c r="G8" s="1881"/>
      <c r="H8" s="1881"/>
      <c r="I8" s="1881"/>
      <c r="J8" s="1881"/>
      <c r="K8" s="1881"/>
      <c r="L8" s="1881"/>
    </row>
    <row r="9" spans="1:12" x14ac:dyDescent="0.25">
      <c r="A9" s="1881" t="s">
        <v>1430</v>
      </c>
      <c r="B9" s="1881"/>
      <c r="C9" s="1881"/>
      <c r="D9" s="1881"/>
      <c r="E9" s="1881"/>
      <c r="F9" s="1881"/>
      <c r="G9" s="1881"/>
      <c r="H9" s="1881"/>
      <c r="I9" s="1881"/>
      <c r="J9" s="1881"/>
      <c r="K9" s="1881"/>
      <c r="L9" s="1881"/>
    </row>
    <row r="10" spans="1:12" x14ac:dyDescent="0.25">
      <c r="A10" s="1872" t="s">
        <v>886</v>
      </c>
      <c r="B10" s="1872"/>
      <c r="C10" s="1872"/>
      <c r="D10" s="1872"/>
      <c r="E10" s="1872"/>
      <c r="F10" s="1872"/>
      <c r="G10" s="1872"/>
      <c r="H10" s="1872"/>
      <c r="I10" s="1872"/>
      <c r="J10" s="1872"/>
      <c r="K10" s="1872"/>
      <c r="L10" s="1872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>+D39</f>
        <v>11500</v>
      </c>
      <c r="E40" s="899">
        <v>0</v>
      </c>
      <c r="F40" s="898">
        <f>+F39</f>
        <v>11500</v>
      </c>
      <c r="G40" s="898">
        <f>+G39</f>
        <v>330.05</v>
      </c>
      <c r="H40" s="898">
        <f>+H39</f>
        <v>1623.06</v>
      </c>
      <c r="I40" s="898">
        <f>+I39</f>
        <v>349.6</v>
      </c>
      <c r="J40" s="899">
        <v>0</v>
      </c>
      <c r="K40" s="898">
        <f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5">SUM(F43:F44)</f>
        <v>51500</v>
      </c>
      <c r="G45" s="898">
        <f t="shared" si="5"/>
        <v>1478.05</v>
      </c>
      <c r="H45" s="898">
        <f t="shared" si="5"/>
        <v>11032.06</v>
      </c>
      <c r="I45" s="898">
        <f t="shared" si="5"/>
        <v>1565.6</v>
      </c>
      <c r="J45" s="899">
        <v>0</v>
      </c>
      <c r="K45" s="898">
        <f t="shared" si="5"/>
        <v>14075.71</v>
      </c>
      <c r="L45" s="898">
        <f t="shared" si="5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>+D48</f>
        <v>11500</v>
      </c>
      <c r="E49" s="899">
        <v>0</v>
      </c>
      <c r="F49" s="898">
        <f>+F48</f>
        <v>11500</v>
      </c>
      <c r="G49" s="898">
        <f>+G48</f>
        <v>330.05</v>
      </c>
      <c r="H49" s="898">
        <f>+H48</f>
        <v>1623.06</v>
      </c>
      <c r="I49" s="898">
        <f>+I48</f>
        <v>349.6</v>
      </c>
      <c r="J49" s="899">
        <v>0</v>
      </c>
      <c r="K49" s="898">
        <f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6">+D52</f>
        <v>40000</v>
      </c>
      <c r="E53" s="899">
        <v>0</v>
      </c>
      <c r="F53" s="898">
        <f t="shared" si="6"/>
        <v>40000</v>
      </c>
      <c r="G53" s="898">
        <f t="shared" si="6"/>
        <v>1148</v>
      </c>
      <c r="H53" s="898">
        <f t="shared" si="6"/>
        <v>9409</v>
      </c>
      <c r="I53" s="898">
        <f t="shared" si="6"/>
        <v>1216</v>
      </c>
      <c r="J53" s="899">
        <v>0</v>
      </c>
      <c r="K53" s="898">
        <f t="shared" si="6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7">+F16+F20+F24+F32+F36+F40+F45+F49+F53+F27</f>
        <v>218000</v>
      </c>
      <c r="G56" s="1077">
        <f t="shared" si="7"/>
        <v>6256.6</v>
      </c>
      <c r="H56" s="1077">
        <f t="shared" si="7"/>
        <v>40127.730000000003</v>
      </c>
      <c r="I56" s="1077">
        <f t="shared" si="7"/>
        <v>6627.2</v>
      </c>
      <c r="J56" s="1045">
        <v>0</v>
      </c>
      <c r="K56" s="1077">
        <f t="shared" si="7"/>
        <v>53011.53</v>
      </c>
      <c r="L56" s="1077">
        <f t="shared" si="7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877" t="s">
        <v>1372</v>
      </c>
      <c r="G69" s="1877"/>
      <c r="H69" s="1877"/>
      <c r="I69" s="1877"/>
      <c r="J69" s="1877"/>
      <c r="K69" s="1877"/>
    </row>
    <row r="70" spans="1:11" x14ac:dyDescent="0.25">
      <c r="A70" s="1083" t="s">
        <v>1238</v>
      </c>
      <c r="B70" s="1083"/>
      <c r="C70" s="921"/>
      <c r="D70" s="915"/>
      <c r="E70" s="915"/>
      <c r="F70" s="1875" t="s">
        <v>1222</v>
      </c>
      <c r="G70" s="1875"/>
      <c r="H70" s="1875"/>
      <c r="I70" s="1875"/>
      <c r="J70" s="1875"/>
      <c r="K70" s="1875"/>
    </row>
    <row r="71" spans="1:11" x14ac:dyDescent="0.25">
      <c r="A71" s="916" t="s">
        <v>1239</v>
      </c>
      <c r="B71" s="916"/>
      <c r="C71" s="915"/>
      <c r="D71" s="915"/>
      <c r="E71" s="923"/>
      <c r="F71" s="1874" t="s">
        <v>1224</v>
      </c>
      <c r="G71" s="1874"/>
      <c r="H71" s="1874"/>
      <c r="I71" s="1874"/>
      <c r="J71" s="1874"/>
      <c r="K71" s="1874"/>
    </row>
    <row r="81" spans="4:12" x14ac:dyDescent="0.25">
      <c r="D81" s="924"/>
      <c r="E81" s="923"/>
      <c r="F81" s="915"/>
      <c r="G81" s="1879"/>
      <c r="H81" s="1879"/>
      <c r="I81" s="1879"/>
      <c r="J81" s="1879"/>
      <c r="K81" s="1879"/>
      <c r="L81" s="1879"/>
    </row>
    <row r="82" spans="4:12" x14ac:dyDescent="0.25">
      <c r="D82" s="925"/>
      <c r="E82" s="1872"/>
      <c r="F82" s="1872"/>
      <c r="G82" s="1872"/>
      <c r="H82" s="1872"/>
      <c r="I82" s="1872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1431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2" t="s">
        <v>1255</v>
      </c>
      <c r="H34" s="1862"/>
      <c r="I34" s="1862"/>
      <c r="J34" s="1862"/>
      <c r="K34" s="1862"/>
      <c r="L34" s="1862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08" t="s">
        <v>852</v>
      </c>
      <c r="H35" s="1808"/>
      <c r="I35" s="1808"/>
      <c r="J35" s="1808"/>
      <c r="K35" s="1808"/>
      <c r="L35" s="180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809" t="s">
        <v>1257</v>
      </c>
      <c r="H36" s="1809"/>
      <c r="I36" s="1809"/>
      <c r="J36" s="1809"/>
      <c r="K36" s="1809"/>
      <c r="L36" s="1809"/>
      <c r="M36" s="537"/>
    </row>
    <row r="37" spans="2:13" x14ac:dyDescent="0.25">
      <c r="B37" s="546"/>
      <c r="C37" s="546"/>
      <c r="D37" s="547"/>
      <c r="E37" s="541"/>
      <c r="F37" s="540"/>
      <c r="G37" s="537"/>
      <c r="H37" s="1810"/>
      <c r="I37" s="1810"/>
      <c r="J37" s="1810"/>
      <c r="K37" s="1810"/>
      <c r="L37" s="1810"/>
      <c r="M37" s="1810"/>
    </row>
    <row r="38" spans="2:13" ht="15.75" x14ac:dyDescent="0.25">
      <c r="B38" s="267"/>
      <c r="C38" s="267"/>
      <c r="D38" s="268"/>
      <c r="E38" s="269"/>
      <c r="F38" s="1738"/>
      <c r="G38" s="1738"/>
      <c r="H38" s="1738"/>
      <c r="I38" s="1738"/>
      <c r="J38" s="1738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1432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2" t="s">
        <v>1255</v>
      </c>
      <c r="H31" s="1862"/>
      <c r="I31" s="1862"/>
      <c r="J31" s="1862"/>
      <c r="K31" s="1862"/>
      <c r="L31" s="186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8" t="s">
        <v>852</v>
      </c>
      <c r="H32" s="1808"/>
      <c r="I32" s="1808"/>
      <c r="J32" s="1808"/>
      <c r="K32" s="1808"/>
      <c r="L32" s="180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09" t="s">
        <v>1257</v>
      </c>
      <c r="H33" s="1809"/>
      <c r="I33" s="1809"/>
      <c r="J33" s="1809"/>
      <c r="K33" s="1809"/>
      <c r="L33" s="1809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0"/>
      <c r="I34" s="1810"/>
      <c r="J34" s="1810"/>
      <c r="K34" s="1810"/>
      <c r="L34" s="1810"/>
      <c r="M34" s="1810"/>
    </row>
    <row r="35" spans="2:13" ht="15.75" x14ac:dyDescent="0.25">
      <c r="B35" s="267"/>
      <c r="C35" s="267"/>
      <c r="D35" s="268"/>
      <c r="E35" s="269"/>
      <c r="F35" s="1738"/>
      <c r="G35" s="1738"/>
      <c r="H35" s="1738"/>
      <c r="I35" s="1738"/>
      <c r="J35" s="173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864" t="s">
        <v>0</v>
      </c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  <c r="N6" s="1864"/>
    </row>
    <row r="7" spans="1:15" ht="15.75" x14ac:dyDescent="0.25">
      <c r="A7" s="1864" t="s">
        <v>1450</v>
      </c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  <c r="O7" s="1864"/>
    </row>
    <row r="8" spans="1:15" ht="15.75" x14ac:dyDescent="0.25">
      <c r="B8" s="1864" t="s">
        <v>3</v>
      </c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  <c r="N8" s="1864"/>
    </row>
    <row r="9" spans="1:15" ht="15.75" x14ac:dyDescent="0.25">
      <c r="B9" s="1864" t="s">
        <v>1451</v>
      </c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  <c r="N9" s="1864"/>
    </row>
    <row r="10" spans="1:15" ht="15.75" x14ac:dyDescent="0.25">
      <c r="B10" s="1882" t="s">
        <v>404</v>
      </c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  <c r="N10" s="1882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883" t="s">
        <v>7</v>
      </c>
      <c r="C12" s="1883" t="s">
        <v>802</v>
      </c>
      <c r="D12" s="1883" t="s">
        <v>9</v>
      </c>
      <c r="E12" s="1883" t="s">
        <v>11</v>
      </c>
      <c r="F12" s="1057" t="s">
        <v>12</v>
      </c>
      <c r="G12" s="1885" t="s">
        <v>13</v>
      </c>
      <c r="H12" s="1886" t="s">
        <v>14</v>
      </c>
      <c r="I12" s="1886" t="s">
        <v>15</v>
      </c>
      <c r="J12" s="1886" t="s">
        <v>16</v>
      </c>
      <c r="K12" s="1886" t="s">
        <v>17</v>
      </c>
      <c r="L12" s="1886" t="s">
        <v>18</v>
      </c>
      <c r="M12" s="1886" t="s">
        <v>19</v>
      </c>
      <c r="N12" s="1886" t="s">
        <v>20</v>
      </c>
    </row>
    <row r="13" spans="1:15" ht="15.75" x14ac:dyDescent="0.25">
      <c r="B13" s="1883"/>
      <c r="C13" s="1883"/>
      <c r="D13" s="1883"/>
      <c r="E13" s="1883"/>
      <c r="F13" s="1057" t="s">
        <v>21</v>
      </c>
      <c r="G13" s="1885"/>
      <c r="H13" s="1886"/>
      <c r="I13" s="1886"/>
      <c r="J13" s="1886"/>
      <c r="K13" s="1886"/>
      <c r="L13" s="1886"/>
      <c r="M13" s="1886"/>
      <c r="N13" s="1886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>+I24+J24+K24+L24</f>
        <v>2331.06</v>
      </c>
      <c r="N24" s="951">
        <f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1">SUM(H22:H24)</f>
        <v>176000</v>
      </c>
      <c r="I25" s="963">
        <f>SUM(I22:I24)</f>
        <v>5051.2</v>
      </c>
      <c r="J25" s="963">
        <f t="shared" si="1"/>
        <v>11526.81</v>
      </c>
      <c r="K25" s="963">
        <f t="shared" si="1"/>
        <v>5350.4</v>
      </c>
      <c r="L25" s="963">
        <f t="shared" si="1"/>
        <v>6790.46</v>
      </c>
      <c r="M25" s="963">
        <f t="shared" si="1"/>
        <v>28718.870000000003</v>
      </c>
      <c r="N25" s="963">
        <f t="shared" si="1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2">SUM(F28:F28)</f>
        <v>43500</v>
      </c>
      <c r="G29" s="964">
        <f t="shared" si="2"/>
        <v>0</v>
      </c>
      <c r="H29" s="965">
        <f t="shared" si="2"/>
        <v>43500</v>
      </c>
      <c r="I29" s="965">
        <f t="shared" si="2"/>
        <v>1248.45</v>
      </c>
      <c r="J29" s="963">
        <f t="shared" si="2"/>
        <v>936.62</v>
      </c>
      <c r="K29" s="965">
        <f t="shared" si="2"/>
        <v>1322.4</v>
      </c>
      <c r="L29" s="963">
        <f t="shared" si="2"/>
        <v>1296.7</v>
      </c>
      <c r="M29" s="965">
        <f t="shared" si="2"/>
        <v>4804.17</v>
      </c>
      <c r="N29" s="965">
        <f t="shared" si="2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>+I39+J39+K39+L39</f>
        <v>5835.18</v>
      </c>
      <c r="N39" s="951">
        <f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3">SUM(H32:H40)</f>
        <v>538500</v>
      </c>
      <c r="I41" s="963">
        <f t="shared" si="3"/>
        <v>15454.950000000003</v>
      </c>
      <c r="J41" s="963">
        <f t="shared" si="3"/>
        <v>38824.790000000008</v>
      </c>
      <c r="K41" s="963">
        <f t="shared" si="3"/>
        <v>16370.399999999998</v>
      </c>
      <c r="L41" s="963">
        <f t="shared" si="3"/>
        <v>7186.84</v>
      </c>
      <c r="M41" s="963">
        <f t="shared" si="3"/>
        <v>77836.98000000001</v>
      </c>
      <c r="N41" s="963">
        <f t="shared" si="3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4">SUM(I44)</f>
        <v>2152.5</v>
      </c>
      <c r="J45" s="963">
        <f t="shared" si="4"/>
        <v>6309.38</v>
      </c>
      <c r="K45" s="965">
        <f t="shared" si="4"/>
        <v>2280</v>
      </c>
      <c r="L45" s="963">
        <f t="shared" si="4"/>
        <v>25</v>
      </c>
      <c r="M45" s="965">
        <f t="shared" si="4"/>
        <v>10766.880000000001</v>
      </c>
      <c r="N45" s="965">
        <f t="shared" si="4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5">SUM(G48:G49)</f>
        <v>0</v>
      </c>
      <c r="H50" s="965">
        <f t="shared" si="5"/>
        <v>61500</v>
      </c>
      <c r="I50" s="965">
        <f t="shared" si="5"/>
        <v>1765.05</v>
      </c>
      <c r="J50" s="1071">
        <f t="shared" si="5"/>
        <v>0</v>
      </c>
      <c r="K50" s="965">
        <f t="shared" si="5"/>
        <v>1869.6</v>
      </c>
      <c r="L50" s="963">
        <f t="shared" si="5"/>
        <v>1765.46</v>
      </c>
      <c r="M50" s="965">
        <f t="shared" si="5"/>
        <v>5400.1100000000006</v>
      </c>
      <c r="N50" s="965">
        <f t="shared" si="5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6">SUM(F53:F53)</f>
        <v>35000</v>
      </c>
      <c r="G54" s="964">
        <f t="shared" si="6"/>
        <v>0</v>
      </c>
      <c r="H54" s="965">
        <f t="shared" si="6"/>
        <v>35000</v>
      </c>
      <c r="I54" s="965">
        <f t="shared" si="6"/>
        <v>1004.5</v>
      </c>
      <c r="J54" s="1071">
        <f t="shared" si="6"/>
        <v>0</v>
      </c>
      <c r="K54" s="965">
        <f t="shared" si="6"/>
        <v>1064</v>
      </c>
      <c r="L54" s="963">
        <f t="shared" si="6"/>
        <v>25</v>
      </c>
      <c r="M54" s="965">
        <f t="shared" si="6"/>
        <v>2093.5</v>
      </c>
      <c r="N54" s="965">
        <f t="shared" si="6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7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7"/>
        <v>3237.6</v>
      </c>
      <c r="L60" s="963">
        <f>SUM(L57:L59)</f>
        <v>2276.1999999999998</v>
      </c>
      <c r="M60" s="965">
        <f t="shared" si="7"/>
        <v>9506.9699999999993</v>
      </c>
      <c r="N60" s="965">
        <f t="shared" si="7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8">+I63+J63+K63+L63</f>
        <v>3532.4700000000003</v>
      </c>
      <c r="N63" s="953">
        <f t="shared" ref="N63:N71" si="9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8"/>
        <v>1898</v>
      </c>
      <c r="N64" s="953">
        <f t="shared" si="9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8"/>
        <v>6042.4</v>
      </c>
      <c r="N65" s="953">
        <f t="shared" si="9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8"/>
        <v>4341.3999999999996</v>
      </c>
      <c r="N68" s="953">
        <f t="shared" si="9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>+I73+J73+K73+L73</f>
        <v>1798</v>
      </c>
      <c r="N73" s="953">
        <f>+H73-M73</f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>SUM(G71:G73)</f>
        <v>0</v>
      </c>
      <c r="H74" s="963">
        <f t="shared" ref="H74:N74" si="10">SUM(H63:H73)</f>
        <v>343500</v>
      </c>
      <c r="I74" s="963">
        <f t="shared" si="10"/>
        <v>9858.4500000000007</v>
      </c>
      <c r="J74" s="963">
        <f t="shared" si="10"/>
        <v>936.62</v>
      </c>
      <c r="K74" s="963">
        <f t="shared" si="10"/>
        <v>10442.4</v>
      </c>
      <c r="L74" s="963">
        <f t="shared" si="10"/>
        <v>7162.7999999999993</v>
      </c>
      <c r="M74" s="963">
        <f t="shared" si="10"/>
        <v>28400.269999999997</v>
      </c>
      <c r="N74" s="963">
        <f t="shared" si="10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1">+I77+J77+K77+L77</f>
        <v>4531.97</v>
      </c>
      <c r="N77" s="953">
        <f t="shared" ref="N77:N87" si="12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1"/>
        <v>1602.5</v>
      </c>
      <c r="N78" s="953">
        <f t="shared" si="12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1"/>
        <v>3002.5</v>
      </c>
      <c r="N80" s="951">
        <f t="shared" si="12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1"/>
        <v>1502.5</v>
      </c>
      <c r="N81" s="951">
        <f t="shared" si="12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1"/>
        <v>4502.5</v>
      </c>
      <c r="N84" s="951">
        <f t="shared" si="12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1"/>
        <v>1502.5</v>
      </c>
      <c r="N85" s="951">
        <f t="shared" si="12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1"/>
        <v>3502.5</v>
      </c>
      <c r="N86" s="951">
        <f t="shared" si="12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1"/>
        <v>5701.5599999999995</v>
      </c>
      <c r="N87" s="953">
        <f t="shared" si="12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N89" si="13">SUM(H77:H88)</f>
        <v>330000</v>
      </c>
      <c r="I89" s="963">
        <f t="shared" si="13"/>
        <v>9470.7999999999993</v>
      </c>
      <c r="J89" s="963">
        <f t="shared" si="13"/>
        <v>936.32</v>
      </c>
      <c r="K89" s="963">
        <f t="shared" si="13"/>
        <v>10032</v>
      </c>
      <c r="L89" s="963">
        <f t="shared" si="13"/>
        <v>13714.91</v>
      </c>
      <c r="M89" s="963">
        <f t="shared" si="13"/>
        <v>34154.03</v>
      </c>
      <c r="N89" s="963">
        <f t="shared" si="13"/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 t="shared" ref="F94:N94" si="14">SUM(F92:F93)</f>
        <v>92500</v>
      </c>
      <c r="G94" s="964">
        <f t="shared" si="14"/>
        <v>0</v>
      </c>
      <c r="H94" s="965">
        <f t="shared" si="14"/>
        <v>92500</v>
      </c>
      <c r="I94" s="965">
        <f t="shared" si="14"/>
        <v>2654.75</v>
      </c>
      <c r="J94" s="963">
        <f t="shared" si="14"/>
        <v>2559.6799999999998</v>
      </c>
      <c r="K94" s="965">
        <f t="shared" si="14"/>
        <v>2812</v>
      </c>
      <c r="L94" s="963">
        <f t="shared" si="14"/>
        <v>1765.46</v>
      </c>
      <c r="M94" s="965">
        <f t="shared" si="14"/>
        <v>9791.89</v>
      </c>
      <c r="N94" s="965">
        <f t="shared" si="14"/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15">SUM(H97:H98)</f>
        <v>98500</v>
      </c>
      <c r="I99" s="965">
        <f t="shared" si="15"/>
        <v>2826.95</v>
      </c>
      <c r="J99" s="963">
        <f t="shared" si="15"/>
        <v>3496.2999999999997</v>
      </c>
      <c r="K99" s="965">
        <f t="shared" si="15"/>
        <v>2994.4</v>
      </c>
      <c r="L99" s="963">
        <f>SUM(L97:L98)</f>
        <v>1321.7</v>
      </c>
      <c r="M99" s="965">
        <f t="shared" si="15"/>
        <v>10639.35</v>
      </c>
      <c r="N99" s="965">
        <f t="shared" si="15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16">SUM(H102:H104)</f>
        <v>263500</v>
      </c>
      <c r="I105" s="963">
        <f t="shared" si="16"/>
        <v>7562.45</v>
      </c>
      <c r="J105" s="963">
        <f>SUM(J102:J104)</f>
        <v>23859.73</v>
      </c>
      <c r="K105" s="963">
        <f t="shared" si="16"/>
        <v>8010.4</v>
      </c>
      <c r="L105" s="963">
        <f t="shared" si="16"/>
        <v>7493.58</v>
      </c>
      <c r="M105" s="963">
        <f t="shared" si="16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17">SUM(H108:H109)</f>
        <v>87000</v>
      </c>
      <c r="I110" s="963">
        <f t="shared" si="17"/>
        <v>2496.9</v>
      </c>
      <c r="J110" s="963">
        <f t="shared" si="17"/>
        <v>1873.24</v>
      </c>
      <c r="K110" s="963">
        <f t="shared" si="17"/>
        <v>2644.8</v>
      </c>
      <c r="L110" s="963">
        <f t="shared" si="17"/>
        <v>2050</v>
      </c>
      <c r="M110" s="963">
        <f t="shared" si="17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18">SUM(H113:H113)</f>
        <v>80000</v>
      </c>
      <c r="I114" s="965">
        <f t="shared" si="18"/>
        <v>2296</v>
      </c>
      <c r="J114" s="963">
        <f t="shared" si="18"/>
        <v>6972</v>
      </c>
      <c r="K114" s="965">
        <f t="shared" si="18"/>
        <v>2432</v>
      </c>
      <c r="L114" s="963">
        <f t="shared" si="18"/>
        <v>1740.46</v>
      </c>
      <c r="M114" s="965">
        <f t="shared" si="18"/>
        <v>13440.46</v>
      </c>
      <c r="N114" s="965">
        <f t="shared" si="18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19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19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19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19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19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19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0">SUM(F117:F123)</f>
        <v>507500</v>
      </c>
      <c r="G124" s="964">
        <f t="shared" si="20"/>
        <v>0</v>
      </c>
      <c r="H124" s="963">
        <f t="shared" si="20"/>
        <v>507500</v>
      </c>
      <c r="I124" s="963">
        <f t="shared" si="20"/>
        <v>14565.25</v>
      </c>
      <c r="J124" s="963">
        <f t="shared" si="20"/>
        <v>48953.08</v>
      </c>
      <c r="K124" s="963">
        <f t="shared" si="20"/>
        <v>15428</v>
      </c>
      <c r="L124" s="963">
        <f t="shared" si="20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1">SUM(G128:G129)</f>
        <v>0</v>
      </c>
      <c r="H130" s="963">
        <f t="shared" si="21"/>
        <v>93500</v>
      </c>
      <c r="I130" s="963">
        <f t="shared" si="21"/>
        <v>2683.45</v>
      </c>
      <c r="J130" s="963">
        <f t="shared" si="21"/>
        <v>2790.62</v>
      </c>
      <c r="K130" s="963">
        <f t="shared" si="21"/>
        <v>2842.4</v>
      </c>
      <c r="L130" s="963">
        <f t="shared" si="21"/>
        <v>2753</v>
      </c>
      <c r="M130" s="963">
        <f t="shared" si="21"/>
        <v>11069.470000000001</v>
      </c>
      <c r="N130" s="963">
        <f t="shared" si="21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>+I133+J133+K133+L133</f>
        <v>12956.869999999999</v>
      </c>
      <c r="N133" s="951">
        <f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>+H134-M134</f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>+I135+J135+K135+L135</f>
        <v>6538.18</v>
      </c>
      <c r="N135" s="951">
        <f>+H135-M135</f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>+I136+J136+K136+L136</f>
        <v>2331.06</v>
      </c>
      <c r="N136" s="951">
        <f>+H136-M136</f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>+I137+J137+K137+L137</f>
        <v>8101.31</v>
      </c>
      <c r="N137" s="951">
        <f>+H137-M137</f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22">SUM(H133:H137)</f>
        <v>282500</v>
      </c>
      <c r="I138" s="963">
        <f t="shared" si="22"/>
        <v>8107.75</v>
      </c>
      <c r="J138" s="963">
        <f t="shared" si="22"/>
        <v>15169.72</v>
      </c>
      <c r="K138" s="963">
        <f t="shared" si="22"/>
        <v>8588</v>
      </c>
      <c r="L138" s="963">
        <f t="shared" si="22"/>
        <v>3997.13</v>
      </c>
      <c r="M138" s="963">
        <f t="shared" si="22"/>
        <v>35862.6</v>
      </c>
      <c r="N138" s="963">
        <f t="shared" si="22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23">SUM(H141:H143)</f>
        <v>290000</v>
      </c>
      <c r="I144" s="965">
        <f t="shared" si="23"/>
        <v>8323</v>
      </c>
      <c r="J144" s="963">
        <f t="shared" si="23"/>
        <v>36255.85</v>
      </c>
      <c r="K144" s="965">
        <f t="shared" si="23"/>
        <v>8816</v>
      </c>
      <c r="L144" s="963">
        <f t="shared" si="23"/>
        <v>11235.59</v>
      </c>
      <c r="M144" s="965">
        <f t="shared" si="23"/>
        <v>64630.44</v>
      </c>
      <c r="N144" s="965">
        <f t="shared" si="23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4">SUM(F147)</f>
        <v>80000</v>
      </c>
      <c r="G148" s="993">
        <f t="shared" si="24"/>
        <v>0</v>
      </c>
      <c r="H148" s="994">
        <f t="shared" si="24"/>
        <v>80000</v>
      </c>
      <c r="I148" s="994">
        <f t="shared" si="24"/>
        <v>2296</v>
      </c>
      <c r="J148" s="963">
        <f t="shared" si="24"/>
        <v>7400.87</v>
      </c>
      <c r="K148" s="994">
        <f t="shared" si="24"/>
        <v>2432</v>
      </c>
      <c r="L148" s="963">
        <f t="shared" si="24"/>
        <v>2097.1999999999998</v>
      </c>
      <c r="M148" s="994">
        <f>SUM(M147)</f>
        <v>14226.07</v>
      </c>
      <c r="N148" s="994">
        <f t="shared" si="24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5">SUM(F151:F151)</f>
        <v>43500</v>
      </c>
      <c r="G152" s="964">
        <f t="shared" si="25"/>
        <v>0</v>
      </c>
      <c r="H152" s="965">
        <f t="shared" si="25"/>
        <v>43500</v>
      </c>
      <c r="I152" s="965">
        <f t="shared" si="25"/>
        <v>1248.45</v>
      </c>
      <c r="J152" s="1091">
        <f t="shared" si="25"/>
        <v>936.62</v>
      </c>
      <c r="K152" s="996">
        <f t="shared" si="25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6">SUM(H155:H158)</f>
        <v>237000</v>
      </c>
      <c r="I159" s="963">
        <f t="shared" si="26"/>
        <v>6801.9</v>
      </c>
      <c r="J159" s="963">
        <f t="shared" si="26"/>
        <v>14642.59</v>
      </c>
      <c r="K159" s="963">
        <f t="shared" si="26"/>
        <v>7204.7999999999993</v>
      </c>
      <c r="L159" s="963">
        <f t="shared" si="26"/>
        <v>4643.3999999999996</v>
      </c>
      <c r="M159" s="963">
        <f t="shared" si="2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7">SUM(H162:H163)</f>
        <v>150000</v>
      </c>
      <c r="I164" s="963">
        <f t="shared" si="27"/>
        <v>4305</v>
      </c>
      <c r="J164" s="963">
        <f t="shared" si="27"/>
        <v>12769.349999999999</v>
      </c>
      <c r="K164" s="963">
        <f t="shared" si="27"/>
        <v>4560</v>
      </c>
      <c r="L164" s="963">
        <f t="shared" si="27"/>
        <v>1556</v>
      </c>
      <c r="M164" s="963">
        <f t="shared" si="27"/>
        <v>23190.35</v>
      </c>
      <c r="N164" s="963">
        <f t="shared" si="27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28">SUM(G167:G168)</f>
        <v>0</v>
      </c>
      <c r="H169" s="965">
        <f>SUM(H167:H168)</f>
        <v>123500</v>
      </c>
      <c r="I169" s="965">
        <f t="shared" si="28"/>
        <v>3544.45</v>
      </c>
      <c r="J169" s="963">
        <f t="shared" si="28"/>
        <v>8337.49</v>
      </c>
      <c r="K169" s="965">
        <f t="shared" si="28"/>
        <v>3754.4</v>
      </c>
      <c r="L169" s="963">
        <f t="shared" si="28"/>
        <v>3335.58</v>
      </c>
      <c r="M169" s="965">
        <f>SUM(M167:M168)</f>
        <v>18971.919999999998</v>
      </c>
      <c r="N169" s="965">
        <f t="shared" si="2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29">+I172+J172+K172+L172</f>
        <v>14697.269999999999</v>
      </c>
      <c r="N172" s="951">
        <f t="shared" ref="N172:N182" si="3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29"/>
        <v>3532.4700000000003</v>
      </c>
      <c r="N173" s="951">
        <f t="shared" si="3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29"/>
        <v>3532.4700000000003</v>
      </c>
      <c r="N174" s="951">
        <f t="shared" si="3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29"/>
        <v>3532.4700000000003</v>
      </c>
      <c r="N175" s="951">
        <f t="shared" si="3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29"/>
        <v>3034.06</v>
      </c>
      <c r="N176" s="951">
        <f t="shared" si="3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29"/>
        <v>7854.75</v>
      </c>
      <c r="N177" s="951">
        <f t="shared" si="3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29"/>
        <v>2331.06</v>
      </c>
      <c r="N178" s="953">
        <f t="shared" si="3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29"/>
        <v>3532.4700000000003</v>
      </c>
      <c r="N179" s="953">
        <f t="shared" si="3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29"/>
        <v>3532.4700000000003</v>
      </c>
      <c r="N180" s="953">
        <f t="shared" si="3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29"/>
        <v>2331.06</v>
      </c>
      <c r="N181" s="953">
        <f t="shared" si="3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29"/>
        <v>2331.06</v>
      </c>
      <c r="N182" s="951">
        <f t="shared" si="3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1">SUM(I172:I182)</f>
        <v>14091.7</v>
      </c>
      <c r="J183" s="963">
        <f t="shared" si="31"/>
        <v>12865.19</v>
      </c>
      <c r="K183" s="963">
        <f t="shared" si="31"/>
        <v>14926.4</v>
      </c>
      <c r="L183" s="963">
        <f t="shared" si="31"/>
        <v>8358.32</v>
      </c>
      <c r="M183" s="963">
        <f t="shared" si="31"/>
        <v>50241.61</v>
      </c>
      <c r="N183" s="963">
        <f t="shared" si="3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32">+I186+J186+K186+L186</f>
        <v>23926.87</v>
      </c>
      <c r="N186" s="1031">
        <f t="shared" ref="N186:N219" si="3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2"/>
        <v>23926.87</v>
      </c>
      <c r="N187" s="1032">
        <f t="shared" si="3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2"/>
        <v>10766.880000000001</v>
      </c>
      <c r="N188" s="1032">
        <f t="shared" si="3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2"/>
        <v>12153.869999999999</v>
      </c>
      <c r="N189" s="1032">
        <f t="shared" si="3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2"/>
        <v>9530.48</v>
      </c>
      <c r="N190" s="1032">
        <f t="shared" si="3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2"/>
        <v>15451.01</v>
      </c>
      <c r="N191" s="1032">
        <f t="shared" si="3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34">+I194+J194+K194+L194</f>
        <v>5835.18</v>
      </c>
      <c r="N194" s="1032">
        <f t="shared" si="3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34"/>
        <v>3956.71</v>
      </c>
      <c r="N195" s="1032">
        <f t="shared" si="3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4"/>
        <v>1886.65</v>
      </c>
      <c r="N196" s="1032">
        <f t="shared" si="3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34"/>
        <v>1886.65</v>
      </c>
      <c r="N197" s="1031">
        <f t="shared" si="3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34"/>
        <v>1886.65</v>
      </c>
      <c r="N198" s="1031">
        <f t="shared" si="3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4"/>
        <v>1886.65</v>
      </c>
      <c r="N199" s="1031">
        <f t="shared" si="3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34"/>
        <v>3532.4700000000003</v>
      </c>
      <c r="N201" s="1031">
        <f t="shared" si="3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4"/>
        <v>2331.06</v>
      </c>
      <c r="N202" s="1032">
        <f t="shared" si="3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4"/>
        <v>2331.06</v>
      </c>
      <c r="N203" s="1032">
        <f t="shared" si="3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4"/>
        <v>2331.06</v>
      </c>
      <c r="N204" s="1032">
        <f t="shared" si="3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4"/>
        <v>2331.06</v>
      </c>
      <c r="N205" s="1032">
        <f t="shared" si="3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4"/>
        <v>2331.06</v>
      </c>
      <c r="N206" s="1032">
        <f t="shared" si="3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34"/>
        <v>3532.4700000000003</v>
      </c>
      <c r="N207" s="1031">
        <f t="shared" si="3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34"/>
        <v>1502.5</v>
      </c>
      <c r="N208" s="1031">
        <f t="shared" si="3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34"/>
        <v>1502.5</v>
      </c>
      <c r="N209" s="1031">
        <f t="shared" si="3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34"/>
        <v>1502.5</v>
      </c>
      <c r="N210" s="1031">
        <f t="shared" si="3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4"/>
        <v>1502.5</v>
      </c>
      <c r="N211" s="1032">
        <f t="shared" si="3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34"/>
        <v>1502.5</v>
      </c>
      <c r="N212" s="1032">
        <f t="shared" si="3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4"/>
        <v>1798</v>
      </c>
      <c r="N213" s="1032">
        <f t="shared" si="3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4"/>
        <v>1798</v>
      </c>
      <c r="N214" s="1032">
        <f t="shared" si="3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34"/>
        <v>1798</v>
      </c>
      <c r="N215" s="1032">
        <f t="shared" si="3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34"/>
        <v>1798</v>
      </c>
      <c r="N216" s="1031">
        <f t="shared" si="3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34"/>
        <v>3907</v>
      </c>
      <c r="N217" s="1031">
        <f t="shared" si="3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34"/>
        <v>1798</v>
      </c>
      <c r="N218" s="1031">
        <f t="shared" si="3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34"/>
        <v>1798</v>
      </c>
      <c r="N219" s="1031">
        <f t="shared" si="3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35">SUM(H186:H223)</f>
        <v>1680500</v>
      </c>
      <c r="I224" s="963">
        <f t="shared" si="35"/>
        <v>48230.349999999991</v>
      </c>
      <c r="J224" s="963">
        <f t="shared" si="35"/>
        <v>76231.719999999972</v>
      </c>
      <c r="K224" s="963">
        <f t="shared" si="35"/>
        <v>51087.199999999997</v>
      </c>
      <c r="L224" s="963">
        <f t="shared" si="35"/>
        <v>12339.3</v>
      </c>
      <c r="M224" s="963">
        <f t="shared" si="35"/>
        <v>187888.56999999995</v>
      </c>
      <c r="N224" s="963">
        <f t="shared" si="35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36">+H19+H25+H29+H41+H45+H50+H54+H60+H74+H89+H94+H99+H105+H110+H114+H124+H130+H138+H144+H148+H152+H159+H164+H169+H183+H224</f>
        <v>6955000</v>
      </c>
      <c r="I226" s="1117">
        <f t="shared" si="36"/>
        <v>199608.3</v>
      </c>
      <c r="J226" s="1117">
        <f t="shared" si="36"/>
        <v>443325.83999999991</v>
      </c>
      <c r="K226" s="1117">
        <f t="shared" si="36"/>
        <v>208910.31999999995</v>
      </c>
      <c r="L226" s="1117">
        <f t="shared" si="36"/>
        <v>139577.72999999998</v>
      </c>
      <c r="M226" s="1117">
        <f t="shared" si="36"/>
        <v>991422.19</v>
      </c>
      <c r="N226" s="1117">
        <f t="shared" si="36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884" t="s">
        <v>1271</v>
      </c>
      <c r="C250" s="1884"/>
      <c r="D250" s="874"/>
      <c r="E250" s="874"/>
      <c r="F250" s="875"/>
      <c r="G250" s="873"/>
      <c r="H250" s="873"/>
      <c r="I250" s="1869" t="s">
        <v>852</v>
      </c>
      <c r="J250" s="1869"/>
      <c r="K250" s="1869"/>
      <c r="L250" s="1869"/>
      <c r="M250" s="1869"/>
      <c r="N250" s="1869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863" t="s">
        <v>1370</v>
      </c>
      <c r="K251" s="1863"/>
      <c r="L251" s="1863"/>
      <c r="M251" s="1863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1452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0"/>
      <c r="N12" s="1620"/>
      <c r="O12" s="162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N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76">
        <f t="shared" si="6"/>
        <v>50</v>
      </c>
      <c r="N44" s="697">
        <f t="shared" si="6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>SUM(H48)</f>
        <v>0</v>
      </c>
      <c r="I49" s="697">
        <f t="shared" ref="I49:O49" si="7">SUM(I47:I48)</f>
        <v>175000</v>
      </c>
      <c r="J49" s="697">
        <f t="shared" si="7"/>
        <v>5022.5</v>
      </c>
      <c r="K49" s="697">
        <f t="shared" si="7"/>
        <v>19369.55</v>
      </c>
      <c r="L49" s="697">
        <f t="shared" si="7"/>
        <v>5320</v>
      </c>
      <c r="M49" s="676">
        <f>SUM(M47:M48)</f>
        <v>2593.4</v>
      </c>
      <c r="N49" s="697">
        <f t="shared" si="7"/>
        <v>32305.45</v>
      </c>
      <c r="O49" s="697">
        <f t="shared" si="7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8">+J52+K52+L52+M52</f>
        <v>25398.49</v>
      </c>
      <c r="O52" s="498">
        <f t="shared" ref="O52:O58" si="9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8"/>
        <v>25398.49</v>
      </c>
      <c r="O53" s="498">
        <f t="shared" si="9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8"/>
        <v>25398.49</v>
      </c>
      <c r="O54" s="498">
        <f t="shared" si="9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8"/>
        <v>25398.49</v>
      </c>
      <c r="O55" s="498">
        <f t="shared" si="9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8"/>
        <v>25398.49</v>
      </c>
      <c r="O56" s="498">
        <f t="shared" si="9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8"/>
        <v>22455.239999999998</v>
      </c>
      <c r="O57" s="498">
        <f t="shared" si="9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8"/>
        <v>23741.839999999997</v>
      </c>
      <c r="O58" s="626">
        <f t="shared" si="9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>SUM(H58)</f>
        <v>0</v>
      </c>
      <c r="I59" s="697">
        <f t="shared" ref="I59:O59" si="10">SUM(I52:I58)</f>
        <v>855000</v>
      </c>
      <c r="J59" s="697">
        <f t="shared" si="10"/>
        <v>24538.5</v>
      </c>
      <c r="K59" s="697">
        <f t="shared" si="10"/>
        <v>120768.57000000002</v>
      </c>
      <c r="L59" s="697">
        <f t="shared" si="10"/>
        <v>25992</v>
      </c>
      <c r="M59" s="676">
        <f t="shared" si="10"/>
        <v>1890.46</v>
      </c>
      <c r="N59" s="697">
        <f t="shared" si="10"/>
        <v>173189.53</v>
      </c>
      <c r="O59" s="697">
        <f t="shared" si="10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>SUM(H65)</f>
        <v>0</v>
      </c>
      <c r="I66" s="695">
        <f t="shared" ref="I66:O66" si="11">SUM(I62:I65)</f>
        <v>350000</v>
      </c>
      <c r="J66" s="695">
        <f t="shared" si="11"/>
        <v>10045</v>
      </c>
      <c r="K66" s="695">
        <f t="shared" si="11"/>
        <v>38090.26</v>
      </c>
      <c r="L66" s="695">
        <f t="shared" si="11"/>
        <v>10640</v>
      </c>
      <c r="M66" s="1099">
        <f t="shared" si="11"/>
        <v>100</v>
      </c>
      <c r="N66" s="695">
        <f t="shared" si="11"/>
        <v>58875.26</v>
      </c>
      <c r="O66" s="695">
        <f t="shared" si="11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2">SUM(H69)</f>
        <v>0</v>
      </c>
      <c r="I70" s="695">
        <f t="shared" si="12"/>
        <v>185000</v>
      </c>
      <c r="J70" s="695">
        <f t="shared" si="12"/>
        <v>5309.5</v>
      </c>
      <c r="K70" s="695">
        <f t="shared" si="12"/>
        <v>32099.49</v>
      </c>
      <c r="L70" s="695">
        <f t="shared" si="12"/>
        <v>5624</v>
      </c>
      <c r="M70" s="1099">
        <f>SUM(M69)</f>
        <v>4557.26</v>
      </c>
      <c r="N70" s="695">
        <f t="shared" si="12"/>
        <v>47590.250000000007</v>
      </c>
      <c r="O70" s="695">
        <f t="shared" si="12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>SUM(H74)</f>
        <v>0</v>
      </c>
      <c r="I75" s="695">
        <f t="shared" ref="I75:O75" si="13">SUM(I73:I74)</f>
        <v>120000</v>
      </c>
      <c r="J75" s="695">
        <f t="shared" si="13"/>
        <v>3444</v>
      </c>
      <c r="K75" s="695">
        <f t="shared" si="13"/>
        <v>6973.36</v>
      </c>
      <c r="L75" s="695">
        <f t="shared" si="13"/>
        <v>3648</v>
      </c>
      <c r="M75" s="1099">
        <f>SUM(M73:M74)</f>
        <v>50</v>
      </c>
      <c r="N75" s="695">
        <f t="shared" si="13"/>
        <v>14115.36</v>
      </c>
      <c r="O75" s="695">
        <f t="shared" si="13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14">SUM(H82)</f>
        <v>0</v>
      </c>
      <c r="I83" s="695">
        <f t="shared" si="14"/>
        <v>120000</v>
      </c>
      <c r="J83" s="695">
        <f t="shared" si="14"/>
        <v>3444</v>
      </c>
      <c r="K83" s="695">
        <f t="shared" si="14"/>
        <v>16809.87</v>
      </c>
      <c r="L83" s="695">
        <f t="shared" si="14"/>
        <v>3648</v>
      </c>
      <c r="M83" s="1099">
        <f>SUM(M82)</f>
        <v>4169.3999999999996</v>
      </c>
      <c r="N83" s="695">
        <f t="shared" si="14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15">+J85+K85+L85+M85</f>
        <v>9530.48</v>
      </c>
      <c r="O85" s="468">
        <f t="shared" ref="O85:O90" si="16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5"/>
        <v>9530.48</v>
      </c>
      <c r="O86" s="468">
        <f t="shared" si="16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15"/>
        <v>9530.48</v>
      </c>
      <c r="O87" s="468">
        <f t="shared" si="16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5"/>
        <v>8294.08</v>
      </c>
      <c r="O88" s="468">
        <f t="shared" si="16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15"/>
        <v>8294.08</v>
      </c>
      <c r="O89" s="468">
        <f t="shared" si="16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15"/>
        <v>5835.18</v>
      </c>
      <c r="O90" s="468">
        <f t="shared" si="16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>SUM(H90)</f>
        <v>0</v>
      </c>
      <c r="I91" s="695">
        <f t="shared" ref="I91:N91" si="17">SUM(I85:I90)</f>
        <v>395000</v>
      </c>
      <c r="J91" s="695">
        <f t="shared" si="17"/>
        <v>11336.5</v>
      </c>
      <c r="K91" s="695">
        <f t="shared" si="17"/>
        <v>27520.28</v>
      </c>
      <c r="L91" s="695">
        <f t="shared" si="17"/>
        <v>12008</v>
      </c>
      <c r="M91" s="1099">
        <f>SUM(M85:M90)</f>
        <v>150</v>
      </c>
      <c r="N91" s="695">
        <f t="shared" si="17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18">SUM(H94)</f>
        <v>0</v>
      </c>
      <c r="I95" s="695">
        <f t="shared" si="18"/>
        <v>70000</v>
      </c>
      <c r="J95" s="695">
        <f t="shared" si="18"/>
        <v>2009</v>
      </c>
      <c r="K95" s="695">
        <f t="shared" si="18"/>
        <v>5368.48</v>
      </c>
      <c r="L95" s="695">
        <f t="shared" si="18"/>
        <v>2128</v>
      </c>
      <c r="M95" s="1099">
        <f>SUM(M94)</f>
        <v>525</v>
      </c>
      <c r="N95" s="695">
        <f>SUM(N94)</f>
        <v>10030.48</v>
      </c>
      <c r="O95" s="695">
        <f t="shared" si="18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>+J99+K99+L99+M99</f>
        <v>23926.87</v>
      </c>
      <c r="O99" s="468">
        <f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19">+J101+K101+L101+M101</f>
        <v>9530.48</v>
      </c>
      <c r="O101" s="468">
        <f t="shared" ref="O101:O111" si="2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9"/>
        <v>9530.48</v>
      </c>
      <c r="O102" s="468">
        <f t="shared" si="2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19"/>
        <v>10902.84</v>
      </c>
      <c r="O103" s="468">
        <f t="shared" si="2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19"/>
        <v>12275.210000000001</v>
      </c>
      <c r="O104" s="468">
        <f t="shared" si="2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19"/>
        <v>10902.84</v>
      </c>
      <c r="O105" s="468">
        <f t="shared" si="2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9"/>
        <v>9530.48</v>
      </c>
      <c r="O106" s="468">
        <f t="shared" si="2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19"/>
        <v>9530.48</v>
      </c>
      <c r="O107" s="468">
        <f t="shared" si="2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9"/>
        <v>9530.48</v>
      </c>
      <c r="O108" s="468">
        <f t="shared" si="2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19"/>
        <v>9530.48</v>
      </c>
      <c r="O109" s="468">
        <f t="shared" si="2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19"/>
        <v>9530.48</v>
      </c>
      <c r="O110" s="468">
        <f t="shared" si="2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9"/>
        <v>8294.08</v>
      </c>
      <c r="O111" s="468">
        <f t="shared" si="2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9"/>
        <v>8294.08</v>
      </c>
      <c r="O113" s="468">
        <f t="shared" ref="O113:O129" si="2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9"/>
        <v>8294.08</v>
      </c>
      <c r="O114" s="468">
        <f t="shared" si="2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9"/>
        <v>8294.08</v>
      </c>
      <c r="O115" s="468">
        <f t="shared" si="2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9"/>
        <v>8294.08</v>
      </c>
      <c r="O116" s="468">
        <f t="shared" si="2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9"/>
        <v>8294.08</v>
      </c>
      <c r="O117" s="468">
        <f t="shared" si="2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9"/>
        <v>8294.08</v>
      </c>
      <c r="O118" s="468">
        <f t="shared" si="2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19"/>
        <v>8294.08</v>
      </c>
      <c r="O119" s="468">
        <f t="shared" si="2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19"/>
        <v>8294.08</v>
      </c>
      <c r="O120" s="468">
        <f t="shared" si="2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>+J123+K123+L123+M123</f>
        <v>9530.48</v>
      </c>
      <c r="O123" s="468">
        <f>+I123-N123</f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>+J125+K125+L125+M125</f>
        <v>8294.08</v>
      </c>
      <c r="O125" s="468">
        <f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22">+J127+K127+L127+M127</f>
        <v>3832.83</v>
      </c>
      <c r="O127" s="468">
        <f t="shared" si="2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22"/>
        <v>5290.97</v>
      </c>
      <c r="O128" s="468">
        <f t="shared" si="2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2"/>
        <v>3532.4700000000003</v>
      </c>
      <c r="O129" s="468">
        <f t="shared" si="2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22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22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22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23">SUM(I99:I132)</f>
        <v>2240500</v>
      </c>
      <c r="J133" s="695">
        <f t="shared" si="23"/>
        <v>64302.349999999991</v>
      </c>
      <c r="K133" s="695">
        <f t="shared" si="23"/>
        <v>164337.44999999995</v>
      </c>
      <c r="L133" s="695">
        <f t="shared" si="23"/>
        <v>68111.199999999997</v>
      </c>
      <c r="M133" s="1099">
        <f t="shared" si="23"/>
        <v>11142.759999999998</v>
      </c>
      <c r="N133" s="695">
        <f t="shared" si="23"/>
        <v>307893.75999999972</v>
      </c>
      <c r="O133" s="695">
        <f t="shared" si="23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24">+I16+I20+I25+I30+I35+I39+I44+I49+I59+I66+I70+I75+I79+I83+I91+I95+I133</f>
        <v>5675500</v>
      </c>
      <c r="J135" s="1055">
        <f t="shared" si="24"/>
        <v>162886.84999999998</v>
      </c>
      <c r="K135" s="1055">
        <f t="shared" si="24"/>
        <v>564542.71999999997</v>
      </c>
      <c r="L135" s="1055">
        <f t="shared" si="24"/>
        <v>172535.2</v>
      </c>
      <c r="M135" s="1055">
        <f t="shared" si="24"/>
        <v>55841.84</v>
      </c>
      <c r="N135" s="1055">
        <f t="shared" si="24"/>
        <v>955806.60999999987</v>
      </c>
      <c r="O135" s="1055">
        <f t="shared" si="24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622" t="s">
        <v>1375</v>
      </c>
      <c r="J152" s="1622"/>
      <c r="K152" s="1622"/>
      <c r="L152" s="1622"/>
      <c r="M152" s="1622"/>
      <c r="N152" s="1622"/>
      <c r="O152" s="1622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623" t="s">
        <v>1224</v>
      </c>
      <c r="J153" s="1623"/>
      <c r="K153" s="1623"/>
      <c r="L153" s="1623"/>
      <c r="M153" s="1623"/>
      <c r="N153" s="1623"/>
      <c r="O153" s="1623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1453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887" t="s">
        <v>937</v>
      </c>
      <c r="D13" s="1887" t="s">
        <v>8</v>
      </c>
      <c r="E13" s="1887" t="s">
        <v>10</v>
      </c>
      <c r="F13" s="1887" t="s">
        <v>11</v>
      </c>
      <c r="G13" s="1047" t="s">
        <v>12</v>
      </c>
      <c r="H13" s="1887" t="s">
        <v>13</v>
      </c>
      <c r="I13" s="1887" t="s">
        <v>14</v>
      </c>
      <c r="J13" s="1887" t="s">
        <v>15</v>
      </c>
      <c r="K13" s="1887" t="s">
        <v>16</v>
      </c>
      <c r="L13" s="1887" t="s">
        <v>17</v>
      </c>
      <c r="M13" s="1887" t="s">
        <v>18</v>
      </c>
      <c r="N13" s="1887" t="s">
        <v>19</v>
      </c>
      <c r="O13" s="1887" t="s">
        <v>20</v>
      </c>
    </row>
    <row r="14" spans="2:15" x14ac:dyDescent="0.25">
      <c r="B14" s="1889"/>
      <c r="C14" s="1887"/>
      <c r="D14" s="1887"/>
      <c r="E14" s="1887"/>
      <c r="F14" s="1887"/>
      <c r="G14" s="1047" t="s">
        <v>21</v>
      </c>
      <c r="H14" s="1887"/>
      <c r="I14" s="1887"/>
      <c r="J14" s="1887"/>
      <c r="K14" s="1887"/>
      <c r="L14" s="1887"/>
      <c r="M14" s="1887"/>
      <c r="N14" s="1887"/>
      <c r="O14" s="18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870" t="s">
        <v>1269</v>
      </c>
      <c r="C50" s="1870"/>
      <c r="D50" s="1870"/>
      <c r="E50" s="753"/>
      <c r="F50" s="753"/>
      <c r="G50" s="754"/>
      <c r="H50" s="755"/>
      <c r="J50" s="1871" t="s">
        <v>852</v>
      </c>
      <c r="K50" s="1871"/>
      <c r="L50" s="1871"/>
      <c r="M50" s="1871"/>
      <c r="N50" s="1871"/>
      <c r="O50" s="1871"/>
    </row>
    <row r="51" spans="2:15" s="259" customFormat="1" ht="19.5" customHeight="1" x14ac:dyDescent="0.25">
      <c r="B51" s="1809" t="s">
        <v>1270</v>
      </c>
      <c r="C51" s="1809"/>
      <c r="D51" s="1809"/>
      <c r="E51" s="753"/>
      <c r="F51" s="753"/>
      <c r="G51" s="754"/>
      <c r="H51" s="755"/>
      <c r="J51" s="1623" t="s">
        <v>1224</v>
      </c>
      <c r="K51" s="1623"/>
      <c r="L51" s="1623"/>
      <c r="M51" s="1623"/>
      <c r="N51" s="1623"/>
      <c r="O51" s="162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810"/>
      <c r="K63" s="1810"/>
      <c r="L63" s="1810"/>
      <c r="M63" s="1810"/>
      <c r="N63" s="1810"/>
      <c r="O63" s="1810"/>
    </row>
    <row r="64" spans="2:15" ht="15.75" x14ac:dyDescent="0.25">
      <c r="B64" s="267"/>
      <c r="C64" s="267"/>
      <c r="D64" s="267"/>
      <c r="E64" s="268"/>
      <c r="F64" s="268"/>
      <c r="G64" s="269"/>
      <c r="H64" s="1738"/>
      <c r="I64" s="1738"/>
      <c r="J64" s="1738"/>
      <c r="K64" s="1738"/>
      <c r="L64" s="1738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3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3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3" x14ac:dyDescent="0.25">
      <c r="B8" s="1881" t="s">
        <v>1454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3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90" t="s">
        <v>7</v>
      </c>
      <c r="C11" s="1890" t="s">
        <v>802</v>
      </c>
      <c r="D11" s="1891" t="s">
        <v>9</v>
      </c>
      <c r="E11" s="1046" t="s">
        <v>12</v>
      </c>
      <c r="F11" s="1893" t="s">
        <v>13</v>
      </c>
      <c r="G11" s="1892" t="s">
        <v>14</v>
      </c>
      <c r="H11" s="1892" t="s">
        <v>15</v>
      </c>
      <c r="I11" s="1892" t="s">
        <v>16</v>
      </c>
      <c r="J11" s="1892" t="s">
        <v>17</v>
      </c>
      <c r="K11" s="1892" t="s">
        <v>18</v>
      </c>
      <c r="L11" s="1892" t="s">
        <v>19</v>
      </c>
      <c r="M11" s="1892" t="s">
        <v>20</v>
      </c>
    </row>
    <row r="12" spans="2:13" ht="16.5" customHeight="1" x14ac:dyDescent="0.25">
      <c r="B12" s="1890"/>
      <c r="C12" s="1890"/>
      <c r="D12" s="1891"/>
      <c r="E12" s="1046" t="s">
        <v>21</v>
      </c>
      <c r="F12" s="1893"/>
      <c r="G12" s="1892"/>
      <c r="H12" s="1892"/>
      <c r="I12" s="1892"/>
      <c r="J12" s="1892"/>
      <c r="K12" s="1892"/>
      <c r="L12" s="1892"/>
      <c r="M12" s="1892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7">+G15+G19+G23+G31+G35+G39+G44+G48+G52+G26</f>
        <v>218000</v>
      </c>
      <c r="H55" s="1077">
        <f t="shared" si="7"/>
        <v>6256.6</v>
      </c>
      <c r="I55" s="1077">
        <f t="shared" si="7"/>
        <v>40127.730000000003</v>
      </c>
      <c r="J55" s="1077">
        <f t="shared" si="7"/>
        <v>6627.2</v>
      </c>
      <c r="K55" s="1045">
        <v>0</v>
      </c>
      <c r="L55" s="1077">
        <f t="shared" si="7"/>
        <v>53011.53</v>
      </c>
      <c r="M55" s="1077">
        <f t="shared" si="7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877" t="s">
        <v>1372</v>
      </c>
      <c r="H68" s="1877"/>
      <c r="I68" s="1877"/>
      <c r="J68" s="1877"/>
      <c r="K68" s="1877"/>
      <c r="L68" s="1877"/>
    </row>
    <row r="69" spans="2:13" x14ac:dyDescent="0.25">
      <c r="B69" s="1083" t="s">
        <v>1238</v>
      </c>
      <c r="C69" s="1083"/>
      <c r="D69" s="921"/>
      <c r="E69" s="915"/>
      <c r="F69" s="915"/>
      <c r="G69" s="1875" t="s">
        <v>1222</v>
      </c>
      <c r="H69" s="1875"/>
      <c r="I69" s="1875"/>
      <c r="J69" s="1875"/>
      <c r="K69" s="1875"/>
      <c r="L69" s="1875"/>
    </row>
    <row r="70" spans="2:13" x14ac:dyDescent="0.25">
      <c r="B70" s="916" t="s">
        <v>1239</v>
      </c>
      <c r="C70" s="916"/>
      <c r="D70" s="915"/>
      <c r="E70" s="915"/>
      <c r="F70" s="923"/>
      <c r="G70" s="1874" t="s">
        <v>1224</v>
      </c>
      <c r="H70" s="1874"/>
      <c r="I70" s="1874"/>
      <c r="J70" s="1874"/>
      <c r="K70" s="1874"/>
      <c r="L70" s="1874"/>
    </row>
    <row r="80" spans="2:13" x14ac:dyDescent="0.25">
      <c r="E80" s="924"/>
      <c r="F80" s="923"/>
      <c r="G80" s="915"/>
      <c r="H80" s="1879"/>
      <c r="I80" s="1879"/>
      <c r="J80" s="1879"/>
      <c r="K80" s="1879"/>
      <c r="L80" s="1879"/>
      <c r="M80" s="1879"/>
    </row>
    <row r="81" spans="5:13" x14ac:dyDescent="0.25">
      <c r="E81" s="925"/>
      <c r="F81" s="1872"/>
      <c r="G81" s="1872"/>
      <c r="H81" s="1872"/>
      <c r="I81" s="1872"/>
      <c r="J81" s="1872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17" t="s">
        <v>0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</row>
    <row r="6" spans="2:13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1455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731" t="s">
        <v>1197</v>
      </c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16" t="s">
        <v>7</v>
      </c>
      <c r="C11" s="1615" t="s">
        <v>802</v>
      </c>
      <c r="D11" s="1615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616"/>
      <c r="C12" s="1615"/>
      <c r="D12" s="1615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2" t="s">
        <v>1250</v>
      </c>
      <c r="H38" s="1862"/>
      <c r="I38" s="1862"/>
      <c r="J38" s="1862"/>
      <c r="K38" s="1862"/>
      <c r="L38" s="1862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08" t="s">
        <v>852</v>
      </c>
      <c r="H39" s="1808"/>
      <c r="I39" s="1808"/>
      <c r="J39" s="1808"/>
      <c r="K39" s="1808"/>
      <c r="L39" s="180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809" t="s">
        <v>1257</v>
      </c>
      <c r="H40" s="1809"/>
      <c r="I40" s="1809"/>
      <c r="J40" s="1809"/>
      <c r="K40" s="1809"/>
      <c r="L40" s="1809"/>
      <c r="M40" s="537"/>
    </row>
    <row r="41" spans="2:13" x14ac:dyDescent="0.25">
      <c r="B41" s="546"/>
      <c r="C41" s="546"/>
      <c r="D41" s="547"/>
      <c r="E41" s="541"/>
      <c r="F41" s="540"/>
      <c r="G41" s="537"/>
      <c r="H41" s="1810"/>
      <c r="I41" s="1810"/>
      <c r="J41" s="1810"/>
      <c r="K41" s="1810"/>
      <c r="L41" s="1810"/>
      <c r="M41" s="1810"/>
    </row>
    <row r="42" spans="2:13" ht="15.75" x14ac:dyDescent="0.25">
      <c r="B42" s="267"/>
      <c r="C42" s="267"/>
      <c r="D42" s="268"/>
      <c r="E42" s="269"/>
      <c r="F42" s="1738"/>
      <c r="G42" s="1738"/>
      <c r="H42" s="1738"/>
      <c r="I42" s="1738"/>
      <c r="J42" s="1738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1456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2" t="s">
        <v>1255</v>
      </c>
      <c r="H31" s="1862"/>
      <c r="I31" s="1862"/>
      <c r="J31" s="1862"/>
      <c r="K31" s="1862"/>
      <c r="L31" s="186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8" t="s">
        <v>852</v>
      </c>
      <c r="H32" s="1808"/>
      <c r="I32" s="1808"/>
      <c r="J32" s="1808"/>
      <c r="K32" s="1808"/>
      <c r="L32" s="180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09" t="s">
        <v>1257</v>
      </c>
      <c r="H33" s="1809"/>
      <c r="I33" s="1809"/>
      <c r="J33" s="1809"/>
      <c r="K33" s="1809"/>
      <c r="L33" s="1809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0"/>
      <c r="I34" s="1810"/>
      <c r="J34" s="1810"/>
      <c r="K34" s="1810"/>
      <c r="L34" s="1810"/>
      <c r="M34" s="1810"/>
    </row>
    <row r="35" spans="2:13" ht="15.75" x14ac:dyDescent="0.25">
      <c r="B35" s="267"/>
      <c r="C35" s="267"/>
      <c r="D35" s="268"/>
      <c r="E35" s="269"/>
      <c r="F35" s="1738"/>
      <c r="G35" s="1738"/>
      <c r="H35" s="1738"/>
      <c r="I35" s="1738"/>
      <c r="J35" s="173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259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259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259"/>
    </row>
    <row r="10" spans="2:15" x14ac:dyDescent="0.25">
      <c r="B10" s="1732" t="s">
        <v>1457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259"/>
    </row>
    <row r="11" spans="2:15" x14ac:dyDescent="0.25">
      <c r="B11" s="1819" t="s">
        <v>412</v>
      </c>
      <c r="C11" s="1819"/>
      <c r="D11" s="1819"/>
      <c r="E11" s="1819"/>
      <c r="F11" s="1819"/>
      <c r="G11" s="1819"/>
      <c r="H11" s="1819"/>
      <c r="I11" s="1819"/>
      <c r="J11" s="1819"/>
      <c r="K11" s="1819"/>
      <c r="L11" s="1819"/>
      <c r="M11" s="1819"/>
      <c r="N11" s="1819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616" t="s">
        <v>7</v>
      </c>
      <c r="C13" s="1615" t="s">
        <v>937</v>
      </c>
      <c r="D13" s="1615" t="s">
        <v>9</v>
      </c>
      <c r="E13" s="1067" t="s">
        <v>832</v>
      </c>
      <c r="F13" s="1895" t="s">
        <v>12</v>
      </c>
      <c r="G13" s="1894" t="s">
        <v>13</v>
      </c>
      <c r="H13" s="1894" t="s">
        <v>14</v>
      </c>
      <c r="I13" s="1894" t="s">
        <v>15</v>
      </c>
      <c r="J13" s="1894" t="s">
        <v>16</v>
      </c>
      <c r="K13" s="1894" t="s">
        <v>17</v>
      </c>
      <c r="L13" s="1894" t="s">
        <v>18</v>
      </c>
      <c r="M13" s="1894" t="s">
        <v>19</v>
      </c>
      <c r="N13" s="1616" t="s">
        <v>20</v>
      </c>
    </row>
    <row r="14" spans="2:15" x14ac:dyDescent="0.25">
      <c r="B14" s="1616"/>
      <c r="C14" s="1615"/>
      <c r="D14" s="1615"/>
      <c r="E14" s="1067" t="s">
        <v>21</v>
      </c>
      <c r="F14" s="1895" t="s">
        <v>21</v>
      </c>
      <c r="G14" s="1894"/>
      <c r="H14" s="1894"/>
      <c r="I14" s="1894"/>
      <c r="J14" s="1894"/>
      <c r="K14" s="1894"/>
      <c r="L14" s="1894"/>
      <c r="M14" s="1894"/>
      <c r="N14" s="1616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7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>SUM(G18)</f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807" t="s">
        <v>1225</v>
      </c>
      <c r="J34" s="1807"/>
      <c r="K34" s="1807"/>
      <c r="L34" s="1807"/>
      <c r="M34" s="1807"/>
      <c r="N34" s="1807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808" t="s">
        <v>852</v>
      </c>
      <c r="J35" s="1808"/>
      <c r="K35" s="1808"/>
      <c r="L35" s="1808"/>
      <c r="M35" s="1808"/>
      <c r="N35" s="1808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809" t="s">
        <v>1445</v>
      </c>
      <c r="J36" s="1809"/>
      <c r="K36" s="1809"/>
      <c r="L36" s="1809"/>
      <c r="M36" s="1809"/>
      <c r="N36" s="1809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810"/>
      <c r="K37" s="1810"/>
      <c r="L37" s="1810"/>
      <c r="M37" s="1810"/>
      <c r="N37" s="1810"/>
      <c r="O37" s="1810"/>
    </row>
    <row r="38" spans="2:15" ht="15.75" x14ac:dyDescent="0.25">
      <c r="B38" s="267"/>
      <c r="C38" s="267"/>
      <c r="D38" s="267"/>
      <c r="E38" s="268"/>
      <c r="F38" s="268"/>
      <c r="G38" s="269"/>
      <c r="H38" s="1738"/>
      <c r="I38" s="1738"/>
      <c r="J38" s="1738"/>
      <c r="K38" s="1738"/>
      <c r="L38" s="1738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864" t="s">
        <v>0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15.75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1451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86" t="s">
        <v>16</v>
      </c>
      <c r="J12" s="1886" t="s">
        <v>17</v>
      </c>
      <c r="K12" s="1886" t="s">
        <v>18</v>
      </c>
      <c r="L12" s="188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86"/>
      <c r="J13" s="1886"/>
      <c r="K13" s="1886"/>
      <c r="L13" s="188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>+H24+I24+J24+K24</f>
        <v>2331.06</v>
      </c>
      <c r="M24" s="951">
        <f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6790.46</v>
      </c>
      <c r="L25" s="963">
        <f t="shared" si="1"/>
        <v>28718.870000000003</v>
      </c>
      <c r="M25" s="963">
        <f t="shared" si="1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5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1">
        <f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3">SUM(G32:G40)</f>
        <v>538500</v>
      </c>
      <c r="H41" s="963">
        <f t="shared" si="3"/>
        <v>15454.950000000003</v>
      </c>
      <c r="I41" s="963">
        <f t="shared" si="3"/>
        <v>38824.790000000008</v>
      </c>
      <c r="J41" s="963">
        <f t="shared" si="3"/>
        <v>16370.399999999998</v>
      </c>
      <c r="K41" s="963">
        <f t="shared" si="3"/>
        <v>7186.84</v>
      </c>
      <c r="L41" s="963">
        <f t="shared" si="3"/>
        <v>77836.98000000001</v>
      </c>
      <c r="M41" s="963">
        <f t="shared" si="3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4">SUM(H44)</f>
        <v>2152.5</v>
      </c>
      <c r="I45" s="963">
        <f t="shared" si="4"/>
        <v>6309.38</v>
      </c>
      <c r="J45" s="965">
        <f t="shared" si="4"/>
        <v>2280</v>
      </c>
      <c r="K45" s="963">
        <f t="shared" si="4"/>
        <v>25</v>
      </c>
      <c r="L45" s="965">
        <f t="shared" si="4"/>
        <v>10766.880000000001</v>
      </c>
      <c r="M45" s="965">
        <f t="shared" si="4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5">SUM(F48:F49)</f>
        <v>0</v>
      </c>
      <c r="G50" s="965">
        <f t="shared" si="5"/>
        <v>61500</v>
      </c>
      <c r="H50" s="965">
        <f t="shared" si="5"/>
        <v>1765.05</v>
      </c>
      <c r="I50" s="1071">
        <f t="shared" si="5"/>
        <v>0</v>
      </c>
      <c r="J50" s="965">
        <f t="shared" si="5"/>
        <v>1869.6</v>
      </c>
      <c r="K50" s="963">
        <f t="shared" si="5"/>
        <v>1765.46</v>
      </c>
      <c r="L50" s="965">
        <f t="shared" si="5"/>
        <v>5400.1100000000006</v>
      </c>
      <c r="M50" s="965">
        <f t="shared" si="5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6">SUM(E53:E53)</f>
        <v>35000</v>
      </c>
      <c r="F54" s="964">
        <f t="shared" si="6"/>
        <v>0</v>
      </c>
      <c r="G54" s="965">
        <f t="shared" si="6"/>
        <v>35000</v>
      </c>
      <c r="H54" s="965">
        <f t="shared" si="6"/>
        <v>1004.5</v>
      </c>
      <c r="I54" s="1071">
        <f t="shared" si="6"/>
        <v>0</v>
      </c>
      <c r="J54" s="965">
        <f t="shared" si="6"/>
        <v>1064</v>
      </c>
      <c r="K54" s="963">
        <f t="shared" si="6"/>
        <v>25</v>
      </c>
      <c r="L54" s="965">
        <f t="shared" si="6"/>
        <v>2093.5</v>
      </c>
      <c r="M54" s="965">
        <f t="shared" si="6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7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7"/>
        <v>3237.6</v>
      </c>
      <c r="K60" s="963">
        <f>SUM(K57:K59)</f>
        <v>2276.1999999999998</v>
      </c>
      <c r="L60" s="965">
        <f t="shared" si="7"/>
        <v>9506.9699999999993</v>
      </c>
      <c r="M60" s="965">
        <f t="shared" si="7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8">+H63+I63+J63+K63</f>
        <v>3532.4700000000003</v>
      </c>
      <c r="M63" s="953">
        <f t="shared" ref="M63:M73" si="9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8"/>
        <v>1898</v>
      </c>
      <c r="M64" s="953">
        <f t="shared" si="9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8"/>
        <v>6042.4</v>
      </c>
      <c r="M65" s="953">
        <f t="shared" si="9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8"/>
        <v>1798</v>
      </c>
      <c r="M66" s="953">
        <f t="shared" si="9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8"/>
        <v>1798</v>
      </c>
      <c r="M67" s="953">
        <f t="shared" si="9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8"/>
        <v>4341.3999999999996</v>
      </c>
      <c r="M68" s="953">
        <f t="shared" si="9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8"/>
        <v>1798</v>
      </c>
      <c r="M69" s="953">
        <f t="shared" si="9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8"/>
        <v>1798</v>
      </c>
      <c r="M70" s="953">
        <f t="shared" si="9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8"/>
        <v>1798</v>
      </c>
      <c r="M71" s="953">
        <f t="shared" si="9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8"/>
        <v>1798</v>
      </c>
      <c r="M72" s="953">
        <f t="shared" si="9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8"/>
        <v>1798</v>
      </c>
      <c r="M73" s="953">
        <f t="shared" si="9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0">SUM(G63:G73)</f>
        <v>343500</v>
      </c>
      <c r="H74" s="963">
        <f t="shared" si="10"/>
        <v>9858.4500000000007</v>
      </c>
      <c r="I74" s="963">
        <f t="shared" si="10"/>
        <v>936.62</v>
      </c>
      <c r="J74" s="963">
        <f t="shared" si="10"/>
        <v>10442.4</v>
      </c>
      <c r="K74" s="963">
        <f t="shared" si="10"/>
        <v>7162.7999999999993</v>
      </c>
      <c r="L74" s="963">
        <f t="shared" si="10"/>
        <v>28400.269999999997</v>
      </c>
      <c r="M74" s="963">
        <f t="shared" si="10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1">+H77+I77+J77+K77</f>
        <v>4532.17</v>
      </c>
      <c r="M77" s="953">
        <f t="shared" ref="M77:M87" si="12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1"/>
        <v>1602.5</v>
      </c>
      <c r="M78" s="953">
        <f t="shared" si="12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1"/>
        <v>1502.5</v>
      </c>
      <c r="M79" s="953">
        <f t="shared" si="12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1"/>
        <v>3002.5</v>
      </c>
      <c r="M80" s="951">
        <f t="shared" si="12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1"/>
        <v>1502.5</v>
      </c>
      <c r="M81" s="951">
        <f t="shared" si="12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1"/>
        <v>1502.5</v>
      </c>
      <c r="M82" s="951">
        <f t="shared" si="12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1"/>
        <v>3502.5</v>
      </c>
      <c r="M83" s="951">
        <f t="shared" si="12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1"/>
        <v>4502.5</v>
      </c>
      <c r="M84" s="951">
        <f t="shared" si="12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1"/>
        <v>1502.5</v>
      </c>
      <c r="M85" s="951">
        <f t="shared" si="12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1"/>
        <v>3502.5</v>
      </c>
      <c r="M86" s="951">
        <f t="shared" si="12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1"/>
        <v>5701.5599999999995</v>
      </c>
      <c r="M87" s="953">
        <f t="shared" si="12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3">SUM(G77:G88)</f>
        <v>330000</v>
      </c>
      <c r="H89" s="963">
        <f t="shared" si="13"/>
        <v>9471</v>
      </c>
      <c r="I89" s="963">
        <f t="shared" si="13"/>
        <v>936.32</v>
      </c>
      <c r="J89" s="963">
        <f t="shared" si="13"/>
        <v>10032</v>
      </c>
      <c r="K89" s="963">
        <f t="shared" si="13"/>
        <v>13714.91</v>
      </c>
      <c r="L89" s="963">
        <f t="shared" si="13"/>
        <v>34154.229999999996</v>
      </c>
      <c r="M89" s="963">
        <f t="shared" si="13"/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4">SUM(E92:E93)</f>
        <v>92500</v>
      </c>
      <c r="F94" s="964">
        <f t="shared" si="14"/>
        <v>0</v>
      </c>
      <c r="G94" s="965">
        <f t="shared" si="14"/>
        <v>92500</v>
      </c>
      <c r="H94" s="965">
        <f t="shared" si="14"/>
        <v>2654.75</v>
      </c>
      <c r="I94" s="963">
        <f t="shared" si="14"/>
        <v>2559.6799999999998</v>
      </c>
      <c r="J94" s="965">
        <f t="shared" si="14"/>
        <v>2812</v>
      </c>
      <c r="K94" s="963">
        <f t="shared" si="14"/>
        <v>1765.46</v>
      </c>
      <c r="L94" s="965">
        <f t="shared" si="14"/>
        <v>9791.89</v>
      </c>
      <c r="M94" s="965">
        <f t="shared" si="14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5">SUM(G97:G98)</f>
        <v>98500</v>
      </c>
      <c r="H99" s="965">
        <f t="shared" si="15"/>
        <v>2826.95</v>
      </c>
      <c r="I99" s="963">
        <f t="shared" si="15"/>
        <v>3496.2999999999997</v>
      </c>
      <c r="J99" s="965">
        <f t="shared" si="15"/>
        <v>2994.4</v>
      </c>
      <c r="K99" s="963">
        <f>SUM(K97:K98)</f>
        <v>1321.7</v>
      </c>
      <c r="L99" s="965">
        <f t="shared" si="15"/>
        <v>10639.35</v>
      </c>
      <c r="M99" s="965">
        <f t="shared" si="15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16">SUM(G102:G104)</f>
        <v>263500</v>
      </c>
      <c r="H105" s="963">
        <f t="shared" si="16"/>
        <v>7562.45</v>
      </c>
      <c r="I105" s="963">
        <f>SUM(I102:I104)</f>
        <v>23859.73</v>
      </c>
      <c r="J105" s="963">
        <f t="shared" si="16"/>
        <v>8010.4</v>
      </c>
      <c r="K105" s="963">
        <f t="shared" si="16"/>
        <v>7493.58</v>
      </c>
      <c r="L105" s="963">
        <f t="shared" si="16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7">SUM(G108:G109)</f>
        <v>87000</v>
      </c>
      <c r="H110" s="963">
        <f t="shared" si="17"/>
        <v>2496.9</v>
      </c>
      <c r="I110" s="963">
        <f t="shared" si="17"/>
        <v>1873.24</v>
      </c>
      <c r="J110" s="963">
        <f t="shared" si="17"/>
        <v>2644.8</v>
      </c>
      <c r="K110" s="963">
        <f t="shared" si="17"/>
        <v>50</v>
      </c>
      <c r="L110" s="963">
        <f t="shared" si="17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18">SUM(G113:G113)</f>
        <v>80000</v>
      </c>
      <c r="H114" s="965">
        <f t="shared" si="18"/>
        <v>2296</v>
      </c>
      <c r="I114" s="963">
        <f t="shared" si="18"/>
        <v>6972</v>
      </c>
      <c r="J114" s="965">
        <f t="shared" si="18"/>
        <v>2432</v>
      </c>
      <c r="K114" s="963">
        <f t="shared" si="18"/>
        <v>1740.46</v>
      </c>
      <c r="L114" s="965">
        <f t="shared" si="18"/>
        <v>13440.46</v>
      </c>
      <c r="M114" s="965">
        <f t="shared" si="18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19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19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19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19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19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19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0">SUM(E117:E123)</f>
        <v>507500</v>
      </c>
      <c r="F124" s="964">
        <f t="shared" si="20"/>
        <v>0</v>
      </c>
      <c r="G124" s="963">
        <f t="shared" si="20"/>
        <v>507500</v>
      </c>
      <c r="H124" s="963">
        <f t="shared" si="20"/>
        <v>14565.25</v>
      </c>
      <c r="I124" s="963">
        <f t="shared" si="20"/>
        <v>48953.08</v>
      </c>
      <c r="J124" s="963">
        <f t="shared" si="20"/>
        <v>15428</v>
      </c>
      <c r="K124" s="963">
        <f t="shared" si="20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1">SUM(F127:F128)</f>
        <v>0</v>
      </c>
      <c r="G129" s="963">
        <f t="shared" si="21"/>
        <v>93500</v>
      </c>
      <c r="H129" s="963">
        <f t="shared" si="21"/>
        <v>2683.45</v>
      </c>
      <c r="I129" s="963">
        <f t="shared" si="21"/>
        <v>2790.62</v>
      </c>
      <c r="J129" s="963">
        <f t="shared" si="21"/>
        <v>2842.4</v>
      </c>
      <c r="K129" s="963">
        <f t="shared" si="21"/>
        <v>2753</v>
      </c>
      <c r="L129" s="963">
        <f t="shared" si="21"/>
        <v>11069.470000000001</v>
      </c>
      <c r="M129" s="963">
        <f t="shared" si="21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>+H135+I135+J135+K135</f>
        <v>2331.06</v>
      </c>
      <c r="M135" s="951">
        <f>+G135-L135</f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>+H136+I136+J136+K136</f>
        <v>8101.31</v>
      </c>
      <c r="M136" s="951">
        <f>+G136-L136</f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2">SUM(G132:G136)</f>
        <v>282500</v>
      </c>
      <c r="H137" s="963">
        <f t="shared" si="22"/>
        <v>8107.75</v>
      </c>
      <c r="I137" s="963">
        <f t="shared" si="22"/>
        <v>15169.72</v>
      </c>
      <c r="J137" s="963">
        <f t="shared" si="22"/>
        <v>8588</v>
      </c>
      <c r="K137" s="963">
        <f t="shared" si="22"/>
        <v>3997.13</v>
      </c>
      <c r="L137" s="963">
        <f t="shared" si="22"/>
        <v>35862.6</v>
      </c>
      <c r="M137" s="963">
        <f t="shared" si="22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23">SUM(G140:G142)</f>
        <v>290000</v>
      </c>
      <c r="H143" s="965">
        <f t="shared" si="23"/>
        <v>8323</v>
      </c>
      <c r="I143" s="963">
        <f t="shared" si="23"/>
        <v>36255.85</v>
      </c>
      <c r="J143" s="965">
        <f t="shared" si="23"/>
        <v>8816</v>
      </c>
      <c r="K143" s="963">
        <f t="shared" si="23"/>
        <v>8977.2800000000007</v>
      </c>
      <c r="L143" s="965">
        <f t="shared" si="23"/>
        <v>62372.130000000005</v>
      </c>
      <c r="M143" s="965">
        <f t="shared" si="23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24">SUM(E146)</f>
        <v>80000</v>
      </c>
      <c r="F147" s="993">
        <f t="shared" si="24"/>
        <v>0</v>
      </c>
      <c r="G147" s="994">
        <f t="shared" si="24"/>
        <v>80000</v>
      </c>
      <c r="H147" s="994">
        <f t="shared" si="24"/>
        <v>2296</v>
      </c>
      <c r="I147" s="963">
        <f t="shared" si="24"/>
        <v>7400.87</v>
      </c>
      <c r="J147" s="994">
        <f t="shared" si="24"/>
        <v>2432</v>
      </c>
      <c r="K147" s="963">
        <f t="shared" si="24"/>
        <v>2097.1999999999998</v>
      </c>
      <c r="L147" s="994">
        <f>SUM(L146)</f>
        <v>14226.07</v>
      </c>
      <c r="M147" s="994">
        <f t="shared" si="24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5">SUM(E150:E150)</f>
        <v>43500</v>
      </c>
      <c r="F151" s="964">
        <f t="shared" si="25"/>
        <v>0</v>
      </c>
      <c r="G151" s="965">
        <f t="shared" si="25"/>
        <v>43500</v>
      </c>
      <c r="H151" s="965">
        <f t="shared" si="25"/>
        <v>1248.45</v>
      </c>
      <c r="I151" s="1091">
        <f t="shared" si="25"/>
        <v>936.62</v>
      </c>
      <c r="J151" s="996">
        <f t="shared" si="25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6">SUM(G154:G157)</f>
        <v>237000</v>
      </c>
      <c r="H158" s="963">
        <f t="shared" si="26"/>
        <v>6801.9</v>
      </c>
      <c r="I158" s="963">
        <f t="shared" si="26"/>
        <v>14642.59</v>
      </c>
      <c r="J158" s="963">
        <f t="shared" si="26"/>
        <v>7204.7999999999993</v>
      </c>
      <c r="K158" s="963">
        <f t="shared" si="26"/>
        <v>4643.3999999999996</v>
      </c>
      <c r="L158" s="963">
        <f t="shared" si="2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7">SUM(G161:G162)</f>
        <v>150000</v>
      </c>
      <c r="H163" s="963">
        <f t="shared" si="27"/>
        <v>4305</v>
      </c>
      <c r="I163" s="963">
        <f t="shared" si="27"/>
        <v>12769.349999999999</v>
      </c>
      <c r="J163" s="963">
        <f t="shared" si="27"/>
        <v>4560</v>
      </c>
      <c r="K163" s="963">
        <f t="shared" si="27"/>
        <v>1556</v>
      </c>
      <c r="L163" s="963">
        <f t="shared" si="27"/>
        <v>23190.35</v>
      </c>
      <c r="M163" s="963">
        <f t="shared" si="27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8">SUM(F166:F167)</f>
        <v>0</v>
      </c>
      <c r="G168" s="965">
        <f>SUM(G166:G167)</f>
        <v>123500</v>
      </c>
      <c r="H168" s="965">
        <f t="shared" si="28"/>
        <v>3544.45</v>
      </c>
      <c r="I168" s="963">
        <f t="shared" si="28"/>
        <v>8337.49</v>
      </c>
      <c r="J168" s="965">
        <f t="shared" si="28"/>
        <v>3754.4</v>
      </c>
      <c r="K168" s="963">
        <f t="shared" si="28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29">+H171+I171+J171+K171</f>
        <v>14697.269999999999</v>
      </c>
      <c r="M171" s="951">
        <f t="shared" ref="M171:M181" si="30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29"/>
        <v>3532.4700000000003</v>
      </c>
      <c r="M173" s="951">
        <f t="shared" si="30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29"/>
        <v>3532.4700000000003</v>
      </c>
      <c r="M174" s="951">
        <f t="shared" si="30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29"/>
        <v>3034.06</v>
      </c>
      <c r="M175" s="951">
        <f t="shared" si="30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29"/>
        <v>7854.75</v>
      </c>
      <c r="M176" s="951">
        <f t="shared" si="30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29"/>
        <v>2331.06</v>
      </c>
      <c r="M177" s="953">
        <f t="shared" si="30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29"/>
        <v>3532.4700000000003</v>
      </c>
      <c r="M178" s="953">
        <f t="shared" si="30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29"/>
        <v>3532.4700000000003</v>
      </c>
      <c r="M179" s="953">
        <f t="shared" si="30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29"/>
        <v>2331.06</v>
      </c>
      <c r="M180" s="953">
        <f t="shared" si="30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29"/>
        <v>2331.06</v>
      </c>
      <c r="M181" s="951">
        <f t="shared" si="30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 t="shared" ref="G182:M182" si="31">SUM(G171:G181)</f>
        <v>491000</v>
      </c>
      <c r="H182" s="963">
        <f t="shared" si="31"/>
        <v>14091.7</v>
      </c>
      <c r="I182" s="963">
        <f t="shared" si="31"/>
        <v>12865.19</v>
      </c>
      <c r="J182" s="963">
        <f t="shared" si="31"/>
        <v>14926.4</v>
      </c>
      <c r="K182" s="963">
        <f t="shared" si="31"/>
        <v>8358.32</v>
      </c>
      <c r="L182" s="963">
        <f t="shared" si="31"/>
        <v>50241.61</v>
      </c>
      <c r="M182" s="963">
        <f t="shared" si="31"/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32">+H185+I185+J185+K185</f>
        <v>23926.87</v>
      </c>
      <c r="M185" s="1031">
        <f t="shared" ref="M185:M218" si="33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32"/>
        <v>23926.87</v>
      </c>
      <c r="M186" s="1032">
        <f t="shared" si="33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32"/>
        <v>10766.880000000001</v>
      </c>
      <c r="M187" s="1032">
        <f t="shared" si="33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32"/>
        <v>12153.869999999999</v>
      </c>
      <c r="M188" s="1032">
        <f t="shared" si="33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32"/>
        <v>9530.48</v>
      </c>
      <c r="M189" s="1032">
        <f t="shared" si="33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32"/>
        <v>15451.01</v>
      </c>
      <c r="M190" s="1032">
        <f t="shared" si="33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3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3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4">+H193+I193+J193+K193</f>
        <v>5835.18</v>
      </c>
      <c r="M193" s="1032">
        <f t="shared" si="33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34"/>
        <v>3956.71</v>
      </c>
      <c r="M194" s="1032">
        <f t="shared" si="33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34"/>
        <v>1886.65</v>
      </c>
      <c r="M195" s="1032">
        <f t="shared" si="33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34"/>
        <v>1886.65</v>
      </c>
      <c r="M196" s="1031">
        <f t="shared" si="33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34"/>
        <v>1886.65</v>
      </c>
      <c r="M197" s="1031">
        <f t="shared" si="33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4"/>
        <v>3532.4700000000003</v>
      </c>
      <c r="M198" s="1032">
        <f t="shared" si="33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3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34"/>
        <v>3532.4700000000003</v>
      </c>
      <c r="M200" s="1031">
        <f t="shared" si="33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2">
        <f t="shared" si="33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2">
        <f t="shared" si="33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2">
        <f t="shared" si="33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34"/>
        <v>2331.06</v>
      </c>
      <c r="M204" s="1032">
        <f t="shared" si="33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34"/>
        <v>2331.06</v>
      </c>
      <c r="M205" s="1032">
        <f t="shared" si="33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34"/>
        <v>3532.4700000000003</v>
      </c>
      <c r="M206" s="1031">
        <f t="shared" si="33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34"/>
        <v>1502.5</v>
      </c>
      <c r="M207" s="1031">
        <f t="shared" si="33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34"/>
        <v>1502.5</v>
      </c>
      <c r="M208" s="1031">
        <f t="shared" si="33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34"/>
        <v>1502.5</v>
      </c>
      <c r="M209" s="1031">
        <f t="shared" si="33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4"/>
        <v>1502.5</v>
      </c>
      <c r="M210" s="1032">
        <f t="shared" si="33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4"/>
        <v>1502.5</v>
      </c>
      <c r="M211" s="1032">
        <f t="shared" si="33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2">
        <f t="shared" si="33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4"/>
        <v>1798</v>
      </c>
      <c r="M213" s="1032">
        <f t="shared" si="33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4"/>
        <v>1798</v>
      </c>
      <c r="M214" s="1032">
        <f t="shared" si="33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34"/>
        <v>1798</v>
      </c>
      <c r="M215" s="1031">
        <f t="shared" si="33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34"/>
        <v>3907</v>
      </c>
      <c r="M216" s="1031">
        <f t="shared" si="33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34"/>
        <v>1798</v>
      </c>
      <c r="M217" s="1031">
        <f t="shared" si="33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34"/>
        <v>1798</v>
      </c>
      <c r="M218" s="1031">
        <f t="shared" si="33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35">SUM(G185:G222)</f>
        <v>1692500</v>
      </c>
      <c r="H223" s="963">
        <f t="shared" si="35"/>
        <v>48574.75</v>
      </c>
      <c r="I223" s="963">
        <f t="shared" si="35"/>
        <v>77168.339999999967</v>
      </c>
      <c r="J223" s="963">
        <f t="shared" si="35"/>
        <v>51452</v>
      </c>
      <c r="K223" s="963">
        <f t="shared" si="35"/>
        <v>12339.3</v>
      </c>
      <c r="L223" s="963">
        <f t="shared" si="35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884" t="s">
        <v>1271</v>
      </c>
      <c r="B250" s="1884"/>
      <c r="C250" s="874"/>
      <c r="D250" s="874"/>
      <c r="E250" s="875"/>
      <c r="F250" s="873"/>
      <c r="G250" s="873"/>
      <c r="H250" s="1869" t="s">
        <v>852</v>
      </c>
      <c r="I250" s="1869"/>
      <c r="J250" s="1869"/>
      <c r="K250" s="1869"/>
      <c r="L250" s="1869"/>
      <c r="M250" s="1869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863" t="s">
        <v>1370</v>
      </c>
      <c r="J251" s="1863"/>
      <c r="K251" s="1863"/>
      <c r="L251" s="1863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1452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0"/>
      <c r="N12" s="1620"/>
      <c r="O12" s="162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>SUM(H43)</f>
        <v>0</v>
      </c>
      <c r="I44" s="697">
        <f t="shared" ref="I44:O44" si="6">SUM(I42:I43)</f>
        <v>175000</v>
      </c>
      <c r="J44" s="697">
        <f t="shared" si="6"/>
        <v>5022.5</v>
      </c>
      <c r="K44" s="697">
        <f t="shared" si="6"/>
        <v>19369.55</v>
      </c>
      <c r="L44" s="697">
        <f t="shared" si="6"/>
        <v>5320</v>
      </c>
      <c r="M44" s="676">
        <f>SUM(M42:M43)</f>
        <v>2593.4</v>
      </c>
      <c r="N44" s="697">
        <f t="shared" si="6"/>
        <v>32305.45</v>
      </c>
      <c r="O44" s="697">
        <f t="shared" si="6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7">+J47+K47+L47+M47</f>
        <v>25398.49</v>
      </c>
      <c r="O47" s="498">
        <f t="shared" ref="O47:O53" si="8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7"/>
        <v>25398.49</v>
      </c>
      <c r="O48" s="498">
        <f t="shared" si="8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7"/>
        <v>25398.49</v>
      </c>
      <c r="O49" s="498">
        <f t="shared" si="8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7"/>
        <v>25398.49</v>
      </c>
      <c r="O50" s="498">
        <f t="shared" si="8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7"/>
        <v>25398.49</v>
      </c>
      <c r="O51" s="498">
        <f t="shared" si="8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7"/>
        <v>22455.239999999998</v>
      </c>
      <c r="O52" s="498">
        <f t="shared" si="8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7"/>
        <v>23741.839999999997</v>
      </c>
      <c r="O53" s="626">
        <f t="shared" si="8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>SUM(H53)</f>
        <v>0</v>
      </c>
      <c r="I54" s="697">
        <f t="shared" ref="I54:O54" si="9">SUM(I47:I53)</f>
        <v>855000</v>
      </c>
      <c r="J54" s="697">
        <f t="shared" si="9"/>
        <v>24538.5</v>
      </c>
      <c r="K54" s="697">
        <f t="shared" si="9"/>
        <v>120768.57000000002</v>
      </c>
      <c r="L54" s="697">
        <f t="shared" si="9"/>
        <v>25992</v>
      </c>
      <c r="M54" s="676">
        <f t="shared" si="9"/>
        <v>1890.46</v>
      </c>
      <c r="N54" s="697">
        <f t="shared" si="9"/>
        <v>173189.53</v>
      </c>
      <c r="O54" s="697">
        <f t="shared" si="9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>SUM(H60)</f>
        <v>0</v>
      </c>
      <c r="I61" s="695">
        <f t="shared" ref="I61:O61" si="10">SUM(I57:I60)</f>
        <v>350000</v>
      </c>
      <c r="J61" s="695">
        <f t="shared" si="10"/>
        <v>10045</v>
      </c>
      <c r="K61" s="695">
        <f t="shared" si="10"/>
        <v>38090.26</v>
      </c>
      <c r="L61" s="695">
        <f t="shared" si="10"/>
        <v>10640</v>
      </c>
      <c r="M61" s="1099">
        <f t="shared" si="10"/>
        <v>100</v>
      </c>
      <c r="N61" s="695">
        <f t="shared" si="10"/>
        <v>58875.26</v>
      </c>
      <c r="O61" s="695">
        <f t="shared" si="10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1">SUM(H64)</f>
        <v>0</v>
      </c>
      <c r="I65" s="695">
        <f t="shared" si="11"/>
        <v>185000</v>
      </c>
      <c r="J65" s="695">
        <f t="shared" si="11"/>
        <v>5309.5</v>
      </c>
      <c r="K65" s="695">
        <f t="shared" si="11"/>
        <v>32099.49</v>
      </c>
      <c r="L65" s="695">
        <f t="shared" si="11"/>
        <v>5624</v>
      </c>
      <c r="M65" s="1099">
        <f>SUM(M64)</f>
        <v>4557.26</v>
      </c>
      <c r="N65" s="695">
        <f t="shared" si="11"/>
        <v>47590.250000000007</v>
      </c>
      <c r="O65" s="695">
        <f t="shared" si="11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>SUM(H69)</f>
        <v>0</v>
      </c>
      <c r="I70" s="695">
        <f t="shared" ref="I70:O70" si="12">SUM(I68:I69)</f>
        <v>120000</v>
      </c>
      <c r="J70" s="695">
        <f t="shared" si="12"/>
        <v>3444</v>
      </c>
      <c r="K70" s="695">
        <f t="shared" si="12"/>
        <v>6973.36</v>
      </c>
      <c r="L70" s="695">
        <f t="shared" si="12"/>
        <v>3648</v>
      </c>
      <c r="M70" s="1099">
        <f>SUM(M68:M69)</f>
        <v>50</v>
      </c>
      <c r="N70" s="695">
        <f t="shared" si="12"/>
        <v>14115.36</v>
      </c>
      <c r="O70" s="695">
        <f t="shared" si="12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3">SUM(H77)</f>
        <v>0</v>
      </c>
      <c r="I78" s="695">
        <f t="shared" si="13"/>
        <v>120000</v>
      </c>
      <c r="J78" s="695">
        <f t="shared" si="13"/>
        <v>3444</v>
      </c>
      <c r="K78" s="695">
        <f t="shared" si="13"/>
        <v>16809.87</v>
      </c>
      <c r="L78" s="695">
        <f t="shared" si="13"/>
        <v>3648</v>
      </c>
      <c r="M78" s="1099">
        <f>SUM(M77)</f>
        <v>4169.3999999999996</v>
      </c>
      <c r="N78" s="695">
        <f t="shared" si="13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14">+J80+K80+L80+M80</f>
        <v>9530.48</v>
      </c>
      <c r="O80" s="468">
        <f t="shared" ref="O80:O85" si="15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14"/>
        <v>9530.48</v>
      </c>
      <c r="O81" s="468">
        <f t="shared" si="15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14"/>
        <v>9530.48</v>
      </c>
      <c r="O82" s="468">
        <f t="shared" si="15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14"/>
        <v>8294.08</v>
      </c>
      <c r="O83" s="468">
        <f t="shared" si="15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14"/>
        <v>8294.08</v>
      </c>
      <c r="O84" s="468">
        <f t="shared" si="15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14"/>
        <v>5835.18</v>
      </c>
      <c r="O85" s="468">
        <f t="shared" si="15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>SUM(H85)</f>
        <v>0</v>
      </c>
      <c r="I86" s="695">
        <f t="shared" ref="I86:N86" si="16">SUM(I80:I85)</f>
        <v>395000</v>
      </c>
      <c r="J86" s="695">
        <f t="shared" si="16"/>
        <v>11336.5</v>
      </c>
      <c r="K86" s="695">
        <f t="shared" si="16"/>
        <v>27520.28</v>
      </c>
      <c r="L86" s="695">
        <f t="shared" si="16"/>
        <v>12008</v>
      </c>
      <c r="M86" s="1099">
        <f>SUM(M80:M85)</f>
        <v>150</v>
      </c>
      <c r="N86" s="695">
        <f t="shared" si="16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17">SUM(H89)</f>
        <v>0</v>
      </c>
      <c r="I90" s="695">
        <f t="shared" si="17"/>
        <v>70000</v>
      </c>
      <c r="J90" s="695">
        <f t="shared" si="17"/>
        <v>2009</v>
      </c>
      <c r="K90" s="695">
        <f t="shared" si="17"/>
        <v>5368.48</v>
      </c>
      <c r="L90" s="695">
        <f t="shared" si="17"/>
        <v>2128</v>
      </c>
      <c r="M90" s="1099">
        <f>SUM(M89)</f>
        <v>525</v>
      </c>
      <c r="N90" s="695">
        <f>SUM(N89)</f>
        <v>10030.48</v>
      </c>
      <c r="O90" s="695">
        <f t="shared" si="17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>+J93+K93+L93+M93</f>
        <v>23926.87</v>
      </c>
      <c r="O93" s="468">
        <f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18">+J95+K95+L95+M95</f>
        <v>9530.48</v>
      </c>
      <c r="O95" s="468">
        <f t="shared" ref="O95:O105" si="19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18"/>
        <v>9530.48</v>
      </c>
      <c r="O96" s="468">
        <f t="shared" si="19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18"/>
        <v>10902.84</v>
      </c>
      <c r="O97" s="468">
        <f t="shared" si="19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18"/>
        <v>12275.210000000001</v>
      </c>
      <c r="O98" s="468">
        <f t="shared" si="19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18"/>
        <v>10902.84</v>
      </c>
      <c r="O99" s="468">
        <f t="shared" si="19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18"/>
        <v>9530.48</v>
      </c>
      <c r="O101" s="468">
        <f t="shared" si="19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8"/>
        <v>9530.48</v>
      </c>
      <c r="O102" s="468">
        <f t="shared" si="19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18"/>
        <v>9530.48</v>
      </c>
      <c r="O103" s="468">
        <f t="shared" si="19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18"/>
        <v>8294.08</v>
      </c>
      <c r="O105" s="468">
        <f t="shared" si="19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18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18"/>
        <v>8294.08</v>
      </c>
      <c r="O107" s="468">
        <f t="shared" ref="O107:O123" si="20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18"/>
        <v>8294.08</v>
      </c>
      <c r="O108" s="468">
        <f t="shared" si="20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20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 t="shared" si="20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si="20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>+J116+K116+L116+M116</f>
        <v>8294.08</v>
      </c>
      <c r="O116" s="468">
        <f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>+J117+K117+L117+M117</f>
        <v>9530.48</v>
      </c>
      <c r="O117" s="468">
        <f>+I117-N117</f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>+J119+K119+L119+M119</f>
        <v>8294.08</v>
      </c>
      <c r="O119" s="468">
        <f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21">+J121+K121+L121+M121</f>
        <v>3832.83</v>
      </c>
      <c r="O121" s="468">
        <f t="shared" si="20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21"/>
        <v>5290.97</v>
      </c>
      <c r="O122" s="468">
        <f t="shared" si="20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21"/>
        <v>3532.4700000000003</v>
      </c>
      <c r="O123" s="468">
        <f t="shared" si="20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21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21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21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22">SUM(I93:I126)</f>
        <v>2240500</v>
      </c>
      <c r="J127" s="695">
        <f t="shared" si="22"/>
        <v>64302.349999999991</v>
      </c>
      <c r="K127" s="695">
        <f t="shared" si="22"/>
        <v>146351.45999999996</v>
      </c>
      <c r="L127" s="695">
        <f t="shared" si="22"/>
        <v>68111.199999999997</v>
      </c>
      <c r="M127" s="1099">
        <f t="shared" si="22"/>
        <v>11142.759999999998</v>
      </c>
      <c r="N127" s="695">
        <f t="shared" si="22"/>
        <v>289907.76999999973</v>
      </c>
      <c r="O127" s="695">
        <f t="shared" si="22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23">+I16+I20+I25+I30+I35+I39+I44+I54+I61+I65+I70+I74+I78+I86+I90+I127</f>
        <v>5525500</v>
      </c>
      <c r="J129" s="1126">
        <f t="shared" si="23"/>
        <v>158581.84999999998</v>
      </c>
      <c r="K129" s="1126">
        <f t="shared" si="23"/>
        <v>532597.36</v>
      </c>
      <c r="L129" s="1126">
        <f t="shared" si="23"/>
        <v>167975.2</v>
      </c>
      <c r="M129" s="1126">
        <f t="shared" si="23"/>
        <v>55791.839999999997</v>
      </c>
      <c r="N129" s="1126">
        <f t="shared" si="23"/>
        <v>914946.24999999977</v>
      </c>
      <c r="O129" s="1126">
        <f t="shared" si="23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22" t="s">
        <v>1375</v>
      </c>
      <c r="J149" s="1622"/>
      <c r="K149" s="1622"/>
      <c r="L149" s="1622"/>
      <c r="M149" s="1622"/>
      <c r="N149" s="1622"/>
      <c r="O149" s="1622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23" t="s">
        <v>1224</v>
      </c>
      <c r="J150" s="1623"/>
      <c r="K150" s="1623"/>
      <c r="L150" s="1623"/>
      <c r="M150" s="1623"/>
      <c r="N150" s="1623"/>
      <c r="O150" s="162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1732"/>
      <c r="O6" s="1732"/>
    </row>
    <row r="7" spans="2:15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1453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4" t="s">
        <v>5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  <c r="N10" s="1734"/>
      <c r="O10" s="1734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88" t="s">
        <v>7</v>
      </c>
      <c r="C12" s="1887" t="s">
        <v>937</v>
      </c>
      <c r="D12" s="1887" t="s">
        <v>8</v>
      </c>
      <c r="E12" s="1887" t="s">
        <v>10</v>
      </c>
      <c r="F12" s="1887" t="s">
        <v>11</v>
      </c>
      <c r="G12" s="1047" t="s">
        <v>12</v>
      </c>
      <c r="H12" s="1887" t="s">
        <v>13</v>
      </c>
      <c r="I12" s="1887" t="s">
        <v>14</v>
      </c>
      <c r="J12" s="1887" t="s">
        <v>15</v>
      </c>
      <c r="K12" s="1887" t="s">
        <v>16</v>
      </c>
      <c r="L12" s="1887" t="s">
        <v>17</v>
      </c>
      <c r="M12" s="1887" t="s">
        <v>18</v>
      </c>
      <c r="N12" s="1887" t="s">
        <v>19</v>
      </c>
      <c r="O12" s="1887" t="s">
        <v>20</v>
      </c>
    </row>
    <row r="13" spans="2:15" x14ac:dyDescent="0.25">
      <c r="B13" s="1889"/>
      <c r="C13" s="1887"/>
      <c r="D13" s="1887"/>
      <c r="E13" s="1887"/>
      <c r="F13" s="1887"/>
      <c r="G13" s="1047" t="s">
        <v>21</v>
      </c>
      <c r="H13" s="1887"/>
      <c r="I13" s="1887"/>
      <c r="J13" s="1887"/>
      <c r="K13" s="1887"/>
      <c r="L13" s="1887"/>
      <c r="M13" s="1887"/>
      <c r="N13" s="1887"/>
      <c r="O13" s="188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70" t="s">
        <v>1269</v>
      </c>
      <c r="C48" s="1870"/>
      <c r="D48" s="1870"/>
      <c r="E48" s="753"/>
      <c r="F48" s="753"/>
      <c r="G48" s="754"/>
      <c r="H48" s="755"/>
      <c r="J48" s="1871" t="s">
        <v>852</v>
      </c>
      <c r="K48" s="1871"/>
      <c r="L48" s="1871"/>
      <c r="M48" s="1871"/>
      <c r="N48" s="1871"/>
      <c r="O48" s="1871"/>
    </row>
    <row r="49" spans="2:15" s="259" customFormat="1" ht="19.5" customHeight="1" x14ac:dyDescent="0.25">
      <c r="B49" s="1809" t="s">
        <v>1270</v>
      </c>
      <c r="C49" s="1809"/>
      <c r="D49" s="1809"/>
      <c r="E49" s="753"/>
      <c r="F49" s="753"/>
      <c r="G49" s="754"/>
      <c r="H49" s="755"/>
      <c r="J49" s="1623" t="s">
        <v>1224</v>
      </c>
      <c r="K49" s="1623"/>
      <c r="L49" s="1623"/>
      <c r="M49" s="1623"/>
      <c r="N49" s="1623"/>
      <c r="O49" s="162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810"/>
      <c r="K61" s="1810"/>
      <c r="L61" s="1810"/>
      <c r="M61" s="1810"/>
      <c r="N61" s="1810"/>
      <c r="O61" s="1810"/>
    </row>
    <row r="62" spans="2:15" ht="15.75" x14ac:dyDescent="0.25">
      <c r="B62" s="267"/>
      <c r="C62" s="267"/>
      <c r="D62" s="267"/>
      <c r="E62" s="268"/>
      <c r="F62" s="268"/>
      <c r="G62" s="269"/>
      <c r="H62" s="1738"/>
      <c r="I62" s="1738"/>
      <c r="J62" s="1738"/>
      <c r="K62" s="1738"/>
      <c r="L62" s="1738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3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3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3" x14ac:dyDescent="0.25">
      <c r="B8" s="1881" t="s">
        <v>1454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3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90" t="s">
        <v>7</v>
      </c>
      <c r="C11" s="1890" t="s">
        <v>802</v>
      </c>
      <c r="D11" s="1891" t="s">
        <v>9</v>
      </c>
      <c r="E11" s="1046" t="s">
        <v>12</v>
      </c>
      <c r="F11" s="1893" t="s">
        <v>13</v>
      </c>
      <c r="G11" s="1892" t="s">
        <v>14</v>
      </c>
      <c r="H11" s="1892" t="s">
        <v>15</v>
      </c>
      <c r="I11" s="1892" t="s">
        <v>16</v>
      </c>
      <c r="J11" s="1892" t="s">
        <v>17</v>
      </c>
      <c r="K11" s="1892" t="s">
        <v>18</v>
      </c>
      <c r="L11" s="1892" t="s">
        <v>19</v>
      </c>
      <c r="M11" s="1892" t="s">
        <v>20</v>
      </c>
    </row>
    <row r="12" spans="2:13" ht="16.5" customHeight="1" x14ac:dyDescent="0.25">
      <c r="B12" s="1890"/>
      <c r="C12" s="1890"/>
      <c r="D12" s="1891"/>
      <c r="E12" s="1046" t="s">
        <v>21</v>
      </c>
      <c r="F12" s="1893"/>
      <c r="G12" s="1892"/>
      <c r="H12" s="1892"/>
      <c r="I12" s="1892"/>
      <c r="J12" s="1892"/>
      <c r="K12" s="1892"/>
      <c r="L12" s="1892"/>
      <c r="M12" s="1892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7">+G15+G19+G23+G31+G35+G39+G44+G48+G52+G26</f>
        <v>218000</v>
      </c>
      <c r="H55" s="1130">
        <f t="shared" si="7"/>
        <v>6256.6</v>
      </c>
      <c r="I55" s="1130">
        <f t="shared" si="7"/>
        <v>40127.730000000003</v>
      </c>
      <c r="J55" s="1130">
        <f t="shared" si="7"/>
        <v>6627.2</v>
      </c>
      <c r="K55" s="1131">
        <v>0</v>
      </c>
      <c r="L55" s="1130">
        <f t="shared" si="7"/>
        <v>53011.53</v>
      </c>
      <c r="M55" s="1130">
        <f t="shared" si="7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877" t="s">
        <v>1372</v>
      </c>
      <c r="H69" s="1877"/>
      <c r="I69" s="1877"/>
      <c r="J69" s="1877"/>
      <c r="K69" s="1877"/>
      <c r="L69" s="1877"/>
    </row>
    <row r="70" spans="2:12" x14ac:dyDescent="0.25">
      <c r="B70" s="1083" t="s">
        <v>1238</v>
      </c>
      <c r="C70" s="1083"/>
      <c r="D70" s="921"/>
      <c r="E70" s="915"/>
      <c r="F70" s="915"/>
      <c r="G70" s="1875" t="s">
        <v>1222</v>
      </c>
      <c r="H70" s="1875"/>
      <c r="I70" s="1875"/>
      <c r="J70" s="1875"/>
      <c r="K70" s="1875"/>
      <c r="L70" s="1875"/>
    </row>
    <row r="71" spans="2:12" x14ac:dyDescent="0.25">
      <c r="B71" s="916" t="s">
        <v>1239</v>
      </c>
      <c r="C71" s="916"/>
      <c r="D71" s="915"/>
      <c r="E71" s="915"/>
      <c r="F71" s="923"/>
      <c r="G71" s="1874" t="s">
        <v>1224</v>
      </c>
      <c r="H71" s="1874"/>
      <c r="I71" s="1874"/>
      <c r="J71" s="1874"/>
      <c r="K71" s="1874"/>
      <c r="L71" s="1874"/>
    </row>
    <row r="81" spans="5:13" x14ac:dyDescent="0.25">
      <c r="E81" s="924"/>
      <c r="F81" s="923"/>
      <c r="G81" s="915"/>
      <c r="H81" s="1879"/>
      <c r="I81" s="1879"/>
      <c r="J81" s="1879"/>
      <c r="K81" s="1879"/>
      <c r="L81" s="1879"/>
      <c r="M81" s="1879"/>
    </row>
    <row r="82" spans="5:13" x14ac:dyDescent="0.25">
      <c r="E82" s="925"/>
      <c r="F82" s="1872"/>
      <c r="G82" s="1872"/>
      <c r="H82" s="1872"/>
      <c r="I82" s="1872"/>
      <c r="J82" s="1872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17" t="s">
        <v>0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</row>
    <row r="6" spans="2:13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1455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731" t="s">
        <v>1197</v>
      </c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16" t="s">
        <v>7</v>
      </c>
      <c r="C11" s="1615" t="s">
        <v>802</v>
      </c>
      <c r="D11" s="1615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616"/>
      <c r="C12" s="1615"/>
      <c r="D12" s="1615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2" t="s">
        <v>1250</v>
      </c>
      <c r="H38" s="1862"/>
      <c r="I38" s="1862"/>
      <c r="J38" s="1862"/>
      <c r="K38" s="1862"/>
      <c r="L38" s="1862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08" t="s">
        <v>852</v>
      </c>
      <c r="H39" s="1808"/>
      <c r="I39" s="1808"/>
      <c r="J39" s="1808"/>
      <c r="K39" s="1808"/>
      <c r="L39" s="180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809" t="s">
        <v>1257</v>
      </c>
      <c r="H40" s="1809"/>
      <c r="I40" s="1809"/>
      <c r="J40" s="1809"/>
      <c r="K40" s="1809"/>
      <c r="L40" s="1809"/>
      <c r="M40" s="537"/>
    </row>
    <row r="41" spans="2:13" x14ac:dyDescent="0.25">
      <c r="B41" s="546"/>
      <c r="C41" s="546"/>
      <c r="D41" s="547"/>
      <c r="E41" s="541"/>
      <c r="F41" s="540"/>
      <c r="G41" s="537"/>
      <c r="H41" s="1810"/>
      <c r="I41" s="1810"/>
      <c r="J41" s="1810"/>
      <c r="K41" s="1810"/>
      <c r="L41" s="1810"/>
      <c r="M41" s="1810"/>
    </row>
    <row r="42" spans="2:13" ht="15.75" x14ac:dyDescent="0.25">
      <c r="B42" s="267"/>
      <c r="C42" s="267"/>
      <c r="D42" s="268"/>
      <c r="E42" s="269"/>
      <c r="F42" s="1738"/>
      <c r="G42" s="1738"/>
      <c r="H42" s="1738"/>
      <c r="I42" s="1738"/>
      <c r="J42" s="1738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1732"/>
      <c r="O6" s="259"/>
    </row>
    <row r="7" spans="2:15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259"/>
    </row>
    <row r="8" spans="2:15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259"/>
    </row>
    <row r="9" spans="2:15" x14ac:dyDescent="0.25">
      <c r="B9" s="1732" t="s">
        <v>1457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259"/>
    </row>
    <row r="10" spans="2:15" x14ac:dyDescent="0.25">
      <c r="B10" s="1819" t="s">
        <v>412</v>
      </c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  <c r="N10" s="1819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16" t="s">
        <v>7</v>
      </c>
      <c r="C12" s="1615" t="s">
        <v>937</v>
      </c>
      <c r="D12" s="1615" t="s">
        <v>9</v>
      </c>
      <c r="E12" s="1067" t="s">
        <v>832</v>
      </c>
      <c r="F12" s="1895" t="s">
        <v>12</v>
      </c>
      <c r="G12" s="1894" t="s">
        <v>13</v>
      </c>
      <c r="H12" s="1894" t="s">
        <v>14</v>
      </c>
      <c r="I12" s="1894" t="s">
        <v>15</v>
      </c>
      <c r="J12" s="1894" t="s">
        <v>16</v>
      </c>
      <c r="K12" s="1894" t="s">
        <v>17</v>
      </c>
      <c r="L12" s="1894" t="s">
        <v>18</v>
      </c>
      <c r="M12" s="1894" t="s">
        <v>19</v>
      </c>
      <c r="N12" s="1616" t="s">
        <v>20</v>
      </c>
    </row>
    <row r="13" spans="2:15" x14ac:dyDescent="0.25">
      <c r="B13" s="1616"/>
      <c r="C13" s="1615"/>
      <c r="D13" s="1615"/>
      <c r="E13" s="1067" t="s">
        <v>21</v>
      </c>
      <c r="F13" s="1895" t="s">
        <v>21</v>
      </c>
      <c r="G13" s="1894"/>
      <c r="H13" s="1894"/>
      <c r="I13" s="1894"/>
      <c r="J13" s="1894"/>
      <c r="K13" s="1894"/>
      <c r="L13" s="1894"/>
      <c r="M13" s="1894"/>
      <c r="N13" s="161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>SUM(G17)</f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807" t="s">
        <v>1225</v>
      </c>
      <c r="J36" s="1807"/>
      <c r="K36" s="1807"/>
      <c r="L36" s="1807"/>
      <c r="M36" s="1807"/>
      <c r="N36" s="1807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808" t="s">
        <v>852</v>
      </c>
      <c r="J37" s="1808"/>
      <c r="K37" s="1808"/>
      <c r="L37" s="1808"/>
      <c r="M37" s="1808"/>
      <c r="N37" s="1808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809" t="s">
        <v>1445</v>
      </c>
      <c r="J38" s="1809"/>
      <c r="K38" s="1809"/>
      <c r="L38" s="1809"/>
      <c r="M38" s="1809"/>
      <c r="N38" s="1809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810"/>
      <c r="K39" s="1810"/>
      <c r="L39" s="1810"/>
      <c r="M39" s="1810"/>
      <c r="N39" s="1810"/>
      <c r="O39" s="1810"/>
    </row>
    <row r="40" spans="2:15" ht="15.75" x14ac:dyDescent="0.25">
      <c r="B40" s="267"/>
      <c r="C40" s="267"/>
      <c r="D40" s="267"/>
      <c r="E40" s="268"/>
      <c r="F40" s="268"/>
      <c r="G40" s="269"/>
      <c r="H40" s="1738"/>
      <c r="I40" s="1738"/>
      <c r="J40" s="1738"/>
      <c r="K40" s="1738"/>
      <c r="L40" s="1738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1466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2" t="s">
        <v>1255</v>
      </c>
      <c r="H31" s="1862"/>
      <c r="I31" s="1862"/>
      <c r="J31" s="1862"/>
      <c r="K31" s="1862"/>
      <c r="L31" s="186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8" t="s">
        <v>852</v>
      </c>
      <c r="H32" s="1808"/>
      <c r="I32" s="1808"/>
      <c r="J32" s="1808"/>
      <c r="K32" s="1808"/>
      <c r="L32" s="180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09" t="s">
        <v>1257</v>
      </c>
      <c r="H33" s="1809"/>
      <c r="I33" s="1809"/>
      <c r="J33" s="1809"/>
      <c r="K33" s="1809"/>
      <c r="L33" s="1809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0"/>
      <c r="I34" s="1810"/>
      <c r="J34" s="1810"/>
      <c r="K34" s="1810"/>
      <c r="L34" s="1810"/>
      <c r="M34" s="1810"/>
    </row>
    <row r="35" spans="2:13" ht="15.75" x14ac:dyDescent="0.25">
      <c r="B35" s="267"/>
      <c r="C35" s="267"/>
      <c r="D35" s="268"/>
      <c r="E35" s="269"/>
      <c r="F35" s="1738"/>
      <c r="G35" s="1738"/>
      <c r="H35" s="1738"/>
      <c r="I35" s="1738"/>
      <c r="J35" s="173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4" t="s">
        <v>0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0.75" customHeight="1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1469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96" t="s">
        <v>16</v>
      </c>
      <c r="J12" s="1886" t="s">
        <v>17</v>
      </c>
      <c r="K12" s="1886" t="s">
        <v>18</v>
      </c>
      <c r="L12" s="189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96"/>
      <c r="J13" s="1886"/>
      <c r="K13" s="1886"/>
      <c r="L13" s="189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3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3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3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3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3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3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3">
        <f t="shared" si="3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3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4">SUM(G32:G40)</f>
        <v>538500</v>
      </c>
      <c r="H41" s="963">
        <f t="shared" si="4"/>
        <v>15454.950000000003</v>
      </c>
      <c r="I41" s="963">
        <f t="shared" si="4"/>
        <v>38824.790000000008</v>
      </c>
      <c r="J41" s="963">
        <f t="shared" si="4"/>
        <v>16370.399999999998</v>
      </c>
      <c r="K41" s="963">
        <f t="shared" si="4"/>
        <v>7186.84</v>
      </c>
      <c r="L41" s="963">
        <f t="shared" si="4"/>
        <v>77836.98000000001</v>
      </c>
      <c r="M41" s="963">
        <f t="shared" si="4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5">SUM(H44)</f>
        <v>2152.5</v>
      </c>
      <c r="I45" s="963">
        <f t="shared" si="5"/>
        <v>6309.38</v>
      </c>
      <c r="J45" s="965">
        <f t="shared" si="5"/>
        <v>2280</v>
      </c>
      <c r="K45" s="963">
        <f t="shared" si="5"/>
        <v>25</v>
      </c>
      <c r="L45" s="963">
        <f t="shared" si="5"/>
        <v>10766.880000000001</v>
      </c>
      <c r="M45" s="965">
        <f t="shared" si="5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6">SUM(F48:F49)</f>
        <v>0</v>
      </c>
      <c r="G50" s="965">
        <f t="shared" si="6"/>
        <v>61500</v>
      </c>
      <c r="H50" s="965">
        <f t="shared" si="6"/>
        <v>1765.05</v>
      </c>
      <c r="I50" s="1071">
        <f t="shared" si="6"/>
        <v>0</v>
      </c>
      <c r="J50" s="965">
        <f t="shared" si="6"/>
        <v>1869.6</v>
      </c>
      <c r="K50" s="963">
        <f t="shared" si="6"/>
        <v>1765.46</v>
      </c>
      <c r="L50" s="963">
        <f t="shared" si="6"/>
        <v>5400.1100000000006</v>
      </c>
      <c r="M50" s="965">
        <f t="shared" si="6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7">SUM(E53:E53)</f>
        <v>35000</v>
      </c>
      <c r="F54" s="964">
        <f t="shared" si="7"/>
        <v>0</v>
      </c>
      <c r="G54" s="965">
        <f t="shared" si="7"/>
        <v>35000</v>
      </c>
      <c r="H54" s="965">
        <f t="shared" si="7"/>
        <v>1004.5</v>
      </c>
      <c r="I54" s="1071">
        <f t="shared" si="7"/>
        <v>0</v>
      </c>
      <c r="J54" s="965">
        <f t="shared" si="7"/>
        <v>1064</v>
      </c>
      <c r="K54" s="963">
        <f t="shared" si="7"/>
        <v>25</v>
      </c>
      <c r="L54" s="963">
        <f t="shared" si="7"/>
        <v>2093.5</v>
      </c>
      <c r="M54" s="965">
        <f t="shared" si="7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 t="shared" ref="E60:M60" si="8">SUM(E57:E59)</f>
        <v>106500</v>
      </c>
      <c r="F60" s="964">
        <f t="shared" si="8"/>
        <v>0</v>
      </c>
      <c r="G60" s="965">
        <f t="shared" si="8"/>
        <v>106500</v>
      </c>
      <c r="H60" s="965">
        <f t="shared" si="8"/>
        <v>3056.55</v>
      </c>
      <c r="I60" s="1071">
        <f t="shared" si="8"/>
        <v>936.62</v>
      </c>
      <c r="J60" s="965">
        <f t="shared" si="8"/>
        <v>3237.6</v>
      </c>
      <c r="K60" s="963">
        <f t="shared" si="8"/>
        <v>2276.1999999999998</v>
      </c>
      <c r="L60" s="963">
        <f t="shared" si="8"/>
        <v>9506.9699999999993</v>
      </c>
      <c r="M60" s="965">
        <f t="shared" si="8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9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9"/>
        <v>1898</v>
      </c>
      <c r="M64" s="953">
        <f t="shared" ref="M64:M73" si="10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9"/>
        <v>6042.4</v>
      </c>
      <c r="M65" s="953">
        <f t="shared" si="10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9"/>
        <v>1798</v>
      </c>
      <c r="M66" s="953">
        <f t="shared" si="10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9"/>
        <v>1798</v>
      </c>
      <c r="M67" s="953">
        <f t="shared" si="10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9"/>
        <v>4341.3999999999996</v>
      </c>
      <c r="M68" s="953">
        <f t="shared" si="10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9"/>
        <v>1798</v>
      </c>
      <c r="M69" s="953">
        <f t="shared" si="10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9"/>
        <v>1798</v>
      </c>
      <c r="M70" s="953">
        <f t="shared" si="10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9"/>
        <v>1798</v>
      </c>
      <c r="M71" s="953">
        <f t="shared" si="10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9"/>
        <v>1798</v>
      </c>
      <c r="M72" s="953">
        <f t="shared" si="10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9"/>
        <v>1798</v>
      </c>
      <c r="M73" s="953">
        <f t="shared" si="10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1">SUM(G63:G73)</f>
        <v>343500</v>
      </c>
      <c r="H74" s="963">
        <f t="shared" si="11"/>
        <v>9858.4500000000007</v>
      </c>
      <c r="I74" s="963">
        <f t="shared" si="11"/>
        <v>936.62</v>
      </c>
      <c r="J74" s="963">
        <f t="shared" si="11"/>
        <v>10442.4</v>
      </c>
      <c r="K74" s="963">
        <f t="shared" si="11"/>
        <v>7162.7999999999993</v>
      </c>
      <c r="L74" s="963">
        <f>SUM(L63:L73)</f>
        <v>28400.269999999997</v>
      </c>
      <c r="M74" s="963">
        <f t="shared" si="11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2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2"/>
        <v>1602.5</v>
      </c>
      <c r="M78" s="953">
        <f t="shared" ref="M78:M88" si="13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2"/>
        <v>1502.5</v>
      </c>
      <c r="M79" s="953">
        <f t="shared" si="13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2"/>
        <v>1502.5</v>
      </c>
      <c r="M80" s="953">
        <f t="shared" si="13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2"/>
        <v>1502.5</v>
      </c>
      <c r="M81" s="953">
        <f t="shared" si="13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2"/>
        <v>1502.5</v>
      </c>
      <c r="M82" s="953">
        <f t="shared" si="13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2"/>
        <v>3502.5</v>
      </c>
      <c r="M83" s="953">
        <f t="shared" si="13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2"/>
        <v>4502.5</v>
      </c>
      <c r="M84" s="953">
        <f t="shared" si="13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2"/>
        <v>1502.5</v>
      </c>
      <c r="M85" s="953">
        <f t="shared" si="13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3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2"/>
        <v>5701.5599999999995</v>
      </c>
      <c r="M87" s="953">
        <f t="shared" si="13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3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4">SUM(G77:G88)</f>
        <v>330000</v>
      </c>
      <c r="H89" s="963">
        <f t="shared" si="14"/>
        <v>9471</v>
      </c>
      <c r="I89" s="963">
        <f t="shared" si="14"/>
        <v>936.62</v>
      </c>
      <c r="J89" s="963">
        <f t="shared" si="14"/>
        <v>10032</v>
      </c>
      <c r="K89" s="963">
        <f t="shared" si="14"/>
        <v>14543.57</v>
      </c>
      <c r="L89" s="963">
        <f t="shared" si="14"/>
        <v>34983.19</v>
      </c>
      <c r="M89" s="963">
        <f t="shared" si="14"/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5">SUM(E92:E93)</f>
        <v>92500</v>
      </c>
      <c r="F94" s="964">
        <f t="shared" si="15"/>
        <v>0</v>
      </c>
      <c r="G94" s="965">
        <f t="shared" si="15"/>
        <v>92500</v>
      </c>
      <c r="H94" s="965">
        <f t="shared" si="15"/>
        <v>2654.75</v>
      </c>
      <c r="I94" s="963">
        <f t="shared" si="15"/>
        <v>2559.6799999999998</v>
      </c>
      <c r="J94" s="965">
        <f t="shared" si="15"/>
        <v>2812</v>
      </c>
      <c r="K94" s="963">
        <f t="shared" si="15"/>
        <v>1765.46</v>
      </c>
      <c r="L94" s="963">
        <f t="shared" si="15"/>
        <v>9791.89</v>
      </c>
      <c r="M94" s="965">
        <f t="shared" si="15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6">SUM(G97:G98)</f>
        <v>98500</v>
      </c>
      <c r="H99" s="965">
        <f t="shared" si="16"/>
        <v>2826.95</v>
      </c>
      <c r="I99" s="963">
        <f t="shared" si="16"/>
        <v>3496.2999999999997</v>
      </c>
      <c r="J99" s="965">
        <f t="shared" si="16"/>
        <v>2994.4</v>
      </c>
      <c r="K99" s="963">
        <f>SUM(K97:K98)</f>
        <v>1321.7</v>
      </c>
      <c r="L99" s="963">
        <f t="shared" si="16"/>
        <v>10639.35</v>
      </c>
      <c r="M99" s="965">
        <f t="shared" si="16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7">SUM(G106:G107)</f>
        <v>87000</v>
      </c>
      <c r="H108" s="963">
        <f t="shared" si="17"/>
        <v>2496.9</v>
      </c>
      <c r="I108" s="963">
        <f t="shared" si="17"/>
        <v>1873.24</v>
      </c>
      <c r="J108" s="963">
        <f t="shared" si="17"/>
        <v>2644.8</v>
      </c>
      <c r="K108" s="963">
        <f t="shared" si="17"/>
        <v>50</v>
      </c>
      <c r="L108" s="963">
        <f t="shared" si="17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8">SUM(G111:G111)</f>
        <v>80000</v>
      </c>
      <c r="H112" s="965">
        <f t="shared" si="18"/>
        <v>2296</v>
      </c>
      <c r="I112" s="963">
        <f t="shared" si="18"/>
        <v>6972</v>
      </c>
      <c r="J112" s="965">
        <f t="shared" si="18"/>
        <v>2432</v>
      </c>
      <c r="K112" s="963">
        <f t="shared" si="18"/>
        <v>1740.46</v>
      </c>
      <c r="L112" s="963">
        <f t="shared" si="18"/>
        <v>13440.46</v>
      </c>
      <c r="M112" s="965">
        <f t="shared" si="18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19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19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19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19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19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19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0">SUM(E115:E121)</f>
        <v>507500</v>
      </c>
      <c r="F122" s="964">
        <f t="shared" si="20"/>
        <v>0</v>
      </c>
      <c r="G122" s="963">
        <f t="shared" si="20"/>
        <v>507500</v>
      </c>
      <c r="H122" s="963">
        <f t="shared" si="20"/>
        <v>14565.25</v>
      </c>
      <c r="I122" s="963">
        <f t="shared" si="20"/>
        <v>48609.98</v>
      </c>
      <c r="J122" s="963">
        <f t="shared" si="20"/>
        <v>15428</v>
      </c>
      <c r="K122" s="963">
        <f t="shared" si="20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1">SUM(F125:F126)</f>
        <v>0</v>
      </c>
      <c r="G127" s="963">
        <f t="shared" si="21"/>
        <v>93500</v>
      </c>
      <c r="H127" s="963">
        <f t="shared" si="21"/>
        <v>2683.45</v>
      </c>
      <c r="I127" s="963">
        <f t="shared" si="21"/>
        <v>2790.62</v>
      </c>
      <c r="J127" s="963">
        <f t="shared" si="21"/>
        <v>2842.4</v>
      </c>
      <c r="K127" s="963">
        <f t="shared" si="21"/>
        <v>753</v>
      </c>
      <c r="L127" s="963">
        <f t="shared" si="21"/>
        <v>9069.4700000000012</v>
      </c>
      <c r="M127" s="963">
        <f t="shared" si="21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>+H132+I132+J132+K132</f>
        <v>6538.18</v>
      </c>
      <c r="M132" s="951">
        <f>+G132-L132</f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>+H133+I133+J133+K133</f>
        <v>2331.06</v>
      </c>
      <c r="M133" s="951">
        <f>+G133-L133</f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>+H134+I134+J134+K134</f>
        <v>8101.31</v>
      </c>
      <c r="M134" s="951">
        <f>+G134-L134</f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2">SUM(G130:G134)</f>
        <v>282500</v>
      </c>
      <c r="H135" s="963">
        <f t="shared" si="22"/>
        <v>8107.75</v>
      </c>
      <c r="I135" s="963">
        <f t="shared" si="22"/>
        <v>15169.72</v>
      </c>
      <c r="J135" s="963">
        <f t="shared" si="22"/>
        <v>8588</v>
      </c>
      <c r="K135" s="963">
        <f t="shared" si="22"/>
        <v>3997.13</v>
      </c>
      <c r="L135" s="963">
        <f t="shared" si="22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3">SUM(G138:G140)</f>
        <v>290000</v>
      </c>
      <c r="H141" s="965">
        <f t="shared" si="23"/>
        <v>8323</v>
      </c>
      <c r="I141" s="963">
        <f t="shared" si="23"/>
        <v>36255.85</v>
      </c>
      <c r="J141" s="965">
        <f t="shared" si="23"/>
        <v>8816</v>
      </c>
      <c r="K141" s="963">
        <f t="shared" si="23"/>
        <v>7705.56</v>
      </c>
      <c r="L141" s="963">
        <f t="shared" si="23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24">SUM(E144)</f>
        <v>80000</v>
      </c>
      <c r="F145" s="993">
        <f t="shared" si="24"/>
        <v>0</v>
      </c>
      <c r="G145" s="994">
        <f t="shared" si="24"/>
        <v>80000</v>
      </c>
      <c r="H145" s="994">
        <f t="shared" si="24"/>
        <v>2296</v>
      </c>
      <c r="I145" s="963">
        <f t="shared" si="24"/>
        <v>7400.87</v>
      </c>
      <c r="J145" s="994">
        <f t="shared" si="24"/>
        <v>2432</v>
      </c>
      <c r="K145" s="963">
        <f t="shared" si="24"/>
        <v>2097.1999999999998</v>
      </c>
      <c r="L145" s="963">
        <f>SUM(L144)</f>
        <v>14226.07</v>
      </c>
      <c r="M145" s="994">
        <f t="shared" si="24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25">SUM(E148:E148)</f>
        <v>43500</v>
      </c>
      <c r="F149" s="964">
        <f t="shared" si="25"/>
        <v>0</v>
      </c>
      <c r="G149" s="965">
        <f t="shared" si="25"/>
        <v>43500</v>
      </c>
      <c r="H149" s="965">
        <f t="shared" si="25"/>
        <v>1248.45</v>
      </c>
      <c r="I149" s="1091">
        <f t="shared" si="25"/>
        <v>936.62</v>
      </c>
      <c r="J149" s="996">
        <f t="shared" si="25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>+G154-L154</f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>SUM(F155)</f>
        <v>0</v>
      </c>
      <c r="G156" s="963">
        <f t="shared" ref="G156:L156" si="26">SUM(G152:G155)</f>
        <v>237000</v>
      </c>
      <c r="H156" s="963">
        <f t="shared" si="26"/>
        <v>6801.9</v>
      </c>
      <c r="I156" s="963">
        <f t="shared" si="26"/>
        <v>14642.59</v>
      </c>
      <c r="J156" s="963">
        <f t="shared" si="26"/>
        <v>7204.7999999999993</v>
      </c>
      <c r="K156" s="963">
        <f t="shared" si="26"/>
        <v>4643.3999999999996</v>
      </c>
      <c r="L156" s="963">
        <f t="shared" si="26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M161" si="27">SUM(G159:G160)</f>
        <v>150000</v>
      </c>
      <c r="H161" s="963">
        <f t="shared" si="27"/>
        <v>4305</v>
      </c>
      <c r="I161" s="963">
        <f t="shared" si="27"/>
        <v>12769.349999999999</v>
      </c>
      <c r="J161" s="963">
        <f t="shared" si="27"/>
        <v>4560</v>
      </c>
      <c r="K161" s="963">
        <f t="shared" si="27"/>
        <v>1556</v>
      </c>
      <c r="L161" s="963">
        <f t="shared" si="27"/>
        <v>23190.35</v>
      </c>
      <c r="M161" s="963">
        <f t="shared" si="27"/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28">SUM(F164:F165)</f>
        <v>0</v>
      </c>
      <c r="G166" s="965">
        <f>SUM(G164:G165)</f>
        <v>123500</v>
      </c>
      <c r="H166" s="965">
        <f t="shared" si="28"/>
        <v>3544.45</v>
      </c>
      <c r="I166" s="963">
        <f t="shared" si="28"/>
        <v>8337.49</v>
      </c>
      <c r="J166" s="965">
        <f t="shared" si="28"/>
        <v>3754.4</v>
      </c>
      <c r="K166" s="963">
        <f t="shared" si="28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29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29"/>
        <v>3532.4700000000003</v>
      </c>
      <c r="M170" s="951">
        <f t="shared" ref="M170:M179" si="3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29"/>
        <v>3532.4700000000003</v>
      </c>
      <c r="M171" s="951">
        <f t="shared" si="3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29"/>
        <v>3034.06</v>
      </c>
      <c r="M173" s="951">
        <f t="shared" si="30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29"/>
        <v>7854.75</v>
      </c>
      <c r="M174" s="951">
        <f t="shared" si="30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29"/>
        <v>2331.06</v>
      </c>
      <c r="M175" s="951">
        <f t="shared" si="30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29"/>
        <v>3532.4700000000003</v>
      </c>
      <c r="M176" s="951">
        <f t="shared" si="30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29"/>
        <v>3532.4700000000003</v>
      </c>
      <c r="M177" s="951">
        <f t="shared" si="30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29"/>
        <v>2331.06</v>
      </c>
      <c r="M178" s="951">
        <f t="shared" si="30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29"/>
        <v>2331.06</v>
      </c>
      <c r="M179" s="951">
        <f t="shared" si="30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 t="shared" ref="G180:M180" si="31">SUM(G169:G179)</f>
        <v>491000</v>
      </c>
      <c r="H180" s="963">
        <f t="shared" si="31"/>
        <v>14091.7</v>
      </c>
      <c r="I180" s="963">
        <f t="shared" si="31"/>
        <v>12865.19</v>
      </c>
      <c r="J180" s="963">
        <f t="shared" si="31"/>
        <v>14926.4</v>
      </c>
      <c r="K180" s="963">
        <f t="shared" si="31"/>
        <v>8358.32</v>
      </c>
      <c r="L180" s="963">
        <f t="shared" si="31"/>
        <v>50241.61</v>
      </c>
      <c r="M180" s="963">
        <f t="shared" si="31"/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32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32"/>
        <v>23926.87</v>
      </c>
      <c r="M184" s="1031">
        <f t="shared" ref="M184:M220" si="33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32"/>
        <v>10766.880000000001</v>
      </c>
      <c r="M185" s="1031">
        <f t="shared" si="33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32"/>
        <v>12153.869999999999</v>
      </c>
      <c r="M186" s="1031">
        <f t="shared" si="33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32"/>
        <v>9530.48</v>
      </c>
      <c r="M187" s="1031">
        <f t="shared" si="33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32"/>
        <v>15451.01</v>
      </c>
      <c r="M188" s="1031">
        <f t="shared" si="33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33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33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34">+H191+I191+J191+K191</f>
        <v>5835.18</v>
      </c>
      <c r="M191" s="1031">
        <f t="shared" si="33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34"/>
        <v>3956.71</v>
      </c>
      <c r="M192" s="1031">
        <f t="shared" si="33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34"/>
        <v>1886.65</v>
      </c>
      <c r="M193" s="1031">
        <f t="shared" si="33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34"/>
        <v>1886.65</v>
      </c>
      <c r="M194" s="1031">
        <f t="shared" si="33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34"/>
        <v>1886.65</v>
      </c>
      <c r="M195" s="1031">
        <f t="shared" si="33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34"/>
        <v>3532.4700000000003</v>
      </c>
      <c r="M196" s="1031">
        <f t="shared" si="33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33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34"/>
        <v>3532.4700000000003</v>
      </c>
      <c r="M198" s="1031">
        <f t="shared" si="33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34"/>
        <v>2331.06</v>
      </c>
      <c r="M199" s="1031">
        <f t="shared" si="33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34"/>
        <v>2331.06</v>
      </c>
      <c r="M200" s="1031">
        <f t="shared" si="33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1">
        <f t="shared" si="33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1">
        <f t="shared" si="33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1">
        <f t="shared" si="33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34"/>
        <v>3532.4700000000003</v>
      </c>
      <c r="M204" s="1031">
        <f t="shared" si="33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34"/>
        <v>1502.5</v>
      </c>
      <c r="M205" s="1031">
        <f t="shared" si="33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34"/>
        <v>1502.5</v>
      </c>
      <c r="M206" s="1031">
        <f t="shared" si="33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4"/>
        <v>1502.5</v>
      </c>
      <c r="M207" s="1031">
        <f t="shared" si="33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4"/>
        <v>1502.5</v>
      </c>
      <c r="M208" s="1031">
        <f t="shared" si="33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4"/>
        <v>1502.5</v>
      </c>
      <c r="M209" s="1031">
        <f t="shared" si="33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34"/>
        <v>1798</v>
      </c>
      <c r="M210" s="1031">
        <f t="shared" si="33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34"/>
        <v>1798</v>
      </c>
      <c r="M211" s="1031">
        <f t="shared" si="33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1">
        <f t="shared" si="33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34"/>
        <v>1798</v>
      </c>
      <c r="M213" s="1031">
        <f t="shared" si="33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34"/>
        <v>3907</v>
      </c>
      <c r="M214" s="1031">
        <f t="shared" si="33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4"/>
        <v>1798</v>
      </c>
      <c r="M215" s="1031">
        <f t="shared" si="33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4"/>
        <v>1798</v>
      </c>
      <c r="M216" s="1031">
        <f t="shared" si="33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33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33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3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3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35">SUM(G183:G220)</f>
        <v>1692500</v>
      </c>
      <c r="H221" s="963">
        <f t="shared" si="35"/>
        <v>48574.75</v>
      </c>
      <c r="I221" s="963">
        <f t="shared" si="35"/>
        <v>77168.339999999967</v>
      </c>
      <c r="J221" s="963">
        <f t="shared" si="35"/>
        <v>51452</v>
      </c>
      <c r="K221" s="963">
        <f t="shared" si="35"/>
        <v>12339.3</v>
      </c>
      <c r="L221" s="963">
        <f t="shared" si="35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 t="shared" ref="G223:M223" si="36">+G19+G25+G29+G41+G45+G50+G54+G60+G74+G89+G94+G99+G103+G108+G112+G122+G127+G135+G141+G145+G149+G156+G161+G166+G180+G221</f>
        <v>6773500</v>
      </c>
      <c r="H223" s="1076">
        <f t="shared" si="36"/>
        <v>194399.45</v>
      </c>
      <c r="I223" s="1076">
        <f t="shared" si="36"/>
        <v>425428.40999999992</v>
      </c>
      <c r="J223" s="1076">
        <f t="shared" si="36"/>
        <v>203392.71999999997</v>
      </c>
      <c r="K223" s="1076">
        <f t="shared" si="36"/>
        <v>133305.65</v>
      </c>
      <c r="L223" s="1076">
        <f t="shared" si="36"/>
        <v>956526.23</v>
      </c>
      <c r="M223" s="1076">
        <f t="shared" si="36"/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4" t="s">
        <v>1271</v>
      </c>
      <c r="B247" s="1884"/>
      <c r="C247" s="874"/>
      <c r="D247" s="874"/>
      <c r="E247" s="875"/>
      <c r="F247" s="873"/>
      <c r="G247" s="873"/>
      <c r="H247" s="1869" t="s">
        <v>852</v>
      </c>
      <c r="I247" s="1869"/>
      <c r="J247" s="1869"/>
      <c r="K247" s="1869"/>
      <c r="L247" s="1869"/>
      <c r="M247" s="1869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63" t="s">
        <v>1370</v>
      </c>
      <c r="J248" s="1863"/>
      <c r="K248" s="1863"/>
      <c r="L248" s="1863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1470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0"/>
      <c r="N12" s="1620"/>
      <c r="O12" s="162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>SUM(H38)</f>
        <v>0</v>
      </c>
      <c r="I39" s="695">
        <f t="shared" ref="I39:O39" si="4">SUM(I37:I38)</f>
        <v>165000</v>
      </c>
      <c r="J39" s="695">
        <f t="shared" si="4"/>
        <v>4735.5</v>
      </c>
      <c r="K39" s="695">
        <f t="shared" si="4"/>
        <v>17487.739999999998</v>
      </c>
      <c r="L39" s="695">
        <f t="shared" si="4"/>
        <v>5016</v>
      </c>
      <c r="M39" s="1099">
        <f>SUM(M37:M38)</f>
        <v>2159</v>
      </c>
      <c r="N39" s="695">
        <f t="shared" si="4"/>
        <v>29398.239999999998</v>
      </c>
      <c r="O39" s="695">
        <f t="shared" si="4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5">SUM(I42)</f>
        <v>95000</v>
      </c>
      <c r="J43" s="697">
        <f t="shared" si="5"/>
        <v>2726.5</v>
      </c>
      <c r="K43" s="697">
        <f t="shared" si="5"/>
        <v>10929.24</v>
      </c>
      <c r="L43" s="697">
        <f t="shared" si="5"/>
        <v>2888</v>
      </c>
      <c r="M43" s="676">
        <f>SUM(M42)</f>
        <v>8637.92</v>
      </c>
      <c r="N43" s="697">
        <f t="shared" si="5"/>
        <v>25181.659999999996</v>
      </c>
      <c r="O43" s="697">
        <f t="shared" si="5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>SUM(H47)</f>
        <v>0</v>
      </c>
      <c r="I48" s="697">
        <f t="shared" ref="I48:O48" si="6">SUM(I46:I47)</f>
        <v>175000</v>
      </c>
      <c r="J48" s="697">
        <f t="shared" si="6"/>
        <v>5022.5</v>
      </c>
      <c r="K48" s="697">
        <f t="shared" si="6"/>
        <v>19369.55</v>
      </c>
      <c r="L48" s="697">
        <f t="shared" si="6"/>
        <v>5320</v>
      </c>
      <c r="M48" s="676">
        <f>SUM(M46:M47)</f>
        <v>2593.4</v>
      </c>
      <c r="N48" s="697">
        <f t="shared" si="6"/>
        <v>32305.45</v>
      </c>
      <c r="O48" s="697">
        <f t="shared" si="6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7">+J51+K51+L51+M51</f>
        <v>25398.49</v>
      </c>
      <c r="O51" s="498">
        <f t="shared" ref="O51:O57" si="8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7"/>
        <v>25398.49</v>
      </c>
      <c r="O52" s="498">
        <f t="shared" si="8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7"/>
        <v>25398.49</v>
      </c>
      <c r="O53" s="498">
        <f t="shared" si="8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7"/>
        <v>25398.49</v>
      </c>
      <c r="O54" s="498">
        <f t="shared" si="8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7"/>
        <v>25398.49</v>
      </c>
      <c r="O55" s="498">
        <f t="shared" si="8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7"/>
        <v>22455.239999999998</v>
      </c>
      <c r="O56" s="498">
        <f t="shared" si="8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7"/>
        <v>23741.839999999997</v>
      </c>
      <c r="O57" s="626">
        <f t="shared" si="8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9">SUM(I51:I58)</f>
        <v>980000</v>
      </c>
      <c r="J59" s="697">
        <f t="shared" si="9"/>
        <v>28126</v>
      </c>
      <c r="K59" s="697">
        <f t="shared" si="9"/>
        <v>138754.56000000003</v>
      </c>
      <c r="L59" s="697">
        <f t="shared" si="9"/>
        <v>29792</v>
      </c>
      <c r="M59" s="697">
        <f t="shared" si="9"/>
        <v>1915.46</v>
      </c>
      <c r="N59" s="697">
        <f t="shared" si="9"/>
        <v>198588.02</v>
      </c>
      <c r="O59" s="697">
        <f t="shared" si="9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0">SUM(I62:I64)</f>
        <v>285000</v>
      </c>
      <c r="J65" s="695">
        <f t="shared" si="10"/>
        <v>8179.5</v>
      </c>
      <c r="K65" s="695">
        <f t="shared" si="10"/>
        <v>33662.68</v>
      </c>
      <c r="L65" s="695">
        <f t="shared" si="10"/>
        <v>8664</v>
      </c>
      <c r="M65" s="1099">
        <f t="shared" si="10"/>
        <v>75</v>
      </c>
      <c r="N65" s="695">
        <f t="shared" si="10"/>
        <v>50581.18</v>
      </c>
      <c r="O65" s="695">
        <f t="shared" si="10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1">SUM(H68)</f>
        <v>0</v>
      </c>
      <c r="I69" s="695">
        <f t="shared" si="11"/>
        <v>185000</v>
      </c>
      <c r="J69" s="695">
        <f t="shared" si="11"/>
        <v>5309.5</v>
      </c>
      <c r="K69" s="695">
        <f t="shared" si="11"/>
        <v>32099.49</v>
      </c>
      <c r="L69" s="695">
        <f t="shared" si="11"/>
        <v>5624</v>
      </c>
      <c r="M69" s="1099">
        <f>SUM(M68)</f>
        <v>4557.26</v>
      </c>
      <c r="N69" s="695">
        <f t="shared" si="11"/>
        <v>47590.250000000007</v>
      </c>
      <c r="O69" s="695">
        <f t="shared" si="11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>SUM(H73)</f>
        <v>0</v>
      </c>
      <c r="I74" s="695">
        <f t="shared" ref="I74:O74" si="12">SUM(I72:I73)</f>
        <v>120000</v>
      </c>
      <c r="J74" s="695">
        <f t="shared" si="12"/>
        <v>3444</v>
      </c>
      <c r="K74" s="695">
        <f t="shared" si="12"/>
        <v>6973.36</v>
      </c>
      <c r="L74" s="695">
        <f t="shared" si="12"/>
        <v>3648</v>
      </c>
      <c r="M74" s="1099">
        <f>SUM(M72:M73)</f>
        <v>50</v>
      </c>
      <c r="N74" s="695">
        <f t="shared" si="12"/>
        <v>14115.36</v>
      </c>
      <c r="O74" s="695">
        <f t="shared" si="12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3">SUM(H81)</f>
        <v>0</v>
      </c>
      <c r="I82" s="695">
        <f t="shared" si="13"/>
        <v>120000</v>
      </c>
      <c r="J82" s="695">
        <f t="shared" si="13"/>
        <v>3444</v>
      </c>
      <c r="K82" s="695">
        <f t="shared" si="13"/>
        <v>16809.87</v>
      </c>
      <c r="L82" s="695">
        <f t="shared" si="13"/>
        <v>3648</v>
      </c>
      <c r="M82" s="1099">
        <f>SUM(M81)</f>
        <v>4169.3999999999996</v>
      </c>
      <c r="N82" s="695">
        <f t="shared" si="13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4">+J84+K84+L84+M84</f>
        <v>9530.48</v>
      </c>
      <c r="O84" s="468">
        <f t="shared" ref="O84:O89" si="15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4"/>
        <v>9530.48</v>
      </c>
      <c r="O85" s="468">
        <f t="shared" si="15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4"/>
        <v>9530.48</v>
      </c>
      <c r="O86" s="468">
        <f t="shared" si="15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4"/>
        <v>8294.08</v>
      </c>
      <c r="O87" s="468">
        <f t="shared" si="15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4"/>
        <v>8294.08</v>
      </c>
      <c r="O88" s="468">
        <f t="shared" si="15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4"/>
        <v>5835.18</v>
      </c>
      <c r="O89" s="468">
        <f t="shared" si="15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>SUM(H89)</f>
        <v>0</v>
      </c>
      <c r="I90" s="695">
        <f t="shared" ref="I90:N90" si="16">SUM(I84:I89)</f>
        <v>395000</v>
      </c>
      <c r="J90" s="695">
        <f t="shared" si="16"/>
        <v>11336.5</v>
      </c>
      <c r="K90" s="695">
        <f t="shared" si="16"/>
        <v>27520.28</v>
      </c>
      <c r="L90" s="695">
        <f t="shared" si="16"/>
        <v>12008</v>
      </c>
      <c r="M90" s="1099">
        <f>SUM(M84:M89)</f>
        <v>150</v>
      </c>
      <c r="N90" s="695">
        <f t="shared" si="16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17">SUM(H93)</f>
        <v>0</v>
      </c>
      <c r="I94" s="695">
        <f t="shared" si="17"/>
        <v>70000</v>
      </c>
      <c r="J94" s="695">
        <f t="shared" si="17"/>
        <v>2009</v>
      </c>
      <c r="K94" s="695">
        <f t="shared" si="17"/>
        <v>5368.48</v>
      </c>
      <c r="L94" s="695">
        <f t="shared" si="17"/>
        <v>2128</v>
      </c>
      <c r="M94" s="1099">
        <f>SUM(M93)</f>
        <v>525</v>
      </c>
      <c r="N94" s="695">
        <f>SUM(N93)</f>
        <v>10030.48</v>
      </c>
      <c r="O94" s="695">
        <f t="shared" si="17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>+J97+K97+L97+M97</f>
        <v>23926.87</v>
      </c>
      <c r="O97" s="468">
        <f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18">+J99+K99+L99+M99</f>
        <v>9530.48</v>
      </c>
      <c r="O99" s="468">
        <f t="shared" ref="O99:O109" si="19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18"/>
        <v>10902.84</v>
      </c>
      <c r="O101" s="468">
        <f t="shared" si="19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8"/>
        <v>9530.48</v>
      </c>
      <c r="O106" s="468">
        <f t="shared" si="19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18"/>
        <v>9530.48</v>
      </c>
      <c r="O107" s="468">
        <f t="shared" si="19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8"/>
        <v>9530.48</v>
      </c>
      <c r="O108" s="468">
        <f t="shared" si="19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19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ref="O111:O127" si="20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8"/>
        <v>8294.08</v>
      </c>
      <c r="O115" s="468">
        <f t="shared" si="20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8"/>
        <v>8294.08</v>
      </c>
      <c r="O116" s="468">
        <f t="shared" si="20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8"/>
        <v>8294.08</v>
      </c>
      <c r="O117" s="468">
        <f t="shared" si="20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8"/>
        <v>8294.08</v>
      </c>
      <c r="O118" s="468">
        <f t="shared" si="20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>+J120+K120+L120+M120</f>
        <v>8294.08</v>
      </c>
      <c r="O120" s="468">
        <f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>+J121+K121+L121+M121</f>
        <v>9530.48</v>
      </c>
      <c r="O121" s="468">
        <f>+I121-N121</f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>+J123+K123+L123+M123</f>
        <v>8294.08</v>
      </c>
      <c r="O123" s="468">
        <f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21">+J125+K125+L125+M125</f>
        <v>3832.83</v>
      </c>
      <c r="O125" s="468">
        <f t="shared" si="20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21"/>
        <v>5290.97</v>
      </c>
      <c r="O126" s="468">
        <f t="shared" si="20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21"/>
        <v>3532.4700000000003</v>
      </c>
      <c r="O127" s="468">
        <f t="shared" si="20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21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1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21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22">SUM(I97:I130)</f>
        <v>2240500</v>
      </c>
      <c r="J131" s="695">
        <f t="shared" si="22"/>
        <v>64302.349999999991</v>
      </c>
      <c r="K131" s="695">
        <f t="shared" si="22"/>
        <v>146351.45999999996</v>
      </c>
      <c r="L131" s="695">
        <f t="shared" si="22"/>
        <v>68111.199999999997</v>
      </c>
      <c r="M131" s="1099">
        <f t="shared" si="22"/>
        <v>11142.759999999998</v>
      </c>
      <c r="N131" s="695">
        <f t="shared" si="22"/>
        <v>289907.76999999973</v>
      </c>
      <c r="O131" s="695">
        <f t="shared" si="22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23">+I16+I20+I25+I30+I39+I43+I48+I59+I65+I69+I74+I78+I82+I90+I94+I131+I34</f>
        <v>5735500</v>
      </c>
      <c r="J133" s="1126">
        <f t="shared" si="23"/>
        <v>164608.84999999998</v>
      </c>
      <c r="K133" s="1126">
        <f t="shared" si="23"/>
        <v>569593.5199999999</v>
      </c>
      <c r="L133" s="1126">
        <f t="shared" si="23"/>
        <v>174359.2</v>
      </c>
      <c r="M133" s="1126">
        <f t="shared" si="23"/>
        <v>59704.5</v>
      </c>
      <c r="N133" s="1126">
        <f t="shared" si="23"/>
        <v>968266.07</v>
      </c>
      <c r="O133" s="1126">
        <f t="shared" si="23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622" t="s">
        <v>1375</v>
      </c>
      <c r="J153" s="1622"/>
      <c r="K153" s="1622"/>
      <c r="L153" s="1622"/>
      <c r="M153" s="1622"/>
      <c r="N153" s="1622"/>
      <c r="O153" s="1622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623" t="s">
        <v>1224</v>
      </c>
      <c r="J154" s="1623"/>
      <c r="K154" s="1623"/>
      <c r="L154" s="1623"/>
      <c r="M154" s="1623"/>
      <c r="N154" s="1623"/>
      <c r="O154" s="1623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1732"/>
      <c r="O6" s="1732"/>
    </row>
    <row r="7" spans="2:15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1471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4" t="s">
        <v>5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  <c r="N10" s="1734"/>
      <c r="O10" s="1734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88" t="s">
        <v>7</v>
      </c>
      <c r="C12" s="1887" t="s">
        <v>937</v>
      </c>
      <c r="D12" s="1887" t="s">
        <v>8</v>
      </c>
      <c r="E12" s="1887" t="s">
        <v>10</v>
      </c>
      <c r="F12" s="1887" t="s">
        <v>11</v>
      </c>
      <c r="G12" s="1047" t="s">
        <v>12</v>
      </c>
      <c r="H12" s="1887" t="s">
        <v>13</v>
      </c>
      <c r="I12" s="1887" t="s">
        <v>14</v>
      </c>
      <c r="J12" s="1887" t="s">
        <v>15</v>
      </c>
      <c r="K12" s="1887" t="s">
        <v>16</v>
      </c>
      <c r="L12" s="1887" t="s">
        <v>17</v>
      </c>
      <c r="M12" s="1887" t="s">
        <v>18</v>
      </c>
      <c r="N12" s="1887" t="s">
        <v>19</v>
      </c>
      <c r="O12" s="1887" t="s">
        <v>20</v>
      </c>
    </row>
    <row r="13" spans="2:15" x14ac:dyDescent="0.25">
      <c r="B13" s="1889"/>
      <c r="C13" s="1887"/>
      <c r="D13" s="1887"/>
      <c r="E13" s="1887"/>
      <c r="F13" s="1887"/>
      <c r="G13" s="1047" t="s">
        <v>21</v>
      </c>
      <c r="H13" s="1887"/>
      <c r="I13" s="1887"/>
      <c r="J13" s="1887"/>
      <c r="K13" s="1887"/>
      <c r="L13" s="1887"/>
      <c r="M13" s="1887"/>
      <c r="N13" s="1887"/>
      <c r="O13" s="188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870" t="s">
        <v>1269</v>
      </c>
      <c r="C48" s="1870"/>
      <c r="D48" s="1870"/>
      <c r="E48" s="753"/>
      <c r="F48" s="753"/>
      <c r="G48" s="754"/>
      <c r="H48" s="755"/>
      <c r="J48" s="1871" t="s">
        <v>852</v>
      </c>
      <c r="K48" s="1871"/>
      <c r="L48" s="1871"/>
      <c r="M48" s="1871"/>
      <c r="N48" s="1871"/>
      <c r="O48" s="1871"/>
    </row>
    <row r="49" spans="2:15" s="259" customFormat="1" ht="19.5" customHeight="1" x14ac:dyDescent="0.25">
      <c r="B49" s="1809" t="s">
        <v>1270</v>
      </c>
      <c r="C49" s="1809"/>
      <c r="D49" s="1809"/>
      <c r="E49" s="753"/>
      <c r="F49" s="753"/>
      <c r="G49" s="754"/>
      <c r="H49" s="755"/>
      <c r="J49" s="1623" t="s">
        <v>1224</v>
      </c>
      <c r="K49" s="1623"/>
      <c r="L49" s="1623"/>
      <c r="M49" s="1623"/>
      <c r="N49" s="1623"/>
      <c r="O49" s="162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810"/>
      <c r="K61" s="1810"/>
      <c r="L61" s="1810"/>
      <c r="M61" s="1810"/>
      <c r="N61" s="1810"/>
      <c r="O61" s="1810"/>
    </row>
    <row r="62" spans="2:15" ht="15.75" x14ac:dyDescent="0.25">
      <c r="B62" s="267"/>
      <c r="C62" s="267"/>
      <c r="D62" s="267"/>
      <c r="E62" s="268"/>
      <c r="F62" s="268"/>
      <c r="G62" s="269"/>
      <c r="H62" s="1738"/>
      <c r="I62" s="1738"/>
      <c r="J62" s="1738"/>
      <c r="K62" s="1738"/>
      <c r="L62" s="1738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3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3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3" x14ac:dyDescent="0.25">
      <c r="B8" s="1881" t="s">
        <v>1472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3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90" t="s">
        <v>7</v>
      </c>
      <c r="C11" s="1890" t="s">
        <v>802</v>
      </c>
      <c r="D11" s="1891" t="s">
        <v>9</v>
      </c>
      <c r="E11" s="1046" t="s">
        <v>12</v>
      </c>
      <c r="F11" s="1893" t="s">
        <v>13</v>
      </c>
      <c r="G11" s="1892" t="s">
        <v>14</v>
      </c>
      <c r="H11" s="1892" t="s">
        <v>15</v>
      </c>
      <c r="I11" s="1892" t="s">
        <v>16</v>
      </c>
      <c r="J11" s="1892" t="s">
        <v>17</v>
      </c>
      <c r="K11" s="1892" t="s">
        <v>18</v>
      </c>
      <c r="L11" s="1892" t="s">
        <v>19</v>
      </c>
      <c r="M11" s="1892" t="s">
        <v>20</v>
      </c>
    </row>
    <row r="12" spans="2:13" ht="16.5" customHeight="1" x14ac:dyDescent="0.25">
      <c r="B12" s="1890"/>
      <c r="C12" s="1890"/>
      <c r="D12" s="1891"/>
      <c r="E12" s="1046" t="s">
        <v>21</v>
      </c>
      <c r="F12" s="1893"/>
      <c r="G12" s="1892"/>
      <c r="H12" s="1892"/>
      <c r="I12" s="1892"/>
      <c r="J12" s="1892"/>
      <c r="K12" s="1892"/>
      <c r="L12" s="1892"/>
      <c r="M12" s="1892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>+E35</f>
        <v>11500</v>
      </c>
      <c r="F36" s="899">
        <v>0</v>
      </c>
      <c r="G36" s="898">
        <f>+G35</f>
        <v>11500</v>
      </c>
      <c r="H36" s="898">
        <f>+H35</f>
        <v>330.05</v>
      </c>
      <c r="I36" s="898">
        <f>+I35</f>
        <v>1623.06</v>
      </c>
      <c r="J36" s="898">
        <f>+J35</f>
        <v>349.6</v>
      </c>
      <c r="K36" s="899">
        <v>0</v>
      </c>
      <c r="L36" s="898">
        <f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4">SUM(G39:G40)</f>
        <v>51500</v>
      </c>
      <c r="H41" s="898">
        <f t="shared" si="4"/>
        <v>1478.05</v>
      </c>
      <c r="I41" s="898">
        <f t="shared" si="4"/>
        <v>11032.06</v>
      </c>
      <c r="J41" s="898">
        <f t="shared" si="4"/>
        <v>1565.6</v>
      </c>
      <c r="K41" s="899">
        <v>0</v>
      </c>
      <c r="L41" s="898">
        <f t="shared" si="4"/>
        <v>14075.71</v>
      </c>
      <c r="M41" s="898">
        <f t="shared" si="4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>+E44</f>
        <v>11500</v>
      </c>
      <c r="F45" s="899">
        <v>0</v>
      </c>
      <c r="G45" s="898">
        <f>+G44</f>
        <v>11500</v>
      </c>
      <c r="H45" s="898">
        <f>+H44</f>
        <v>330.05</v>
      </c>
      <c r="I45" s="898">
        <f>+I44</f>
        <v>1623.06</v>
      </c>
      <c r="J45" s="898">
        <f>+J44</f>
        <v>349.6</v>
      </c>
      <c r="K45" s="899">
        <v>0</v>
      </c>
      <c r="L45" s="898">
        <f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5">+E48</f>
        <v>40000</v>
      </c>
      <c r="F49" s="899">
        <v>0</v>
      </c>
      <c r="G49" s="898">
        <f t="shared" si="5"/>
        <v>40000</v>
      </c>
      <c r="H49" s="898">
        <f t="shared" si="5"/>
        <v>1148</v>
      </c>
      <c r="I49" s="898">
        <f t="shared" si="5"/>
        <v>9409</v>
      </c>
      <c r="J49" s="898">
        <f t="shared" si="5"/>
        <v>1216</v>
      </c>
      <c r="K49" s="899">
        <v>0</v>
      </c>
      <c r="L49" s="898">
        <f t="shared" si="5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877" t="s">
        <v>1372</v>
      </c>
      <c r="H66" s="1877"/>
      <c r="I66" s="1877"/>
      <c r="J66" s="1877"/>
      <c r="K66" s="1877"/>
      <c r="L66" s="1877"/>
    </row>
    <row r="67" spans="2:13" x14ac:dyDescent="0.25">
      <c r="B67" s="1083" t="s">
        <v>1238</v>
      </c>
      <c r="C67" s="1083"/>
      <c r="D67" s="921"/>
      <c r="E67" s="915"/>
      <c r="F67" s="915"/>
      <c r="G67" s="1875" t="s">
        <v>1222</v>
      </c>
      <c r="H67" s="1875"/>
      <c r="I67" s="1875"/>
      <c r="J67" s="1875"/>
      <c r="K67" s="1875"/>
      <c r="L67" s="1875"/>
    </row>
    <row r="68" spans="2:13" x14ac:dyDescent="0.25">
      <c r="B68" s="916" t="s">
        <v>1239</v>
      </c>
      <c r="C68" s="916"/>
      <c r="D68" s="915"/>
      <c r="E68" s="915"/>
      <c r="F68" s="923"/>
      <c r="G68" s="1874" t="s">
        <v>1224</v>
      </c>
      <c r="H68" s="1874"/>
      <c r="I68" s="1874"/>
      <c r="J68" s="1874"/>
      <c r="K68" s="1874"/>
      <c r="L68" s="1874"/>
    </row>
    <row r="72" spans="2:13" ht="30" customHeight="1" x14ac:dyDescent="0.25"/>
    <row r="78" spans="2:13" x14ac:dyDescent="0.25">
      <c r="E78" s="924"/>
      <c r="F78" s="923"/>
      <c r="G78" s="915"/>
      <c r="H78" s="1879"/>
      <c r="I78" s="1879"/>
      <c r="J78" s="1879"/>
      <c r="K78" s="1879"/>
      <c r="L78" s="1879"/>
      <c r="M78" s="1879"/>
    </row>
    <row r="79" spans="2:13" x14ac:dyDescent="0.25">
      <c r="E79" s="925"/>
      <c r="F79" s="1872"/>
      <c r="G79" s="1872"/>
      <c r="H79" s="1872"/>
      <c r="I79" s="1872"/>
      <c r="J79" s="1872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1732"/>
      <c r="O6" s="259"/>
    </row>
    <row r="7" spans="2:15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259"/>
    </row>
    <row r="8" spans="2:15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259"/>
    </row>
    <row r="9" spans="2:15" x14ac:dyDescent="0.25">
      <c r="B9" s="1732" t="s">
        <v>1474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259"/>
    </row>
    <row r="10" spans="2:15" x14ac:dyDescent="0.25">
      <c r="B10" s="1819" t="s">
        <v>412</v>
      </c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  <c r="N10" s="1819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16" t="s">
        <v>7</v>
      </c>
      <c r="C12" s="1615" t="s">
        <v>937</v>
      </c>
      <c r="D12" s="1615" t="s">
        <v>9</v>
      </c>
      <c r="E12" s="1067" t="s">
        <v>832</v>
      </c>
      <c r="F12" s="1895" t="s">
        <v>12</v>
      </c>
      <c r="G12" s="1894" t="s">
        <v>13</v>
      </c>
      <c r="H12" s="1894" t="s">
        <v>14</v>
      </c>
      <c r="I12" s="1894" t="s">
        <v>15</v>
      </c>
      <c r="J12" s="1894" t="s">
        <v>16</v>
      </c>
      <c r="K12" s="1894" t="s">
        <v>17</v>
      </c>
      <c r="L12" s="1894" t="s">
        <v>18</v>
      </c>
      <c r="M12" s="1894" t="s">
        <v>19</v>
      </c>
      <c r="N12" s="1616" t="s">
        <v>20</v>
      </c>
    </row>
    <row r="13" spans="2:15" x14ac:dyDescent="0.25">
      <c r="B13" s="1616"/>
      <c r="C13" s="1615"/>
      <c r="D13" s="1615"/>
      <c r="E13" s="1067" t="s">
        <v>21</v>
      </c>
      <c r="F13" s="1895" t="s">
        <v>21</v>
      </c>
      <c r="G13" s="1894"/>
      <c r="H13" s="1894"/>
      <c r="I13" s="1894"/>
      <c r="J13" s="1894"/>
      <c r="K13" s="1894"/>
      <c r="L13" s="1894"/>
      <c r="M13" s="1894"/>
      <c r="N13" s="161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07" t="s">
        <v>1225</v>
      </c>
      <c r="J40" s="1807"/>
      <c r="K40" s="1807"/>
      <c r="L40" s="1807"/>
      <c r="M40" s="1807"/>
      <c r="N40" s="180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08" t="s">
        <v>852</v>
      </c>
      <c r="J41" s="1808"/>
      <c r="K41" s="1808"/>
      <c r="L41" s="1808"/>
      <c r="M41" s="1808"/>
      <c r="N41" s="180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809" t="s">
        <v>1445</v>
      </c>
      <c r="J42" s="1809"/>
      <c r="K42" s="1809"/>
      <c r="L42" s="1809"/>
      <c r="M42" s="1809"/>
      <c r="N42" s="180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810"/>
      <c r="K43" s="1810"/>
      <c r="L43" s="1810"/>
      <c r="M43" s="1810"/>
      <c r="N43" s="1810"/>
      <c r="O43" s="1810"/>
    </row>
    <row r="44" spans="2:15" ht="15.75" x14ac:dyDescent="0.25">
      <c r="B44" s="267"/>
      <c r="C44" s="267"/>
      <c r="D44" s="267"/>
      <c r="E44" s="268"/>
      <c r="F44" s="268"/>
      <c r="G44" s="269"/>
      <c r="H44" s="1738"/>
      <c r="I44" s="1738"/>
      <c r="J44" s="1738"/>
      <c r="K44" s="1738"/>
      <c r="L44" s="1738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17" t="s">
        <v>0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</row>
    <row r="6" spans="2:13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1473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731" t="s">
        <v>1197</v>
      </c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16" t="s">
        <v>7</v>
      </c>
      <c r="C11" s="1615" t="s">
        <v>802</v>
      </c>
      <c r="D11" s="1615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616"/>
      <c r="C12" s="1615"/>
      <c r="D12" s="1615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2" t="s">
        <v>1250</v>
      </c>
      <c r="H42" s="1862"/>
      <c r="I42" s="1862"/>
      <c r="J42" s="1862"/>
      <c r="K42" s="1862"/>
      <c r="L42" s="1862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08" t="s">
        <v>852</v>
      </c>
      <c r="H43" s="1808"/>
      <c r="I43" s="1808"/>
      <c r="J43" s="1808"/>
      <c r="K43" s="1808"/>
      <c r="L43" s="180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809" t="s">
        <v>1257</v>
      </c>
      <c r="H44" s="1809"/>
      <c r="I44" s="1809"/>
      <c r="J44" s="1809"/>
      <c r="K44" s="1809"/>
      <c r="L44" s="1809"/>
      <c r="M44" s="537"/>
    </row>
    <row r="45" spans="2:13" x14ac:dyDescent="0.25">
      <c r="B45" s="546"/>
      <c r="C45" s="546"/>
      <c r="D45" s="547"/>
      <c r="E45" s="541"/>
      <c r="F45" s="540"/>
      <c r="G45" s="537"/>
      <c r="H45" s="1810"/>
      <c r="I45" s="1810"/>
      <c r="J45" s="1810"/>
      <c r="K45" s="1810"/>
      <c r="L45" s="1810"/>
      <c r="M45" s="1810"/>
    </row>
    <row r="46" spans="2:13" ht="15.75" x14ac:dyDescent="0.25">
      <c r="B46" s="267"/>
      <c r="C46" s="267"/>
      <c r="D46" s="268"/>
      <c r="E46" s="269"/>
      <c r="F46" s="1738"/>
      <c r="G46" s="1738"/>
      <c r="H46" s="1738"/>
      <c r="I46" s="1738"/>
      <c r="J46" s="1738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1482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2" t="s">
        <v>1255</v>
      </c>
      <c r="H31" s="1862"/>
      <c r="I31" s="1862"/>
      <c r="J31" s="1862"/>
      <c r="K31" s="1862"/>
      <c r="L31" s="186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8" t="s">
        <v>852</v>
      </c>
      <c r="H32" s="1808"/>
      <c r="I32" s="1808"/>
      <c r="J32" s="1808"/>
      <c r="K32" s="1808"/>
      <c r="L32" s="180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09" t="s">
        <v>1257</v>
      </c>
      <c r="H33" s="1809"/>
      <c r="I33" s="1809"/>
      <c r="J33" s="1809"/>
      <c r="K33" s="1809"/>
      <c r="L33" s="1809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0"/>
      <c r="I34" s="1810"/>
      <c r="J34" s="1810"/>
      <c r="K34" s="1810"/>
      <c r="L34" s="1810"/>
      <c r="M34" s="1810"/>
    </row>
    <row r="35" spans="2:13" ht="15.75" x14ac:dyDescent="0.25">
      <c r="B35" s="267"/>
      <c r="C35" s="267"/>
      <c r="D35" s="268"/>
      <c r="E35" s="269"/>
      <c r="F35" s="1738"/>
      <c r="G35" s="1738"/>
      <c r="H35" s="1738"/>
      <c r="I35" s="1738"/>
      <c r="J35" s="1738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4" t="s">
        <v>1502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0.75" customHeight="1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1483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96" t="s">
        <v>16</v>
      </c>
      <c r="J12" s="1886" t="s">
        <v>17</v>
      </c>
      <c r="K12" s="1886" t="s">
        <v>18</v>
      </c>
      <c r="L12" s="189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96"/>
      <c r="J13" s="1886"/>
      <c r="K13" s="1886"/>
      <c r="L13" s="189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1071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10466.289999999999</v>
      </c>
      <c r="M58" s="965">
        <f t="shared" si="9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>+H86+I86+J86+K86</f>
        <v>5908.41</v>
      </c>
      <c r="M86" s="951">
        <f t="shared" si="14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9543.57</v>
      </c>
      <c r="L88" s="963">
        <f t="shared" si="15"/>
        <v>30485.54</v>
      </c>
      <c r="M88" s="963">
        <f t="shared" si="15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0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>+H134+I134+J134+K134</f>
        <v>2331.06</v>
      </c>
      <c r="M134" s="951">
        <f>+G134-L134</f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23">SUM(G131:G134)</f>
        <v>227500</v>
      </c>
      <c r="H135" s="963">
        <f t="shared" si="23"/>
        <v>6529.25</v>
      </c>
      <c r="I135" s="963">
        <f t="shared" si="23"/>
        <v>12610.039999999999</v>
      </c>
      <c r="J135" s="963">
        <f t="shared" si="23"/>
        <v>6916</v>
      </c>
      <c r="K135" s="963">
        <f t="shared" si="23"/>
        <v>1706</v>
      </c>
      <c r="L135" s="963">
        <f t="shared" si="23"/>
        <v>27761.29</v>
      </c>
      <c r="M135" s="963">
        <f t="shared" si="23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33">SUM(H179:H183)</f>
        <v>7289</v>
      </c>
      <c r="I184" s="963">
        <f t="shared" si="33"/>
        <v>11147.350000000002</v>
      </c>
      <c r="J184" s="963">
        <f t="shared" si="33"/>
        <v>7721.6</v>
      </c>
      <c r="K184" s="963">
        <f t="shared" si="33"/>
        <v>3371.4</v>
      </c>
      <c r="L184" s="963">
        <f t="shared" si="33"/>
        <v>29529.350000000002</v>
      </c>
      <c r="M184" s="963">
        <f t="shared" si="3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3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34"/>
        <v>23926.87</v>
      </c>
      <c r="M188" s="1031">
        <f t="shared" ref="M188:M224" si="3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34"/>
        <v>10766.880000000001</v>
      </c>
      <c r="M189" s="1031">
        <f t="shared" si="3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34"/>
        <v>12153.869999999999</v>
      </c>
      <c r="M190" s="1031">
        <f t="shared" si="3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34"/>
        <v>9530.48</v>
      </c>
      <c r="M191" s="1031">
        <f t="shared" si="3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34"/>
        <v>15451.01</v>
      </c>
      <c r="M192" s="1031">
        <f t="shared" si="3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3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3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36">+H195+I195+J195+K195</f>
        <v>5835.18</v>
      </c>
      <c r="M195" s="1031">
        <f t="shared" si="3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36"/>
        <v>4990.6100000000006</v>
      </c>
      <c r="M196" s="1032">
        <f t="shared" si="3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6"/>
        <v>2330.2600000000002</v>
      </c>
      <c r="M197" s="1032">
        <f t="shared" si="3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6"/>
        <v>2331.06</v>
      </c>
      <c r="M198" s="1032">
        <f t="shared" si="3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36"/>
        <v>2330.2600000000002</v>
      </c>
      <c r="M199" s="1032">
        <f t="shared" si="3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6"/>
        <v>3532.4700000000003</v>
      </c>
      <c r="M200" s="1031">
        <f t="shared" si="3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3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36"/>
        <v>3532.4700000000003</v>
      </c>
      <c r="M202" s="1031">
        <f t="shared" si="3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36"/>
        <v>3532.4700000000003</v>
      </c>
      <c r="M203" s="1032">
        <f t="shared" si="3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36"/>
        <v>3532.4700000000003</v>
      </c>
      <c r="M208" s="1031">
        <f t="shared" si="3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6"/>
        <v>1502.5</v>
      </c>
      <c r="M209" s="1031">
        <f t="shared" si="3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6"/>
        <v>1502.5</v>
      </c>
      <c r="M210" s="1031">
        <f t="shared" si="3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36"/>
        <v>1502.5</v>
      </c>
      <c r="M211" s="1031">
        <f t="shared" si="3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6"/>
        <v>1502.5</v>
      </c>
      <c r="M212" s="1031">
        <f t="shared" si="3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36"/>
        <v>1502.5</v>
      </c>
      <c r="M213" s="1031">
        <f t="shared" si="3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6"/>
        <v>1798</v>
      </c>
      <c r="M214" s="1031">
        <f t="shared" si="3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6"/>
        <v>1798</v>
      </c>
      <c r="M215" s="1031">
        <f t="shared" si="3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36"/>
        <v>1798</v>
      </c>
      <c r="M216" s="1031">
        <f t="shared" si="3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6"/>
        <v>1798</v>
      </c>
      <c r="M217" s="1031">
        <f t="shared" si="3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36"/>
        <v>3907</v>
      </c>
      <c r="M218" s="1031">
        <f t="shared" si="3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6"/>
        <v>1798</v>
      </c>
      <c r="M219" s="1031">
        <f t="shared" si="3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36"/>
        <v>1798</v>
      </c>
      <c r="M220" s="1031">
        <f t="shared" si="3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3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 t="shared" ref="G225:M225" si="37">SUM(G187:G224)</f>
        <v>1746500</v>
      </c>
      <c r="H225" s="963">
        <f t="shared" si="37"/>
        <v>50124.549999999996</v>
      </c>
      <c r="I225" s="963">
        <f t="shared" si="37"/>
        <v>82352.519999999946</v>
      </c>
      <c r="J225" s="963">
        <f t="shared" si="37"/>
        <v>53093.600000000013</v>
      </c>
      <c r="K225" s="963">
        <f t="shared" si="37"/>
        <v>12339.3</v>
      </c>
      <c r="L225" s="963">
        <f t="shared" si="37"/>
        <v>197906.96999999997</v>
      </c>
      <c r="M225" s="963">
        <f t="shared" si="37"/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38">+G19+G25+G29+G39+G43+G48+G52+G58+G73+G88+G93+G99+G103+G108+G112+G122+G128+G135+G141+G146+G150+G157+G162+G167+G176+G225+G184</f>
        <v>6919500</v>
      </c>
      <c r="H227" s="1076">
        <f t="shared" si="38"/>
        <v>198588.87999999998</v>
      </c>
      <c r="I227" s="1076">
        <f t="shared" si="38"/>
        <v>436908.05999999994</v>
      </c>
      <c r="J227" s="1076">
        <f t="shared" si="38"/>
        <v>207831.12</v>
      </c>
      <c r="K227" s="1076">
        <f t="shared" si="38"/>
        <v>128401.14999999998</v>
      </c>
      <c r="L227" s="1076">
        <f t="shared" si="38"/>
        <v>971726.17999999993</v>
      </c>
      <c r="M227" s="1076">
        <f t="shared" si="3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884" t="s">
        <v>1271</v>
      </c>
      <c r="B251" s="1884"/>
      <c r="C251" s="874"/>
      <c r="D251" s="874"/>
      <c r="E251" s="875"/>
      <c r="F251" s="873"/>
      <c r="G251" s="873"/>
      <c r="H251" s="1869" t="s">
        <v>852</v>
      </c>
      <c r="I251" s="1869"/>
      <c r="J251" s="1869"/>
      <c r="K251" s="1869"/>
      <c r="L251" s="1869"/>
      <c r="M251" s="1869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863" t="s">
        <v>1504</v>
      </c>
      <c r="J252" s="1863"/>
      <c r="K252" s="1863"/>
      <c r="L252" s="1863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1484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0"/>
      <c r="N12" s="1620"/>
      <c r="O12" s="162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 t="shared" si="10"/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3">SUM(H86)</f>
        <v>0</v>
      </c>
      <c r="I87" s="695">
        <f t="shared" si="13"/>
        <v>120000</v>
      </c>
      <c r="J87" s="695">
        <f t="shared" si="13"/>
        <v>3444</v>
      </c>
      <c r="K87" s="695">
        <f t="shared" si="13"/>
        <v>16809.87</v>
      </c>
      <c r="L87" s="1145">
        <f t="shared" si="13"/>
        <v>3648</v>
      </c>
      <c r="M87" s="1099">
        <f>SUM(M86)</f>
        <v>4169.3999999999996</v>
      </c>
      <c r="N87" s="695">
        <f t="shared" si="13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4">+J89+K89+L89+M89</f>
        <v>9530.48</v>
      </c>
      <c r="O89" s="468">
        <f t="shared" ref="O89:O94" si="15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4"/>
        <v>9530.48</v>
      </c>
      <c r="O90" s="468">
        <f t="shared" si="15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4"/>
        <v>9530.48</v>
      </c>
      <c r="O91" s="468">
        <f t="shared" si="15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4"/>
        <v>9530.48</v>
      </c>
      <c r="O92" s="468">
        <f t="shared" si="15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4"/>
        <v>9530.48</v>
      </c>
      <c r="O93" s="468">
        <f t="shared" si="15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4"/>
        <v>5835.18</v>
      </c>
      <c r="O94" s="468">
        <f t="shared" si="15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>SUM(H94)</f>
        <v>0</v>
      </c>
      <c r="I95" s="695">
        <f t="shared" ref="I95:O95" si="16">SUM(I89:I94)</f>
        <v>405000</v>
      </c>
      <c r="J95" s="695">
        <f t="shared" si="16"/>
        <v>11623.5</v>
      </c>
      <c r="K95" s="695">
        <f t="shared" si="16"/>
        <v>29402.079999999998</v>
      </c>
      <c r="L95" s="1145">
        <f t="shared" si="16"/>
        <v>12312</v>
      </c>
      <c r="M95" s="1099">
        <f t="shared" si="16"/>
        <v>150</v>
      </c>
      <c r="N95" s="695">
        <f t="shared" si="16"/>
        <v>53487.579999999994</v>
      </c>
      <c r="O95" s="695">
        <f t="shared" si="16"/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17">SUM(H98)</f>
        <v>0</v>
      </c>
      <c r="I99" s="695">
        <f t="shared" si="17"/>
        <v>70000</v>
      </c>
      <c r="J99" s="695">
        <f t="shared" si="17"/>
        <v>2009</v>
      </c>
      <c r="K99" s="695">
        <f t="shared" si="17"/>
        <v>5368.48</v>
      </c>
      <c r="L99" s="1145">
        <f t="shared" si="17"/>
        <v>2128</v>
      </c>
      <c r="M99" s="1099">
        <f>SUM(M98)</f>
        <v>525</v>
      </c>
      <c r="N99" s="695">
        <f>SUM(N98)</f>
        <v>10030.48</v>
      </c>
      <c r="O99" s="695">
        <f t="shared" si="17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18">+J104+K104+L104+M104</f>
        <v>9530.48</v>
      </c>
      <c r="O104" s="468">
        <f t="shared" ref="O104:O124" si="19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18"/>
        <v>10902.84</v>
      </c>
      <c r="O106" s="468">
        <f t="shared" si="19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18"/>
        <v>12275.210000000001</v>
      </c>
      <c r="O107" s="468">
        <f t="shared" si="19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18"/>
        <v>10902.84</v>
      </c>
      <c r="O108" s="468">
        <f t="shared" si="19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8"/>
        <v>9530.48</v>
      </c>
      <c r="O109" s="468">
        <f t="shared" si="19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8"/>
        <v>9530.48</v>
      </c>
      <c r="O110" s="468">
        <f t="shared" si="19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8"/>
        <v>9530.48</v>
      </c>
      <c r="O111" s="468">
        <f t="shared" si="19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18"/>
        <v>9530.48</v>
      </c>
      <c r="O112" s="468">
        <f t="shared" si="19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18"/>
        <v>9530.48</v>
      </c>
      <c r="O113" s="468">
        <f t="shared" si="19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8"/>
        <v>9530.48</v>
      </c>
      <c r="O114" s="468">
        <f t="shared" si="19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8"/>
        <v>9530.48</v>
      </c>
      <c r="O115" s="468">
        <f t="shared" si="19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8"/>
        <v>9530.48</v>
      </c>
      <c r="O116" s="468">
        <f t="shared" si="19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8"/>
        <v>9530.48</v>
      </c>
      <c r="O117" s="468">
        <f t="shared" si="19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8"/>
        <v>9530.48</v>
      </c>
      <c r="O118" s="468">
        <f t="shared" si="19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8"/>
        <v>9530.48</v>
      </c>
      <c r="O119" s="468">
        <f t="shared" si="19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8"/>
        <v>9530.48</v>
      </c>
      <c r="O120" s="468">
        <f t="shared" si="19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8"/>
        <v>9530.48</v>
      </c>
      <c r="O121" s="468">
        <f t="shared" si="19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8"/>
        <v>9530.48</v>
      </c>
      <c r="O122" s="468">
        <f t="shared" si="19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8"/>
        <v>9530.48</v>
      </c>
      <c r="O123" s="468">
        <f t="shared" si="19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8"/>
        <v>9530.48</v>
      </c>
      <c r="O124" s="468">
        <f t="shared" si="19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>+J125+K125+L125+M125</f>
        <v>9530.48</v>
      </c>
      <c r="O125" s="468">
        <f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>+J126+K126+L126+M126</f>
        <v>9530.48</v>
      </c>
      <c r="O126" s="468">
        <f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>+J127+K127+L127+M127</f>
        <v>9530.48</v>
      </c>
      <c r="O127" s="468">
        <f>+I127-N127</f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>+J128+K128+L128+M128</f>
        <v>9530.48</v>
      </c>
      <c r="O128" s="468">
        <f>+I128-N128</f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0">+J130+K130+L130+M130</f>
        <v>5835.18</v>
      </c>
      <c r="O130" s="468">
        <f t="shared" ref="O130:O135" si="21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0"/>
        <v>7293.3200000000006</v>
      </c>
      <c r="O131" s="468">
        <f t="shared" si="21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0"/>
        <v>3532.4700000000003</v>
      </c>
      <c r="O132" s="468">
        <f t="shared" si="21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20"/>
        <v>3532.4700000000003</v>
      </c>
      <c r="O133" s="468">
        <f t="shared" si="21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20"/>
        <v>3532.4700000000003</v>
      </c>
      <c r="O134" s="468">
        <f t="shared" si="21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20"/>
        <v>1502.5</v>
      </c>
      <c r="O135" s="468">
        <f t="shared" si="21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22">SUM(I102:I135)</f>
        <v>2330500</v>
      </c>
      <c r="J136" s="695">
        <f t="shared" si="22"/>
        <v>66885.349999999991</v>
      </c>
      <c r="K136" s="695">
        <f t="shared" si="22"/>
        <v>162346.75999999995</v>
      </c>
      <c r="L136" s="1145">
        <f t="shared" si="22"/>
        <v>70847.199999999983</v>
      </c>
      <c r="M136" s="1099">
        <f t="shared" si="22"/>
        <v>11142.759999999998</v>
      </c>
      <c r="N136" s="695">
        <f t="shared" si="22"/>
        <v>311222.07</v>
      </c>
      <c r="O136" s="695">
        <f t="shared" si="22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23">+I16+I20+I25+I30+I43+I47+I52+I63+I70+I74+I79+I83+I87+I95+I99+I136+I38+I34</f>
        <v>6050500</v>
      </c>
      <c r="J138" s="1126">
        <f t="shared" si="23"/>
        <v>173649.34999999998</v>
      </c>
      <c r="K138" s="1126">
        <f t="shared" si="23"/>
        <v>614104.35</v>
      </c>
      <c r="L138" s="1151">
        <f t="shared" si="23"/>
        <v>183935.19999999998</v>
      </c>
      <c r="M138" s="1126">
        <f t="shared" si="23"/>
        <v>59754.5</v>
      </c>
      <c r="N138" s="1126">
        <f t="shared" si="23"/>
        <v>1031443.4000000001</v>
      </c>
      <c r="O138" s="1126">
        <f t="shared" si="23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22" t="s">
        <v>1375</v>
      </c>
      <c r="J158" s="1622"/>
      <c r="K158" s="1622"/>
      <c r="L158" s="1622"/>
      <c r="M158" s="1622"/>
      <c r="N158" s="1622"/>
      <c r="O158" s="162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3" t="s">
        <v>1503</v>
      </c>
      <c r="J159" s="1623"/>
      <c r="K159" s="1623"/>
      <c r="L159" s="1623"/>
      <c r="M159" s="1623"/>
      <c r="N159" s="1623"/>
      <c r="O159" s="162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732" t="s">
        <v>0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1732"/>
    </row>
    <row r="8" spans="2:15" x14ac:dyDescent="0.25">
      <c r="B8" s="1732" t="s">
        <v>1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1732"/>
    </row>
    <row r="9" spans="2:15" x14ac:dyDescent="0.25">
      <c r="B9" s="1732" t="s">
        <v>3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1732"/>
    </row>
    <row r="10" spans="2:15" x14ac:dyDescent="0.25">
      <c r="B10" s="1732" t="s">
        <v>1485</v>
      </c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  <c r="O10" s="1732"/>
    </row>
    <row r="11" spans="2:15" x14ac:dyDescent="0.25">
      <c r="B11" s="1734" t="s">
        <v>5</v>
      </c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  <c r="O11" s="1734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887" t="s">
        <v>937</v>
      </c>
      <c r="D13" s="1887" t="s">
        <v>8</v>
      </c>
      <c r="E13" s="1887" t="s">
        <v>10</v>
      </c>
      <c r="F13" s="1887" t="s">
        <v>11</v>
      </c>
      <c r="G13" s="1047" t="s">
        <v>12</v>
      </c>
      <c r="H13" s="1887" t="s">
        <v>13</v>
      </c>
      <c r="I13" s="1887" t="s">
        <v>14</v>
      </c>
      <c r="J13" s="1887" t="s">
        <v>15</v>
      </c>
      <c r="K13" s="1887" t="s">
        <v>16</v>
      </c>
      <c r="L13" s="1887" t="s">
        <v>17</v>
      </c>
      <c r="M13" s="1887" t="s">
        <v>18</v>
      </c>
      <c r="N13" s="1887" t="s">
        <v>19</v>
      </c>
      <c r="O13" s="1887" t="s">
        <v>20</v>
      </c>
    </row>
    <row r="14" spans="2:15" x14ac:dyDescent="0.25">
      <c r="B14" s="1889"/>
      <c r="C14" s="1887"/>
      <c r="D14" s="1887"/>
      <c r="E14" s="1887"/>
      <c r="F14" s="1887"/>
      <c r="G14" s="1047" t="s">
        <v>21</v>
      </c>
      <c r="H14" s="1887"/>
      <c r="I14" s="1887"/>
      <c r="J14" s="1887"/>
      <c r="K14" s="1887"/>
      <c r="L14" s="1887"/>
      <c r="M14" s="1887"/>
      <c r="N14" s="1887"/>
      <c r="O14" s="188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870" t="s">
        <v>1269</v>
      </c>
      <c r="C49" s="1870"/>
      <c r="D49" s="1870"/>
      <c r="E49" s="753"/>
      <c r="F49" s="753"/>
      <c r="G49" s="754"/>
      <c r="H49" s="755"/>
      <c r="J49" s="1871" t="s">
        <v>852</v>
      </c>
      <c r="K49" s="1871"/>
      <c r="L49" s="1871"/>
      <c r="M49" s="1871"/>
      <c r="N49" s="1871"/>
      <c r="O49" s="1871"/>
    </row>
    <row r="50" spans="2:15" s="259" customFormat="1" ht="19.5" customHeight="1" x14ac:dyDescent="0.25">
      <c r="B50" s="1809" t="s">
        <v>1270</v>
      </c>
      <c r="C50" s="1809"/>
      <c r="D50" s="1809"/>
      <c r="E50" s="753"/>
      <c r="F50" s="753"/>
      <c r="G50" s="754"/>
      <c r="H50" s="755"/>
      <c r="J50" s="1623" t="s">
        <v>1505</v>
      </c>
      <c r="K50" s="1623"/>
      <c r="L50" s="1623"/>
      <c r="M50" s="1623"/>
      <c r="N50" s="1623"/>
      <c r="O50" s="1623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810"/>
      <c r="K62" s="1810"/>
      <c r="L62" s="1810"/>
      <c r="M62" s="1810"/>
      <c r="N62" s="1810"/>
      <c r="O62" s="1810"/>
    </row>
    <row r="63" spans="2:15" ht="15.75" x14ac:dyDescent="0.25">
      <c r="B63" s="267"/>
      <c r="C63" s="267"/>
      <c r="D63" s="267"/>
      <c r="E63" s="268"/>
      <c r="F63" s="268"/>
      <c r="G63" s="269"/>
      <c r="H63" s="1738"/>
      <c r="I63" s="1738"/>
      <c r="J63" s="1738"/>
      <c r="K63" s="1738"/>
      <c r="L63" s="1738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4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4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4" x14ac:dyDescent="0.25">
      <c r="B8" s="1881" t="s">
        <v>1486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4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99" t="s">
        <v>7</v>
      </c>
      <c r="C11" s="1899" t="s">
        <v>802</v>
      </c>
      <c r="D11" s="1901" t="s">
        <v>9</v>
      </c>
      <c r="E11" s="1046" t="s">
        <v>12</v>
      </c>
      <c r="F11" s="1903" t="s">
        <v>13</v>
      </c>
      <c r="G11" s="1897" t="s">
        <v>14</v>
      </c>
      <c r="H11" s="1897" t="s">
        <v>15</v>
      </c>
      <c r="I11" s="1897" t="s">
        <v>16</v>
      </c>
      <c r="J11" s="1897" t="s">
        <v>17</v>
      </c>
      <c r="K11" s="1897" t="s">
        <v>18</v>
      </c>
      <c r="L11" s="1897" t="s">
        <v>19</v>
      </c>
      <c r="M11" s="1897" t="s">
        <v>20</v>
      </c>
    </row>
    <row r="12" spans="2:14" ht="16.5" customHeight="1" x14ac:dyDescent="0.25">
      <c r="B12" s="1900"/>
      <c r="C12" s="1900"/>
      <c r="D12" s="1902"/>
      <c r="E12" s="1046" t="s">
        <v>21</v>
      </c>
      <c r="F12" s="1904"/>
      <c r="G12" s="1898"/>
      <c r="H12" s="1898"/>
      <c r="I12" s="1898"/>
      <c r="J12" s="1898"/>
      <c r="K12" s="1898"/>
      <c r="L12" s="1898"/>
      <c r="M12" s="189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6">+G60+G56+G52+G47+G43+G39+G35+G31+G27+G23+G19+G15</f>
        <v>257000</v>
      </c>
      <c r="H63" s="1140">
        <f t="shared" si="6"/>
        <v>7375.9000000000015</v>
      </c>
      <c r="I63" s="1140">
        <f t="shared" si="6"/>
        <v>45992.92</v>
      </c>
      <c r="J63" s="1140">
        <f t="shared" si="6"/>
        <v>7812.8000000000011</v>
      </c>
      <c r="K63" s="1045">
        <v>0</v>
      </c>
      <c r="L63" s="1140">
        <f t="shared" si="6"/>
        <v>61181.62</v>
      </c>
      <c r="M63" s="1140">
        <f t="shared" si="6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877" t="s">
        <v>1372</v>
      </c>
      <c r="H77" s="1877"/>
      <c r="I77" s="1877"/>
      <c r="J77" s="1877"/>
      <c r="K77" s="1877"/>
      <c r="L77" s="1877"/>
    </row>
    <row r="78" spans="2:12" x14ac:dyDescent="0.25">
      <c r="B78" s="1083" t="s">
        <v>1238</v>
      </c>
      <c r="C78" s="1083"/>
      <c r="D78" s="921"/>
      <c r="E78" s="915"/>
      <c r="F78" s="915"/>
      <c r="G78" s="1875" t="s">
        <v>1222</v>
      </c>
      <c r="H78" s="1875"/>
      <c r="I78" s="1875"/>
      <c r="J78" s="1875"/>
      <c r="K78" s="1875"/>
      <c r="L78" s="1875"/>
    </row>
    <row r="79" spans="2:12" x14ac:dyDescent="0.25">
      <c r="B79" s="916" t="s">
        <v>1239</v>
      </c>
      <c r="C79" s="916"/>
      <c r="D79" s="915"/>
      <c r="E79" s="915"/>
      <c r="F79" s="923"/>
      <c r="G79" s="1874" t="s">
        <v>1224</v>
      </c>
      <c r="H79" s="1874"/>
      <c r="I79" s="1874"/>
      <c r="J79" s="1874"/>
      <c r="K79" s="1874"/>
      <c r="L79" s="1874"/>
    </row>
    <row r="83" spans="5:13" ht="30" customHeight="1" x14ac:dyDescent="0.25"/>
    <row r="89" spans="5:13" x14ac:dyDescent="0.25">
      <c r="E89" s="924"/>
      <c r="F89" s="923"/>
      <c r="G89" s="915"/>
      <c r="H89" s="1879"/>
      <c r="I89" s="1879"/>
      <c r="J89" s="1879"/>
      <c r="K89" s="1879"/>
      <c r="L89" s="1879"/>
      <c r="M89" s="1879"/>
    </row>
    <row r="90" spans="5:13" x14ac:dyDescent="0.25">
      <c r="E90" s="925"/>
      <c r="F90" s="1872"/>
      <c r="G90" s="1872"/>
      <c r="H90" s="1872"/>
      <c r="I90" s="1872"/>
      <c r="J90" s="1872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17" t="s">
        <v>0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</row>
    <row r="6" spans="2:13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1487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731" t="s">
        <v>1197</v>
      </c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16" t="s">
        <v>7</v>
      </c>
      <c r="C11" s="1615" t="s">
        <v>802</v>
      </c>
      <c r="D11" s="1615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616"/>
      <c r="C12" s="1615"/>
      <c r="D12" s="1615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2" t="s">
        <v>1250</v>
      </c>
      <c r="H42" s="1862"/>
      <c r="I42" s="1862"/>
      <c r="J42" s="1862"/>
      <c r="K42" s="1862"/>
      <c r="L42" s="1862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08" t="s">
        <v>852</v>
      </c>
      <c r="H43" s="1808"/>
      <c r="I43" s="1808"/>
      <c r="J43" s="1808"/>
      <c r="K43" s="1808"/>
      <c r="L43" s="180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809" t="s">
        <v>1506</v>
      </c>
      <c r="H44" s="1809"/>
      <c r="I44" s="1809"/>
      <c r="J44" s="1809"/>
      <c r="K44" s="1809"/>
      <c r="L44" s="1809"/>
      <c r="M44" s="537"/>
    </row>
    <row r="45" spans="2:13" x14ac:dyDescent="0.25">
      <c r="B45" s="546"/>
      <c r="C45" s="546"/>
      <c r="D45" s="547"/>
      <c r="E45" s="541"/>
      <c r="F45" s="540"/>
      <c r="G45" s="537"/>
      <c r="H45" s="1810"/>
      <c r="I45" s="1810"/>
      <c r="J45" s="1810"/>
      <c r="K45" s="1810"/>
      <c r="L45" s="1810"/>
      <c r="M45" s="1810"/>
    </row>
    <row r="46" spans="2:13" ht="15.75" x14ac:dyDescent="0.25">
      <c r="B46" s="267"/>
      <c r="C46" s="267"/>
      <c r="D46" s="268"/>
      <c r="E46" s="269"/>
      <c r="F46" s="1738"/>
      <c r="G46" s="1738"/>
      <c r="H46" s="1738"/>
      <c r="I46" s="1738"/>
      <c r="J46" s="1738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1732"/>
      <c r="O6" s="259"/>
    </row>
    <row r="7" spans="2:15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  <c r="O7" s="259"/>
    </row>
    <row r="8" spans="2:15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  <c r="O8" s="259"/>
    </row>
    <row r="9" spans="2:15" x14ac:dyDescent="0.25">
      <c r="B9" s="1732" t="s">
        <v>1488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  <c r="O9" s="259"/>
    </row>
    <row r="10" spans="2:15" x14ac:dyDescent="0.25">
      <c r="B10" s="1819" t="s">
        <v>412</v>
      </c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  <c r="N10" s="1819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16" t="s">
        <v>7</v>
      </c>
      <c r="C12" s="1615" t="s">
        <v>937</v>
      </c>
      <c r="D12" s="1615" t="s">
        <v>9</v>
      </c>
      <c r="E12" s="1067" t="s">
        <v>832</v>
      </c>
      <c r="F12" s="1895" t="s">
        <v>12</v>
      </c>
      <c r="G12" s="1894" t="s">
        <v>13</v>
      </c>
      <c r="H12" s="1894" t="s">
        <v>14</v>
      </c>
      <c r="I12" s="1894" t="s">
        <v>15</v>
      </c>
      <c r="J12" s="1894" t="s">
        <v>16</v>
      </c>
      <c r="K12" s="1894" t="s">
        <v>17</v>
      </c>
      <c r="L12" s="1894" t="s">
        <v>18</v>
      </c>
      <c r="M12" s="1894" t="s">
        <v>19</v>
      </c>
      <c r="N12" s="1616" t="s">
        <v>20</v>
      </c>
    </row>
    <row r="13" spans="2:15" x14ac:dyDescent="0.25">
      <c r="B13" s="1616"/>
      <c r="C13" s="1615"/>
      <c r="D13" s="1615"/>
      <c r="E13" s="1067" t="s">
        <v>21</v>
      </c>
      <c r="F13" s="1895" t="s">
        <v>21</v>
      </c>
      <c r="G13" s="1894"/>
      <c r="H13" s="1894"/>
      <c r="I13" s="1894"/>
      <c r="J13" s="1894"/>
      <c r="K13" s="1894"/>
      <c r="L13" s="1894"/>
      <c r="M13" s="1894"/>
      <c r="N13" s="1616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07" t="s">
        <v>1225</v>
      </c>
      <c r="J40" s="1807"/>
      <c r="K40" s="1807"/>
      <c r="L40" s="1807"/>
      <c r="M40" s="1807"/>
      <c r="N40" s="180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08" t="s">
        <v>852</v>
      </c>
      <c r="J41" s="1808"/>
      <c r="K41" s="1808"/>
      <c r="L41" s="1808"/>
      <c r="M41" s="1808"/>
      <c r="N41" s="180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809" t="s">
        <v>1445</v>
      </c>
      <c r="J42" s="1809"/>
      <c r="K42" s="1809"/>
      <c r="L42" s="1809"/>
      <c r="M42" s="1809"/>
      <c r="N42" s="180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810"/>
      <c r="K43" s="1810"/>
      <c r="L43" s="1810"/>
      <c r="M43" s="1810"/>
      <c r="N43" s="1810"/>
      <c r="O43" s="1810"/>
    </row>
    <row r="44" spans="2:15" ht="15.75" x14ac:dyDescent="0.25">
      <c r="B44" s="267"/>
      <c r="C44" s="267"/>
      <c r="D44" s="267"/>
      <c r="E44" s="268"/>
      <c r="F44" s="268"/>
      <c r="G44" s="269"/>
      <c r="H44" s="1738"/>
      <c r="I44" s="1738"/>
      <c r="J44" s="1738"/>
      <c r="K44" s="1738"/>
      <c r="L44" s="1738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1489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2" t="s">
        <v>1255</v>
      </c>
      <c r="H31" s="1862"/>
      <c r="I31" s="1862"/>
      <c r="J31" s="1862"/>
      <c r="K31" s="1862"/>
      <c r="L31" s="1862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808" t="s">
        <v>852</v>
      </c>
      <c r="H32" s="1808"/>
      <c r="I32" s="1808"/>
      <c r="J32" s="1808"/>
      <c r="K32" s="1808"/>
      <c r="L32" s="180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809" t="s">
        <v>1257</v>
      </c>
      <c r="H33" s="1809"/>
      <c r="I33" s="1809"/>
      <c r="J33" s="1809"/>
      <c r="K33" s="1809"/>
      <c r="L33" s="1809"/>
      <c r="M33" s="537"/>
    </row>
    <row r="34" spans="2:13" x14ac:dyDescent="0.25">
      <c r="B34" s="546"/>
      <c r="C34" s="546"/>
      <c r="D34" s="547"/>
      <c r="E34" s="541"/>
      <c r="F34" s="540"/>
      <c r="G34" s="537"/>
      <c r="H34" s="1810"/>
      <c r="I34" s="1810"/>
      <c r="J34" s="1810"/>
      <c r="K34" s="1810"/>
      <c r="L34" s="1810"/>
      <c r="M34" s="1810"/>
    </row>
    <row r="35" spans="2:13" ht="15.75" x14ac:dyDescent="0.25">
      <c r="B35" s="267"/>
      <c r="C35" s="267"/>
      <c r="D35" s="268"/>
      <c r="E35" s="269"/>
      <c r="F35" s="1738"/>
      <c r="G35" s="1738"/>
      <c r="H35" s="1738"/>
      <c r="I35" s="1738"/>
      <c r="J35" s="1738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4" t="s">
        <v>1502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0.75" customHeight="1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1508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96" t="s">
        <v>16</v>
      </c>
      <c r="J12" s="1886" t="s">
        <v>17</v>
      </c>
      <c r="K12" s="1886" t="s">
        <v>18</v>
      </c>
      <c r="L12" s="189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96"/>
      <c r="J13" s="1886"/>
      <c r="K13" s="1886"/>
      <c r="L13" s="189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18742.79</v>
      </c>
      <c r="L25" s="963">
        <f t="shared" si="1"/>
        <v>40671.199999999997</v>
      </c>
      <c r="M25" s="963">
        <f t="shared" si="1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>+G57-L57</f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965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10395.789999999999</v>
      </c>
      <c r="M58" s="965">
        <f t="shared" si="9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3"/>
        <v>4502.5</v>
      </c>
      <c r="M83" s="953">
        <f t="shared" si="14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>+H86+I86+J86+K86</f>
        <v>9577.77</v>
      </c>
      <c r="M86" s="951">
        <f t="shared" si="14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16212.93</v>
      </c>
      <c r="L88" s="963">
        <f t="shared" si="15"/>
        <v>37154.9</v>
      </c>
      <c r="M88" s="963">
        <f t="shared" si="15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0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 t="shared" si="23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3837.66</v>
      </c>
      <c r="L146" s="963">
        <f t="shared" si="25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33">SUM(G179:G182)</f>
        <v>210500</v>
      </c>
      <c r="H183" s="963">
        <f t="shared" si="33"/>
        <v>6040.75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25294.079999999998</v>
      </c>
      <c r="M183" s="963">
        <f t="shared" si="33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5">+H193+I193+J193+K193</f>
        <v>5835.18</v>
      </c>
      <c r="M193" s="1031">
        <f t="shared" si="3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35"/>
        <v>2330.2600000000002</v>
      </c>
      <c r="M195" s="1032">
        <f t="shared" si="3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5"/>
        <v>2330.2600000000002</v>
      </c>
      <c r="M197" s="1032">
        <f t="shared" si="3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1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3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35"/>
        <v>3532.4700000000003</v>
      </c>
      <c r="M200" s="1031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35"/>
        <v>3532.4700000000003</v>
      </c>
      <c r="M206" s="1031">
        <f t="shared" si="3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5"/>
        <v>1502.5</v>
      </c>
      <c r="M207" s="1031">
        <f t="shared" si="3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1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35"/>
        <v>3907</v>
      </c>
      <c r="M216" s="1031">
        <f t="shared" si="3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5"/>
        <v>1798</v>
      </c>
      <c r="M217" s="1031">
        <f t="shared" si="3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76043.139999999941</v>
      </c>
      <c r="J223" s="963">
        <f t="shared" si="36"/>
        <v>50813.600000000013</v>
      </c>
      <c r="K223" s="963">
        <f t="shared" si="36"/>
        <v>14029.759999999998</v>
      </c>
      <c r="L223" s="963">
        <f t="shared" si="36"/>
        <v>188855.55</v>
      </c>
      <c r="M223" s="963">
        <f t="shared" si="36"/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37">+G19+G25+G29+G39+G43+G48+G52+G58+G73+G88+G93+G99+G103+G108+G112+G122+G128+G135+G141+G146+G150+G157+G162+G167+G176+G223+G183</f>
        <v>6822000</v>
      </c>
      <c r="H225" s="1076">
        <f t="shared" si="37"/>
        <v>195790.83000000002</v>
      </c>
      <c r="I225" s="1076">
        <f t="shared" si="37"/>
        <v>432847.21999999991</v>
      </c>
      <c r="J225" s="1076">
        <f t="shared" si="37"/>
        <v>204867.12</v>
      </c>
      <c r="K225" s="1076">
        <f t="shared" si="37"/>
        <v>140002.19999999998</v>
      </c>
      <c r="L225" s="1076">
        <f t="shared" si="37"/>
        <v>973433.84</v>
      </c>
      <c r="M225" s="1076">
        <f t="shared" si="3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884" t="s">
        <v>1271</v>
      </c>
      <c r="B254" s="1884"/>
      <c r="C254" s="874"/>
      <c r="D254" s="874"/>
      <c r="E254" s="875"/>
      <c r="F254" s="873"/>
      <c r="G254" s="873"/>
      <c r="H254" s="1869" t="s">
        <v>852</v>
      </c>
      <c r="I254" s="1869"/>
      <c r="J254" s="1869"/>
      <c r="K254" s="1869"/>
      <c r="L254" s="1869"/>
      <c r="M254" s="1869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863" t="s">
        <v>1504</v>
      </c>
      <c r="J255" s="1863"/>
      <c r="K255" s="1863"/>
      <c r="L255" s="1863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1509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0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0"/>
      <c r="N12" s="1620"/>
      <c r="O12" s="162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>SUM(N66:N69)</f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1099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 t="shared" si="16"/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162346.75999999995</v>
      </c>
      <c r="L134" s="1145">
        <f t="shared" si="21"/>
        <v>70847.199999999983</v>
      </c>
      <c r="M134" s="1099">
        <f t="shared" si="21"/>
        <v>11142.759999999998</v>
      </c>
      <c r="N134" s="695">
        <f t="shared" si="21"/>
        <v>311222.07</v>
      </c>
      <c r="O134" s="695">
        <f t="shared" si="21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614104.35</v>
      </c>
      <c r="L136" s="1151">
        <f t="shared" si="22"/>
        <v>183935.19999999998</v>
      </c>
      <c r="M136" s="1126">
        <f t="shared" si="22"/>
        <v>63633.430000000008</v>
      </c>
      <c r="N136" s="1126">
        <f t="shared" si="22"/>
        <v>1035322.3300000001</v>
      </c>
      <c r="O136" s="1126">
        <f t="shared" si="22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22" t="s">
        <v>1375</v>
      </c>
      <c r="J163" s="1622"/>
      <c r="K163" s="1622"/>
      <c r="L163" s="1622"/>
      <c r="M163" s="1622"/>
      <c r="N163" s="1622"/>
      <c r="O163" s="162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23" t="s">
        <v>1503</v>
      </c>
      <c r="J164" s="1623"/>
      <c r="K164" s="1623"/>
      <c r="L164" s="1623"/>
      <c r="M164" s="1623"/>
      <c r="N164" s="1623"/>
      <c r="O164" s="162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1510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88" t="s">
        <v>7</v>
      </c>
      <c r="B13" s="1887" t="s">
        <v>937</v>
      </c>
      <c r="C13" s="1887" t="s">
        <v>8</v>
      </c>
      <c r="D13" s="1887" t="s">
        <v>10</v>
      </c>
      <c r="E13" s="1887" t="s">
        <v>11</v>
      </c>
      <c r="F13" s="1047" t="s">
        <v>12</v>
      </c>
      <c r="G13" s="1887" t="s">
        <v>13</v>
      </c>
      <c r="H13" s="1887" t="s">
        <v>14</v>
      </c>
      <c r="I13" s="1887" t="s">
        <v>15</v>
      </c>
      <c r="J13" s="1887" t="s">
        <v>16</v>
      </c>
      <c r="K13" s="1887" t="s">
        <v>17</v>
      </c>
      <c r="L13" s="1887" t="s">
        <v>18</v>
      </c>
      <c r="M13" s="1887" t="s">
        <v>19</v>
      </c>
      <c r="N13" s="1887" t="s">
        <v>20</v>
      </c>
    </row>
    <row r="14" spans="1:14" x14ac:dyDescent="0.25">
      <c r="A14" s="1889"/>
      <c r="B14" s="1887"/>
      <c r="C14" s="1887"/>
      <c r="D14" s="1887"/>
      <c r="E14" s="1887"/>
      <c r="F14" s="1047" t="s">
        <v>21</v>
      </c>
      <c r="G14" s="1887"/>
      <c r="H14" s="1887"/>
      <c r="I14" s="1887"/>
      <c r="J14" s="1887"/>
      <c r="K14" s="1887"/>
      <c r="L14" s="1887"/>
      <c r="M14" s="1887"/>
      <c r="N14" s="18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0" t="s">
        <v>1269</v>
      </c>
      <c r="B56" s="1870"/>
      <c r="C56" s="1870"/>
      <c r="D56" s="753"/>
      <c r="E56" s="753"/>
      <c r="F56" s="754"/>
      <c r="G56" s="755"/>
      <c r="I56" s="1871" t="s">
        <v>852</v>
      </c>
      <c r="J56" s="1871"/>
      <c r="K56" s="1871"/>
      <c r="L56" s="1871"/>
      <c r="M56" s="1871"/>
      <c r="N56" s="1871"/>
    </row>
    <row r="57" spans="1:14" s="259" customFormat="1" ht="19.5" customHeight="1" x14ac:dyDescent="0.25">
      <c r="A57" s="1809" t="s">
        <v>1270</v>
      </c>
      <c r="B57" s="1809"/>
      <c r="C57" s="1809"/>
      <c r="D57" s="753"/>
      <c r="E57" s="753"/>
      <c r="F57" s="754"/>
      <c r="G57" s="755"/>
      <c r="I57" s="1623" t="s">
        <v>1505</v>
      </c>
      <c r="J57" s="1623"/>
      <c r="K57" s="1623"/>
      <c r="L57" s="1623"/>
      <c r="M57" s="1623"/>
      <c r="N57" s="162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0"/>
      <c r="J69" s="1810"/>
      <c r="K69" s="1810"/>
      <c r="L69" s="1810"/>
      <c r="M69" s="1810"/>
      <c r="N69" s="1810"/>
    </row>
    <row r="70" spans="1:14" ht="15.75" x14ac:dyDescent="0.25">
      <c r="A70" s="267"/>
      <c r="B70" s="267"/>
      <c r="C70" s="267"/>
      <c r="D70" s="268"/>
      <c r="E70" s="268"/>
      <c r="F70" s="269"/>
      <c r="G70" s="1738"/>
      <c r="H70" s="1738"/>
      <c r="I70" s="1738"/>
      <c r="J70" s="1738"/>
      <c r="K70" s="1738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4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4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4" x14ac:dyDescent="0.25">
      <c r="B8" s="1881" t="s">
        <v>1511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4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99" t="s">
        <v>7</v>
      </c>
      <c r="C11" s="1899" t="s">
        <v>802</v>
      </c>
      <c r="D11" s="1901" t="s">
        <v>9</v>
      </c>
      <c r="E11" s="1046" t="s">
        <v>12</v>
      </c>
      <c r="F11" s="1903" t="s">
        <v>13</v>
      </c>
      <c r="G11" s="1897" t="s">
        <v>14</v>
      </c>
      <c r="H11" s="1897" t="s">
        <v>15</v>
      </c>
      <c r="I11" s="1897" t="s">
        <v>16</v>
      </c>
      <c r="J11" s="1897" t="s">
        <v>17</v>
      </c>
      <c r="K11" s="1897" t="s">
        <v>18</v>
      </c>
      <c r="L11" s="1897" t="s">
        <v>19</v>
      </c>
      <c r="M11" s="1897" t="s">
        <v>20</v>
      </c>
    </row>
    <row r="12" spans="2:14" ht="16.5" customHeight="1" x14ac:dyDescent="0.25">
      <c r="B12" s="1900"/>
      <c r="C12" s="1900"/>
      <c r="D12" s="1902"/>
      <c r="E12" s="1046" t="s">
        <v>21</v>
      </c>
      <c r="F12" s="1904"/>
      <c r="G12" s="1898"/>
      <c r="H12" s="1898"/>
      <c r="I12" s="1898"/>
      <c r="J12" s="1898"/>
      <c r="K12" s="1898"/>
      <c r="L12" s="1898"/>
      <c r="M12" s="189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877" t="s">
        <v>1372</v>
      </c>
      <c r="H82" s="1877"/>
      <c r="I82" s="1877"/>
      <c r="J82" s="1877"/>
      <c r="K82" s="1877"/>
      <c r="L82" s="1877"/>
    </row>
    <row r="83" spans="2:13" x14ac:dyDescent="0.25">
      <c r="B83" s="1083" t="s">
        <v>1238</v>
      </c>
      <c r="C83" s="1083"/>
      <c r="D83" s="921"/>
      <c r="E83" s="915"/>
      <c r="F83" s="915"/>
      <c r="G83" s="1875" t="s">
        <v>1222</v>
      </c>
      <c r="H83" s="1875"/>
      <c r="I83" s="1875"/>
      <c r="J83" s="1875"/>
      <c r="K83" s="1875"/>
      <c r="L83" s="1875"/>
    </row>
    <row r="84" spans="2:13" x14ac:dyDescent="0.25">
      <c r="B84" s="916" t="s">
        <v>1239</v>
      </c>
      <c r="C84" s="916"/>
      <c r="D84" s="915"/>
      <c r="E84" s="915"/>
      <c r="F84" s="923"/>
      <c r="G84" s="1874" t="s">
        <v>1224</v>
      </c>
      <c r="H84" s="1874"/>
      <c r="I84" s="1874"/>
      <c r="J84" s="1874"/>
      <c r="K84" s="1874"/>
      <c r="L84" s="1874"/>
    </row>
    <row r="88" spans="2:13" ht="30" customHeight="1" x14ac:dyDescent="0.25"/>
    <row r="94" spans="2:13" x14ac:dyDescent="0.25">
      <c r="E94" s="924"/>
      <c r="F94" s="923"/>
      <c r="G94" s="915"/>
      <c r="H94" s="1879"/>
      <c r="I94" s="1879"/>
      <c r="J94" s="1879"/>
      <c r="K94" s="1879"/>
      <c r="L94" s="1879"/>
      <c r="M94" s="1879"/>
    </row>
    <row r="95" spans="2:13" x14ac:dyDescent="0.25">
      <c r="E95" s="925"/>
      <c r="F95" s="1872"/>
      <c r="G95" s="1872"/>
      <c r="H95" s="1872"/>
      <c r="I95" s="1872"/>
      <c r="J95" s="1872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617" t="s">
        <v>0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</row>
    <row r="6" spans="2:13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1512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731" t="s">
        <v>1197</v>
      </c>
      <c r="C9" s="1731"/>
      <c r="D9" s="1731"/>
      <c r="E9" s="1731"/>
      <c r="F9" s="1731"/>
      <c r="G9" s="1731"/>
      <c r="H9" s="1731"/>
      <c r="I9" s="1731"/>
      <c r="J9" s="1731"/>
      <c r="K9" s="1731"/>
      <c r="L9" s="1731"/>
      <c r="M9" s="1731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16" t="s">
        <v>7</v>
      </c>
      <c r="C11" s="1615" t="s">
        <v>802</v>
      </c>
      <c r="D11" s="1615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616"/>
      <c r="C12" s="1615"/>
      <c r="D12" s="1615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862" t="s">
        <v>1250</v>
      </c>
      <c r="H49" s="1862"/>
      <c r="I49" s="1862"/>
      <c r="J49" s="1862"/>
      <c r="K49" s="1862"/>
      <c r="L49" s="1862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808" t="s">
        <v>852</v>
      </c>
      <c r="H50" s="1808"/>
      <c r="I50" s="1808"/>
      <c r="J50" s="1808"/>
      <c r="K50" s="1808"/>
      <c r="L50" s="180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09" t="s">
        <v>1506</v>
      </c>
      <c r="H51" s="1809"/>
      <c r="I51" s="1809"/>
      <c r="J51" s="1809"/>
      <c r="K51" s="1809"/>
      <c r="L51" s="1809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0"/>
      <c r="I52" s="1810"/>
      <c r="J52" s="1810"/>
      <c r="K52" s="1810"/>
      <c r="L52" s="1810"/>
      <c r="M52" s="1810"/>
    </row>
    <row r="53" spans="2:13" ht="15.75" x14ac:dyDescent="0.25">
      <c r="B53" s="267"/>
      <c r="C53" s="267"/>
      <c r="D53" s="268"/>
      <c r="E53" s="269"/>
      <c r="F53" s="1738"/>
      <c r="G53" s="1738"/>
      <c r="H53" s="1738"/>
      <c r="I53" s="1738"/>
      <c r="J53" s="1738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732" t="s">
        <v>0</v>
      </c>
      <c r="B6" s="1732"/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259"/>
    </row>
    <row r="7" spans="1:14" x14ac:dyDescent="0.25">
      <c r="A7" s="1732" t="s">
        <v>1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259"/>
    </row>
    <row r="8" spans="1:14" x14ac:dyDescent="0.25">
      <c r="A8" s="1732" t="s">
        <v>3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259"/>
    </row>
    <row r="9" spans="1:14" x14ac:dyDescent="0.25">
      <c r="A9" s="1732" t="s">
        <v>1513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259"/>
    </row>
    <row r="10" spans="1:14" x14ac:dyDescent="0.25">
      <c r="A10" s="1819" t="s">
        <v>412</v>
      </c>
      <c r="B10" s="1819"/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16" t="s">
        <v>7</v>
      </c>
      <c r="B12" s="1615" t="s">
        <v>937</v>
      </c>
      <c r="C12" s="1615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616" t="s">
        <v>20</v>
      </c>
    </row>
    <row r="13" spans="1:14" x14ac:dyDescent="0.25">
      <c r="A13" s="1616"/>
      <c r="B13" s="1615"/>
      <c r="C13" s="1615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61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07" t="s">
        <v>1225</v>
      </c>
      <c r="I39" s="1807"/>
      <c r="J39" s="1807"/>
      <c r="K39" s="1807"/>
      <c r="L39" s="1807"/>
      <c r="M39" s="180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08" t="s">
        <v>852</v>
      </c>
      <c r="I40" s="1808"/>
      <c r="J40" s="1808"/>
      <c r="K40" s="1808"/>
      <c r="L40" s="1808"/>
      <c r="M40" s="180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09" t="s">
        <v>1521</v>
      </c>
      <c r="I41" s="1809"/>
      <c r="J41" s="1809"/>
      <c r="K41" s="1809"/>
      <c r="L41" s="1809"/>
      <c r="M41" s="180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0"/>
      <c r="J42" s="1810"/>
      <c r="K42" s="1810"/>
      <c r="L42" s="1810"/>
      <c r="M42" s="1810"/>
      <c r="N42" s="1810"/>
    </row>
    <row r="43" spans="1:14" ht="15.75" x14ac:dyDescent="0.25">
      <c r="A43" s="267"/>
      <c r="B43" s="267"/>
      <c r="C43" s="267"/>
      <c r="D43" s="268"/>
      <c r="E43" s="268"/>
      <c r="F43" s="269"/>
      <c r="G43" s="1738"/>
      <c r="H43" s="1738"/>
      <c r="I43" s="1738"/>
      <c r="J43" s="1738"/>
      <c r="K43" s="1738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617" t="s">
        <v>0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</row>
    <row r="7" spans="2:13" x14ac:dyDescent="0.25">
      <c r="B7" s="1617" t="s">
        <v>1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</row>
    <row r="8" spans="2:13" x14ac:dyDescent="0.25">
      <c r="B8" s="1617" t="s">
        <v>3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</row>
    <row r="9" spans="2:13" x14ac:dyDescent="0.25">
      <c r="B9" s="1617" t="s">
        <v>1514</v>
      </c>
      <c r="C9" s="1617"/>
      <c r="D9" s="1617"/>
      <c r="E9" s="1617"/>
      <c r="F9" s="1617"/>
      <c r="G9" s="1617"/>
      <c r="H9" s="1617"/>
      <c r="I9" s="1617"/>
      <c r="J9" s="1617"/>
      <c r="K9" s="1617"/>
      <c r="L9" s="1617"/>
      <c r="M9" s="1617"/>
    </row>
    <row r="10" spans="2:13" x14ac:dyDescent="0.25">
      <c r="B10" s="1731" t="s">
        <v>1197</v>
      </c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  <c r="M10" s="1731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16" t="s">
        <v>7</v>
      </c>
      <c r="C12" s="1615" t="s">
        <v>802</v>
      </c>
      <c r="D12" s="1615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862" t="s">
        <v>1255</v>
      </c>
      <c r="H32" s="1862"/>
      <c r="I32" s="1862"/>
      <c r="J32" s="1862"/>
      <c r="K32" s="1862"/>
      <c r="L32" s="1862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808" t="s">
        <v>852</v>
      </c>
      <c r="H33" s="1808"/>
      <c r="I33" s="1808"/>
      <c r="J33" s="1808"/>
      <c r="K33" s="1808"/>
      <c r="L33" s="1808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809" t="s">
        <v>1506</v>
      </c>
      <c r="H34" s="1809"/>
      <c r="I34" s="1809"/>
      <c r="J34" s="1809"/>
      <c r="K34" s="1809"/>
      <c r="L34" s="1809"/>
      <c r="M34" s="537"/>
    </row>
    <row r="35" spans="2:13" x14ac:dyDescent="0.25">
      <c r="B35" s="546"/>
      <c r="C35" s="546"/>
      <c r="D35" s="547"/>
      <c r="E35" s="541"/>
      <c r="F35" s="540"/>
      <c r="G35" s="537"/>
      <c r="H35" s="1810"/>
      <c r="I35" s="1810"/>
      <c r="J35" s="1810"/>
      <c r="K35" s="1810"/>
      <c r="L35" s="1810"/>
      <c r="M35" s="1810"/>
    </row>
    <row r="36" spans="2:13" ht="15.75" x14ac:dyDescent="0.25">
      <c r="B36" s="267"/>
      <c r="C36" s="267"/>
      <c r="D36" s="268"/>
      <c r="E36" s="269"/>
      <c r="F36" s="1738"/>
      <c r="G36" s="1738"/>
      <c r="H36" s="1738"/>
      <c r="I36" s="1738"/>
      <c r="J36" s="1738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4" t="s">
        <v>1502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0.75" customHeight="1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1522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96" t="s">
        <v>16</v>
      </c>
      <c r="J12" s="1886" t="s">
        <v>17</v>
      </c>
      <c r="K12" s="1896" t="s">
        <v>18</v>
      </c>
      <c r="L12" s="189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96"/>
      <c r="J13" s="1886"/>
      <c r="K13" s="1896"/>
      <c r="L13" s="189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3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965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3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5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5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5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3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3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5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3">
        <f t="shared" si="17"/>
        <v>4075.43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 t="shared" si="18"/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0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0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0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1">SUM(F116:F122)</f>
        <v>0</v>
      </c>
      <c r="G123" s="963">
        <f t="shared" si="21"/>
        <v>517500</v>
      </c>
      <c r="H123" s="963">
        <f t="shared" si="21"/>
        <v>14852.25</v>
      </c>
      <c r="I123" s="963">
        <f t="shared" si="21"/>
        <v>50491.780000000006</v>
      </c>
      <c r="J123" s="963">
        <f t="shared" si="21"/>
        <v>15732</v>
      </c>
      <c r="K123" s="963">
        <f t="shared" si="21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3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3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3">
        <f t="shared" si="24"/>
        <v>36513.17</v>
      </c>
      <c r="J142" s="965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M147" si="25">SUM(G145:G146)</f>
        <v>111500</v>
      </c>
      <c r="H147" s="963">
        <f t="shared" si="25"/>
        <v>3200.05</v>
      </c>
      <c r="I147" s="963">
        <f t="shared" si="25"/>
        <v>7400.87</v>
      </c>
      <c r="J147" s="963">
        <f t="shared" si="25"/>
        <v>3389.6</v>
      </c>
      <c r="K147" s="963">
        <f t="shared" si="25"/>
        <v>2122.1999999999998</v>
      </c>
      <c r="L147" s="963">
        <f t="shared" si="25"/>
        <v>16112.72</v>
      </c>
      <c r="M147" s="963">
        <f t="shared" si="25"/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091">
        <f t="shared" si="26"/>
        <v>936.62</v>
      </c>
      <c r="J151" s="996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3">
        <f t="shared" si="27"/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3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3">
        <f t="shared" si="29"/>
        <v>8337.49</v>
      </c>
      <c r="J168" s="965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3">
        <f t="shared" si="32"/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33">SUM(G180:G183)</f>
        <v>210500</v>
      </c>
      <c r="H184" s="963">
        <f t="shared" si="33"/>
        <v>6040.75</v>
      </c>
      <c r="I184" s="963">
        <f t="shared" si="33"/>
        <v>10210.730000000001</v>
      </c>
      <c r="J184" s="963">
        <f t="shared" si="33"/>
        <v>6399.2000000000007</v>
      </c>
      <c r="K184" s="963">
        <f t="shared" si="33"/>
        <v>2643.4</v>
      </c>
      <c r="L184" s="963">
        <f t="shared" si="33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 t="shared" ref="M188:M223" si="3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>+H189+I189+J189+K189</f>
        <v>12153.869999999999</v>
      </c>
      <c r="M189" s="1031">
        <f t="shared" si="3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>+H190+I190+J190+K190</f>
        <v>9530.48</v>
      </c>
      <c r="M190" s="1031">
        <f t="shared" si="3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>+H191+I191+J191+K191</f>
        <v>15451.01</v>
      </c>
      <c r="M191" s="1031">
        <f t="shared" si="3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3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3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35">+H194+I194+J194+K194</f>
        <v>7907.18</v>
      </c>
      <c r="M194" s="1031">
        <f t="shared" si="3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35"/>
        <v>4990.6100000000006</v>
      </c>
      <c r="M195" s="1032">
        <f t="shared" si="3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35"/>
        <v>3532.4700000000003</v>
      </c>
      <c r="M199" s="1031">
        <f t="shared" si="3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3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35"/>
        <v>3532.4700000000003</v>
      </c>
      <c r="M201" s="1031">
        <f t="shared" si="3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35"/>
        <v>3532.4700000000003</v>
      </c>
      <c r="M207" s="1031">
        <f t="shared" si="3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5"/>
        <v>1502.5</v>
      </c>
      <c r="M212" s="1031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5"/>
        <v>1798</v>
      </c>
      <c r="M216" s="1031">
        <f t="shared" si="3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35"/>
        <v>3907</v>
      </c>
      <c r="M217" s="1031">
        <f t="shared" si="3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5"/>
        <v>1798</v>
      </c>
      <c r="M219" s="1031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 t="shared" ref="G224:M224" si="36">SUM(G187:G223)</f>
        <v>1671500</v>
      </c>
      <c r="H224" s="963">
        <f t="shared" si="36"/>
        <v>47972.05</v>
      </c>
      <c r="I224" s="963">
        <f t="shared" si="36"/>
        <v>76044.739999999947</v>
      </c>
      <c r="J224" s="963">
        <f t="shared" si="36"/>
        <v>50813.600000000013</v>
      </c>
      <c r="K224" s="963">
        <f t="shared" si="36"/>
        <v>16101.759999999998</v>
      </c>
      <c r="L224" s="963">
        <f t="shared" si="36"/>
        <v>190929.14999999997</v>
      </c>
      <c r="M224" s="963">
        <f t="shared" si="36"/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>+G19+G26+G30+G40+G44+G49+G53+G59+G74+G89+G94+G100+G104+G109+G113+G123+G129+G136+G142+G147+G151+G158+G163+G168+G177+G224+G184</f>
        <v>6865500</v>
      </c>
      <c r="H226" s="1076">
        <f>+H19+H26+H30+H40+H44+H49+H53+H59+H74+H89+H94+H100+H104+H109+H113+H123+H129+H136+H142+H147+H151+H158+H163+H168+H177+H224+H184</f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>+J19+J26+J30+J40+J44+J49+J53+J59+J74+J89+J94+J100+J104+J109+J113+J123+J129+J136+J142+J147+J151+J158+J163+J168+J177+J224+J184</f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884" t="s">
        <v>1271</v>
      </c>
      <c r="B255" s="1884"/>
      <c r="C255" s="874"/>
      <c r="D255" s="874"/>
      <c r="E255" s="875"/>
      <c r="F255" s="873"/>
      <c r="G255" s="873"/>
      <c r="H255" s="1869" t="s">
        <v>852</v>
      </c>
      <c r="I255" s="1869"/>
      <c r="J255" s="1869"/>
      <c r="K255" s="1869"/>
      <c r="L255" s="1869"/>
      <c r="M255" s="1869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863" t="s">
        <v>1504</v>
      </c>
      <c r="J256" s="1863"/>
      <c r="K256" s="1863"/>
      <c r="L256" s="1863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1523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9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1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1"/>
      <c r="N12" s="1620"/>
      <c r="O12" s="162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695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695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97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97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>SUM(M55:M62)</f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>SUM(M66:M69)</f>
        <v>2643.4</v>
      </c>
      <c r="N70" s="695">
        <f>SUM(N66:N69)</f>
        <v>63891.459999999992</v>
      </c>
      <c r="O70" s="695">
        <f t="shared" si="10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695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695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695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>SUM(M95:M96)</f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17"/>
        <v>10902.84</v>
      </c>
      <c r="O122" s="468">
        <f t="shared" si="18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179989.64999999994</v>
      </c>
      <c r="L134" s="1145">
        <f t="shared" si="21"/>
        <v>70847.199999999983</v>
      </c>
      <c r="M134" s="695">
        <f>SUM(M100:M133)</f>
        <v>12858.219999999998</v>
      </c>
      <c r="N134" s="695">
        <f t="shared" si="21"/>
        <v>330580.42</v>
      </c>
      <c r="O134" s="695">
        <f t="shared" si="21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631747.23999999987</v>
      </c>
      <c r="L136" s="1151">
        <f t="shared" si="22"/>
        <v>183935.19999999998</v>
      </c>
      <c r="M136" s="1126">
        <f>+M16+M20+M25+M30+M43+M47+M52+M63+M70+M74+M79+M83+M92+M97+M134+M38+M34</f>
        <v>69892.290000000008</v>
      </c>
      <c r="N136" s="1126">
        <f t="shared" si="22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22" t="s">
        <v>1375</v>
      </c>
      <c r="J163" s="1622"/>
      <c r="K163" s="1622"/>
      <c r="L163" s="1622"/>
      <c r="M163" s="1622"/>
      <c r="N163" s="1622"/>
      <c r="O163" s="1622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23" t="s">
        <v>1503</v>
      </c>
      <c r="J164" s="1623"/>
      <c r="K164" s="1623"/>
      <c r="L164" s="1623"/>
      <c r="M164" s="1623"/>
      <c r="N164" s="1623"/>
      <c r="O164" s="162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1525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88" t="s">
        <v>7</v>
      </c>
      <c r="B13" s="1887" t="s">
        <v>937</v>
      </c>
      <c r="C13" s="1887" t="s">
        <v>8</v>
      </c>
      <c r="D13" s="1887" t="s">
        <v>10</v>
      </c>
      <c r="E13" s="1887" t="s">
        <v>11</v>
      </c>
      <c r="F13" s="1047" t="s">
        <v>12</v>
      </c>
      <c r="G13" s="1887" t="s">
        <v>13</v>
      </c>
      <c r="H13" s="1887" t="s">
        <v>14</v>
      </c>
      <c r="I13" s="1887" t="s">
        <v>15</v>
      </c>
      <c r="J13" s="1887" t="s">
        <v>16</v>
      </c>
      <c r="K13" s="1887" t="s">
        <v>17</v>
      </c>
      <c r="L13" s="1887" t="s">
        <v>18</v>
      </c>
      <c r="M13" s="1887" t="s">
        <v>19</v>
      </c>
      <c r="N13" s="1887" t="s">
        <v>20</v>
      </c>
    </row>
    <row r="14" spans="1:14" x14ac:dyDescent="0.25">
      <c r="A14" s="1889"/>
      <c r="B14" s="1887"/>
      <c r="C14" s="1887"/>
      <c r="D14" s="1887"/>
      <c r="E14" s="1887"/>
      <c r="F14" s="1047" t="s">
        <v>21</v>
      </c>
      <c r="G14" s="1887"/>
      <c r="H14" s="1887"/>
      <c r="I14" s="1887"/>
      <c r="J14" s="1887"/>
      <c r="K14" s="1887"/>
      <c r="L14" s="1887"/>
      <c r="M14" s="1887"/>
      <c r="N14" s="18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0" t="s">
        <v>1269</v>
      </c>
      <c r="B56" s="1870"/>
      <c r="C56" s="1870"/>
      <c r="D56" s="753"/>
      <c r="E56" s="753"/>
      <c r="F56" s="754"/>
      <c r="G56" s="755"/>
      <c r="I56" s="1871" t="s">
        <v>852</v>
      </c>
      <c r="J56" s="1871"/>
      <c r="K56" s="1871"/>
      <c r="L56" s="1871"/>
      <c r="M56" s="1871"/>
      <c r="N56" s="1871"/>
    </row>
    <row r="57" spans="1:14" s="259" customFormat="1" ht="19.5" customHeight="1" x14ac:dyDescent="0.25">
      <c r="A57" s="1809" t="s">
        <v>1270</v>
      </c>
      <c r="B57" s="1809"/>
      <c r="C57" s="1809"/>
      <c r="D57" s="753"/>
      <c r="E57" s="753"/>
      <c r="F57" s="754"/>
      <c r="G57" s="755"/>
      <c r="I57" s="1623" t="s">
        <v>1505</v>
      </c>
      <c r="J57" s="1623"/>
      <c r="K57" s="1623"/>
      <c r="L57" s="1623"/>
      <c r="M57" s="1623"/>
      <c r="N57" s="162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0"/>
      <c r="J69" s="1810"/>
      <c r="K69" s="1810"/>
      <c r="L69" s="1810"/>
      <c r="M69" s="1810"/>
      <c r="N69" s="1810"/>
    </row>
    <row r="70" spans="1:14" ht="15.75" x14ac:dyDescent="0.25">
      <c r="A70" s="267"/>
      <c r="B70" s="267"/>
      <c r="C70" s="267"/>
      <c r="D70" s="268"/>
      <c r="E70" s="268"/>
      <c r="F70" s="269"/>
      <c r="G70" s="1738"/>
      <c r="H70" s="1738"/>
      <c r="I70" s="1738"/>
      <c r="J70" s="1738"/>
      <c r="K70" s="1738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4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4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4" x14ac:dyDescent="0.25">
      <c r="B8" s="1881" t="s">
        <v>1526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4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99" t="s">
        <v>7</v>
      </c>
      <c r="C11" s="1899" t="s">
        <v>802</v>
      </c>
      <c r="D11" s="1901" t="s">
        <v>9</v>
      </c>
      <c r="E11" s="1046" t="s">
        <v>12</v>
      </c>
      <c r="F11" s="1903" t="s">
        <v>13</v>
      </c>
      <c r="G11" s="1897" t="s">
        <v>14</v>
      </c>
      <c r="H11" s="1897" t="s">
        <v>15</v>
      </c>
      <c r="I11" s="1897" t="s">
        <v>16</v>
      </c>
      <c r="J11" s="1897" t="s">
        <v>17</v>
      </c>
      <c r="K11" s="1897" t="s">
        <v>18</v>
      </c>
      <c r="L11" s="1897" t="s">
        <v>19</v>
      </c>
      <c r="M11" s="1897" t="s">
        <v>20</v>
      </c>
    </row>
    <row r="12" spans="2:14" ht="16.5" customHeight="1" x14ac:dyDescent="0.25">
      <c r="B12" s="1900"/>
      <c r="C12" s="1900"/>
      <c r="D12" s="1902"/>
      <c r="E12" s="1046" t="s">
        <v>21</v>
      </c>
      <c r="F12" s="1904"/>
      <c r="G12" s="1898"/>
      <c r="H12" s="1898"/>
      <c r="I12" s="1898"/>
      <c r="J12" s="1898"/>
      <c r="K12" s="1898"/>
      <c r="L12" s="1898"/>
      <c r="M12" s="1898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877" t="s">
        <v>1372</v>
      </c>
      <c r="H79" s="1877"/>
      <c r="I79" s="1877"/>
      <c r="J79" s="1877"/>
      <c r="K79" s="1877"/>
      <c r="L79" s="1877"/>
    </row>
    <row r="80" spans="2:12" x14ac:dyDescent="0.25">
      <c r="B80" s="1083" t="s">
        <v>1238</v>
      </c>
      <c r="C80" s="1083"/>
      <c r="D80" s="921"/>
      <c r="E80" s="915"/>
      <c r="F80" s="915"/>
      <c r="G80" s="1875" t="s">
        <v>1222</v>
      </c>
      <c r="H80" s="1875"/>
      <c r="I80" s="1875"/>
      <c r="J80" s="1875"/>
      <c r="K80" s="1875"/>
      <c r="L80" s="1875"/>
    </row>
    <row r="81" spans="2:13" x14ac:dyDescent="0.25">
      <c r="B81" s="916" t="s">
        <v>1239</v>
      </c>
      <c r="C81" s="916"/>
      <c r="D81" s="915"/>
      <c r="E81" s="915"/>
      <c r="F81" s="923"/>
      <c r="G81" s="1874" t="s">
        <v>1224</v>
      </c>
      <c r="H81" s="1874"/>
      <c r="I81" s="1874"/>
      <c r="J81" s="1874"/>
      <c r="K81" s="1874"/>
      <c r="L81" s="1874"/>
    </row>
    <row r="85" spans="2:13" ht="30" customHeight="1" x14ac:dyDescent="0.25"/>
    <row r="91" spans="2:13" x14ac:dyDescent="0.25">
      <c r="E91" s="924"/>
      <c r="F91" s="923"/>
      <c r="G91" s="915"/>
      <c r="H91" s="1879"/>
      <c r="I91" s="1879"/>
      <c r="J91" s="1879"/>
      <c r="K91" s="1879"/>
      <c r="L91" s="1879"/>
      <c r="M91" s="1879"/>
    </row>
    <row r="92" spans="2:13" x14ac:dyDescent="0.25">
      <c r="E92" s="925"/>
      <c r="F92" s="1872"/>
      <c r="G92" s="1872"/>
      <c r="H92" s="1872"/>
      <c r="I92" s="1872"/>
      <c r="J92" s="1872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1527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1">+G16+G20+G24+G28+G31</f>
        <v>176500</v>
      </c>
      <c r="H33" s="1065">
        <f t="shared" si="1"/>
        <v>5065.55</v>
      </c>
      <c r="I33" s="1065">
        <f t="shared" si="1"/>
        <v>38356.31</v>
      </c>
      <c r="J33" s="1065">
        <f t="shared" si="1"/>
        <v>5365.6</v>
      </c>
      <c r="K33" s="1114">
        <v>0</v>
      </c>
      <c r="L33" s="1065">
        <f t="shared" si="1"/>
        <v>48787.46</v>
      </c>
      <c r="M33" s="1065">
        <f t="shared" si="1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2" t="s">
        <v>1250</v>
      </c>
      <c r="H49" s="1862"/>
      <c r="I49" s="1862"/>
      <c r="J49" s="1862"/>
      <c r="K49" s="1862"/>
      <c r="L49" s="1862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08" t="s">
        <v>852</v>
      </c>
      <c r="H50" s="1808"/>
      <c r="I50" s="1808"/>
      <c r="J50" s="1808"/>
      <c r="K50" s="1808"/>
      <c r="L50" s="180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09" t="s">
        <v>1506</v>
      </c>
      <c r="H51" s="1809"/>
      <c r="I51" s="1809"/>
      <c r="J51" s="1809"/>
      <c r="K51" s="1809"/>
      <c r="L51" s="1809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0"/>
      <c r="I52" s="1810"/>
      <c r="J52" s="1810"/>
      <c r="K52" s="1810"/>
      <c r="L52" s="1810"/>
      <c r="M52" s="1810"/>
    </row>
    <row r="53" spans="2:13" x14ac:dyDescent="0.25">
      <c r="B53" s="531"/>
      <c r="C53" s="531"/>
      <c r="D53" s="259"/>
      <c r="E53" s="1174"/>
      <c r="F53" s="1734"/>
      <c r="G53" s="1734"/>
      <c r="H53" s="1734"/>
      <c r="I53" s="1734"/>
      <c r="J53" s="1734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732" t="s">
        <v>0</v>
      </c>
      <c r="B6" s="1732"/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259"/>
    </row>
    <row r="7" spans="1:14" x14ac:dyDescent="0.25">
      <c r="A7" s="1732" t="s">
        <v>1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259"/>
    </row>
    <row r="8" spans="1:14" x14ac:dyDescent="0.25">
      <c r="A8" s="1732" t="s">
        <v>3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259"/>
    </row>
    <row r="9" spans="1:14" x14ac:dyDescent="0.25">
      <c r="A9" s="1732" t="s">
        <v>1528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259"/>
    </row>
    <row r="10" spans="1:14" x14ac:dyDescent="0.25">
      <c r="A10" s="1819" t="s">
        <v>412</v>
      </c>
      <c r="B10" s="1819"/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16" t="s">
        <v>7</v>
      </c>
      <c r="B12" s="1615" t="s">
        <v>937</v>
      </c>
      <c r="C12" s="1615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616" t="s">
        <v>20</v>
      </c>
    </row>
    <row r="13" spans="1:14" x14ac:dyDescent="0.25">
      <c r="A13" s="1616"/>
      <c r="B13" s="1615"/>
      <c r="C13" s="1615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61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07" t="s">
        <v>1225</v>
      </c>
      <c r="I39" s="1807"/>
      <c r="J39" s="1807"/>
      <c r="K39" s="1807"/>
      <c r="L39" s="1807"/>
      <c r="M39" s="180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08" t="s">
        <v>852</v>
      </c>
      <c r="I40" s="1808"/>
      <c r="J40" s="1808"/>
      <c r="K40" s="1808"/>
      <c r="L40" s="1808"/>
      <c r="M40" s="180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09" t="s">
        <v>1521</v>
      </c>
      <c r="I41" s="1809"/>
      <c r="J41" s="1809"/>
      <c r="K41" s="1809"/>
      <c r="L41" s="1809"/>
      <c r="M41" s="180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0"/>
      <c r="J42" s="1810"/>
      <c r="K42" s="1810"/>
      <c r="L42" s="1810"/>
      <c r="M42" s="1810"/>
      <c r="N42" s="1810"/>
    </row>
    <row r="43" spans="1:14" ht="15.75" x14ac:dyDescent="0.25">
      <c r="A43" s="267"/>
      <c r="B43" s="267"/>
      <c r="C43" s="267"/>
      <c r="D43" s="268"/>
      <c r="E43" s="268"/>
      <c r="F43" s="269"/>
      <c r="G43" s="1738"/>
      <c r="H43" s="1738"/>
      <c r="I43" s="1738"/>
      <c r="J43" s="1738"/>
      <c r="K43" s="1738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1529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16" t="s">
        <v>7</v>
      </c>
      <c r="B12" s="1615" t="s">
        <v>802</v>
      </c>
      <c r="C12" s="1615" t="s">
        <v>10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616"/>
      <c r="B13" s="1615"/>
      <c r="C13" s="1615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2" t="s">
        <v>1255</v>
      </c>
      <c r="G32" s="1862"/>
      <c r="H32" s="1862"/>
      <c r="I32" s="1862"/>
      <c r="J32" s="1862"/>
      <c r="K32" s="186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08" t="s">
        <v>852</v>
      </c>
      <c r="G33" s="1808"/>
      <c r="H33" s="1808"/>
      <c r="I33" s="1808"/>
      <c r="J33" s="1808"/>
      <c r="K33" s="180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09" t="s">
        <v>1506</v>
      </c>
      <c r="G34" s="1809"/>
      <c r="H34" s="1809"/>
      <c r="I34" s="1809"/>
      <c r="J34" s="1809"/>
      <c r="K34" s="1809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0"/>
      <c r="H35" s="1810"/>
      <c r="I35" s="1810"/>
      <c r="J35" s="1810"/>
      <c r="K35" s="1810"/>
      <c r="L35" s="1810"/>
    </row>
    <row r="36" spans="1:12" ht="15.75" x14ac:dyDescent="0.25">
      <c r="A36" s="267"/>
      <c r="B36" s="267"/>
      <c r="C36" s="268"/>
      <c r="D36" s="269"/>
      <c r="E36" s="1738"/>
      <c r="F36" s="1738"/>
      <c r="G36" s="1738"/>
      <c r="H36" s="1738"/>
      <c r="I36" s="1738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864" t="s">
        <v>1502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0.75" customHeight="1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1533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96" t="s">
        <v>16</v>
      </c>
      <c r="J12" s="1886" t="s">
        <v>17</v>
      </c>
      <c r="K12" s="1896" t="s">
        <v>18</v>
      </c>
      <c r="L12" s="189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96"/>
      <c r="J13" s="1886"/>
      <c r="K13" s="1896"/>
      <c r="L13" s="189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6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6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6">
        <f t="shared" si="17"/>
        <v>4075.3999999999996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 t="shared" ref="M116:M121" si="20"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si="20"/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0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1">SUM(E116:E121)</f>
        <v>480000</v>
      </c>
      <c r="F122" s="964">
        <f t="shared" si="21"/>
        <v>0</v>
      </c>
      <c r="G122" s="963">
        <f t="shared" si="21"/>
        <v>480000</v>
      </c>
      <c r="H122" s="963">
        <f t="shared" si="21"/>
        <v>13776</v>
      </c>
      <c r="I122" s="963">
        <f t="shared" si="21"/>
        <v>43429.970000000008</v>
      </c>
      <c r="J122" s="963">
        <f t="shared" si="21"/>
        <v>14592</v>
      </c>
      <c r="K122" s="963">
        <f t="shared" si="21"/>
        <v>19716.61</v>
      </c>
      <c r="L122" s="963">
        <f t="shared" si="21"/>
        <v>91514.58</v>
      </c>
      <c r="M122" s="963">
        <f t="shared" si="21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>+G140-L140</f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36513.17</v>
      </c>
      <c r="J141" s="965">
        <f t="shared" si="24"/>
        <v>8816</v>
      </c>
      <c r="K141" s="963">
        <f t="shared" si="24"/>
        <v>5990.1</v>
      </c>
      <c r="L141" s="963">
        <f t="shared" si="24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M146" si="25">SUM(G144:G145)</f>
        <v>111500</v>
      </c>
      <c r="H146" s="966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 t="shared" si="25"/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33">SUM(G179:G182)</f>
        <v>210500</v>
      </c>
      <c r="H183" s="963">
        <f t="shared" si="33"/>
        <v>6041.3499999999995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35">+H193+I193+J193+K193</f>
        <v>7907.38</v>
      </c>
      <c r="M193" s="1032">
        <f t="shared" si="3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35"/>
        <v>2331.06</v>
      </c>
      <c r="M195" s="1032">
        <f t="shared" si="3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2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35"/>
        <v>3532.4700000000003</v>
      </c>
      <c r="M206" s="1032">
        <f t="shared" si="3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35"/>
        <v>1502.5</v>
      </c>
      <c r="M207" s="1032">
        <f t="shared" si="3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2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35"/>
        <v>3907</v>
      </c>
      <c r="M216" s="1032">
        <f t="shared" si="3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35"/>
        <v>1798</v>
      </c>
      <c r="M217" s="1032">
        <f t="shared" si="3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76043.739999999947</v>
      </c>
      <c r="J223" s="963">
        <f t="shared" si="36"/>
        <v>50813.600000000013</v>
      </c>
      <c r="K223" s="963">
        <f t="shared" si="36"/>
        <v>16101.96</v>
      </c>
      <c r="L223" s="963">
        <f t="shared" si="36"/>
        <v>190929.34999999998</v>
      </c>
      <c r="M223" s="963">
        <f t="shared" si="36"/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4" t="s">
        <v>1271</v>
      </c>
      <c r="B247" s="1884"/>
      <c r="C247" s="874"/>
      <c r="D247" s="874"/>
      <c r="E247" s="875"/>
      <c r="F247" s="873"/>
      <c r="G247" s="873"/>
      <c r="H247" s="1869" t="s">
        <v>852</v>
      </c>
      <c r="I247" s="1869"/>
      <c r="J247" s="1869"/>
      <c r="K247" s="1869"/>
      <c r="L247" s="1869"/>
      <c r="M247" s="1869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63" t="s">
        <v>1504</v>
      </c>
      <c r="J248" s="1863"/>
      <c r="K248" s="1863"/>
      <c r="L248" s="1863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1549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10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1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1"/>
      <c r="N12" s="1620"/>
      <c r="O12" s="1620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22" t="s">
        <v>1375</v>
      </c>
      <c r="J158" s="1622"/>
      <c r="K158" s="1622"/>
      <c r="L158" s="1622"/>
      <c r="M158" s="1622"/>
      <c r="N158" s="1622"/>
      <c r="O158" s="162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3" t="s">
        <v>1554</v>
      </c>
      <c r="J159" s="1623"/>
      <c r="K159" s="1623"/>
      <c r="L159" s="1623"/>
      <c r="M159" s="1623"/>
      <c r="N159" s="1623"/>
      <c r="O159" s="162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1534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87" t="s">
        <v>7</v>
      </c>
      <c r="B13" s="1887" t="s">
        <v>937</v>
      </c>
      <c r="C13" s="1887" t="s">
        <v>8</v>
      </c>
      <c r="D13" s="1887" t="s">
        <v>10</v>
      </c>
      <c r="E13" s="1887" t="s">
        <v>11</v>
      </c>
      <c r="F13" s="1047" t="s">
        <v>12</v>
      </c>
      <c r="G13" s="1887" t="s">
        <v>13</v>
      </c>
      <c r="H13" s="1887" t="s">
        <v>14</v>
      </c>
      <c r="I13" s="1887" t="s">
        <v>15</v>
      </c>
      <c r="J13" s="1887" t="s">
        <v>16</v>
      </c>
      <c r="K13" s="1887" t="s">
        <v>17</v>
      </c>
      <c r="L13" s="1887" t="s">
        <v>18</v>
      </c>
      <c r="M13" s="1887" t="s">
        <v>19</v>
      </c>
      <c r="N13" s="1887" t="s">
        <v>20</v>
      </c>
    </row>
    <row r="14" spans="1:14" x14ac:dyDescent="0.25">
      <c r="A14" s="1887"/>
      <c r="B14" s="1887"/>
      <c r="C14" s="1887"/>
      <c r="D14" s="1887"/>
      <c r="E14" s="1887"/>
      <c r="F14" s="1047" t="s">
        <v>21</v>
      </c>
      <c r="G14" s="1887"/>
      <c r="H14" s="1887"/>
      <c r="I14" s="1887"/>
      <c r="J14" s="1887"/>
      <c r="K14" s="1887"/>
      <c r="L14" s="1887"/>
      <c r="M14" s="1887"/>
      <c r="N14" s="18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870" t="s">
        <v>1269</v>
      </c>
      <c r="B56" s="1870"/>
      <c r="C56" s="1870"/>
      <c r="D56" s="753"/>
      <c r="E56" s="753"/>
      <c r="F56" s="754"/>
      <c r="G56" s="755"/>
      <c r="I56" s="1871" t="s">
        <v>852</v>
      </c>
      <c r="J56" s="1871"/>
      <c r="K56" s="1871"/>
      <c r="L56" s="1871"/>
      <c r="M56" s="1871"/>
      <c r="N56" s="1871"/>
    </row>
    <row r="57" spans="1:14" s="259" customFormat="1" ht="19.5" customHeight="1" x14ac:dyDescent="0.25">
      <c r="A57" s="1809" t="s">
        <v>1270</v>
      </c>
      <c r="B57" s="1809"/>
      <c r="C57" s="1809"/>
      <c r="D57" s="753"/>
      <c r="E57" s="753"/>
      <c r="F57" s="754"/>
      <c r="G57" s="755"/>
      <c r="I57" s="1623" t="s">
        <v>1505</v>
      </c>
      <c r="J57" s="1623"/>
      <c r="K57" s="1623"/>
      <c r="L57" s="1623"/>
      <c r="M57" s="1623"/>
      <c r="N57" s="162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810"/>
      <c r="J69" s="1810"/>
      <c r="K69" s="1810"/>
      <c r="L69" s="1810"/>
      <c r="M69" s="1810"/>
      <c r="N69" s="1810"/>
    </row>
    <row r="70" spans="1:14" ht="15.75" x14ac:dyDescent="0.25">
      <c r="A70" s="267"/>
      <c r="B70" s="267"/>
      <c r="C70" s="267"/>
      <c r="D70" s="268"/>
      <c r="E70" s="268"/>
      <c r="F70" s="269"/>
      <c r="G70" s="1738"/>
      <c r="H70" s="1738"/>
      <c r="I70" s="1738"/>
      <c r="J70" s="1738"/>
      <c r="K70" s="1738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4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4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4" x14ac:dyDescent="0.25">
      <c r="B8" s="1881" t="s">
        <v>1535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4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99" t="s">
        <v>7</v>
      </c>
      <c r="C11" s="1899" t="s">
        <v>802</v>
      </c>
      <c r="D11" s="1901" t="s">
        <v>9</v>
      </c>
      <c r="E11" s="1046" t="s">
        <v>12</v>
      </c>
      <c r="F11" s="1903" t="s">
        <v>13</v>
      </c>
      <c r="G11" s="1897" t="s">
        <v>14</v>
      </c>
      <c r="H11" s="1897" t="s">
        <v>15</v>
      </c>
      <c r="I11" s="1897" t="s">
        <v>16</v>
      </c>
      <c r="J11" s="1897" t="s">
        <v>17</v>
      </c>
      <c r="K11" s="1897" t="s">
        <v>18</v>
      </c>
      <c r="L11" s="1897" t="s">
        <v>19</v>
      </c>
      <c r="M11" s="1897" t="s">
        <v>20</v>
      </c>
    </row>
    <row r="12" spans="2:14" ht="16.5" customHeight="1" x14ac:dyDescent="0.25">
      <c r="B12" s="1900"/>
      <c r="C12" s="1900"/>
      <c r="D12" s="1902"/>
      <c r="E12" s="1046" t="s">
        <v>21</v>
      </c>
      <c r="F12" s="1904"/>
      <c r="G12" s="1898"/>
      <c r="H12" s="1898"/>
      <c r="I12" s="1898"/>
      <c r="J12" s="1898"/>
      <c r="K12" s="1898"/>
      <c r="L12" s="1898"/>
      <c r="M12" s="189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77" t="s">
        <v>1372</v>
      </c>
      <c r="H78" s="1877"/>
      <c r="I78" s="1877"/>
      <c r="J78" s="1877"/>
      <c r="K78" s="1877"/>
      <c r="L78" s="1877"/>
    </row>
    <row r="79" spans="2:12" x14ac:dyDescent="0.25">
      <c r="B79" s="1083" t="s">
        <v>1238</v>
      </c>
      <c r="C79" s="1083"/>
      <c r="D79" s="921"/>
      <c r="E79" s="915"/>
      <c r="F79" s="915"/>
      <c r="G79" s="1875" t="s">
        <v>1222</v>
      </c>
      <c r="H79" s="1875"/>
      <c r="I79" s="1875"/>
      <c r="J79" s="1875"/>
      <c r="K79" s="1875"/>
      <c r="L79" s="1875"/>
    </row>
    <row r="80" spans="2:12" x14ac:dyDescent="0.25">
      <c r="B80" s="916" t="s">
        <v>1239</v>
      </c>
      <c r="C80" s="916"/>
      <c r="D80" s="915"/>
      <c r="E80" s="915"/>
      <c r="F80" s="923"/>
      <c r="G80" s="1874" t="s">
        <v>1224</v>
      </c>
      <c r="H80" s="1874"/>
      <c r="I80" s="1874"/>
      <c r="J80" s="1874"/>
      <c r="K80" s="1874"/>
      <c r="L80" s="1874"/>
    </row>
    <row r="84" spans="5:13" ht="30" customHeight="1" x14ac:dyDescent="0.25"/>
    <row r="88" spans="5:13" x14ac:dyDescent="0.25">
      <c r="E88" s="924"/>
      <c r="F88" s="923"/>
      <c r="G88" s="915"/>
      <c r="H88" s="1879"/>
      <c r="I88" s="1879"/>
      <c r="J88" s="1879"/>
      <c r="K88" s="1879"/>
      <c r="L88" s="1879"/>
      <c r="M88" s="1879"/>
    </row>
    <row r="89" spans="5:13" x14ac:dyDescent="0.25">
      <c r="E89" s="925"/>
      <c r="F89" s="1872"/>
      <c r="G89" s="1872"/>
      <c r="H89" s="1872"/>
      <c r="I89" s="1872"/>
      <c r="J89" s="1872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1536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1">+G16+G20+G24+G28+G31</f>
        <v>161500</v>
      </c>
      <c r="H33" s="1065">
        <f t="shared" si="1"/>
        <v>4635.05</v>
      </c>
      <c r="I33" s="1065">
        <f t="shared" si="1"/>
        <v>34827.939999999995</v>
      </c>
      <c r="J33" s="1065">
        <f t="shared" si="1"/>
        <v>4909.6000000000004</v>
      </c>
      <c r="K33" s="1114">
        <v>0</v>
      </c>
      <c r="L33" s="1065">
        <f t="shared" si="1"/>
        <v>44372.59</v>
      </c>
      <c r="M33" s="1065">
        <f t="shared" si="1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2" t="s">
        <v>1250</v>
      </c>
      <c r="H49" s="1862"/>
      <c r="I49" s="1862"/>
      <c r="J49" s="1862"/>
      <c r="K49" s="1862"/>
      <c r="L49" s="1862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08" t="s">
        <v>852</v>
      </c>
      <c r="H50" s="1808"/>
      <c r="I50" s="1808"/>
      <c r="J50" s="1808"/>
      <c r="K50" s="1808"/>
      <c r="L50" s="180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809" t="s">
        <v>1506</v>
      </c>
      <c r="H51" s="1809"/>
      <c r="I51" s="1809"/>
      <c r="J51" s="1809"/>
      <c r="K51" s="1809"/>
      <c r="L51" s="1809"/>
      <c r="M51" s="537"/>
    </row>
    <row r="52" spans="2:13" x14ac:dyDescent="0.25">
      <c r="B52" s="546"/>
      <c r="C52" s="546"/>
      <c r="D52" s="547"/>
      <c r="E52" s="541"/>
      <c r="F52" s="540"/>
      <c r="G52" s="537"/>
      <c r="H52" s="1810"/>
      <c r="I52" s="1810"/>
      <c r="J52" s="1810"/>
      <c r="K52" s="1810"/>
      <c r="L52" s="1810"/>
      <c r="M52" s="1810"/>
    </row>
    <row r="53" spans="2:13" x14ac:dyDescent="0.25">
      <c r="B53" s="531"/>
      <c r="C53" s="531"/>
      <c r="D53" s="259"/>
      <c r="E53" s="1174"/>
      <c r="F53" s="1734"/>
      <c r="G53" s="1734"/>
      <c r="H53" s="1734"/>
      <c r="I53" s="1734"/>
      <c r="J53" s="1734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732" t="s">
        <v>0</v>
      </c>
      <c r="B6" s="1732"/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259"/>
    </row>
    <row r="7" spans="1:14" x14ac:dyDescent="0.25">
      <c r="A7" s="1732" t="s">
        <v>1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259"/>
    </row>
    <row r="8" spans="1:14" x14ac:dyDescent="0.25">
      <c r="A8" s="1732" t="s">
        <v>3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259"/>
    </row>
    <row r="9" spans="1:14" x14ac:dyDescent="0.25">
      <c r="A9" s="1732" t="s">
        <v>1537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259"/>
    </row>
    <row r="10" spans="1:14" x14ac:dyDescent="0.25">
      <c r="A10" s="1819" t="s">
        <v>412</v>
      </c>
      <c r="B10" s="1819"/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16" t="s">
        <v>7</v>
      </c>
      <c r="B12" s="1615" t="s">
        <v>937</v>
      </c>
      <c r="C12" s="1615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616" t="s">
        <v>20</v>
      </c>
    </row>
    <row r="13" spans="1:14" x14ac:dyDescent="0.25">
      <c r="A13" s="1616"/>
      <c r="B13" s="1615"/>
      <c r="C13" s="1615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616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07" t="s">
        <v>1225</v>
      </c>
      <c r="I39" s="1807"/>
      <c r="J39" s="1807"/>
      <c r="K39" s="1807"/>
      <c r="L39" s="1807"/>
      <c r="M39" s="180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08" t="s">
        <v>852</v>
      </c>
      <c r="I40" s="1808"/>
      <c r="J40" s="1808"/>
      <c r="K40" s="1808"/>
      <c r="L40" s="1808"/>
      <c r="M40" s="180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809" t="s">
        <v>1521</v>
      </c>
      <c r="I41" s="1809"/>
      <c r="J41" s="1809"/>
      <c r="K41" s="1809"/>
      <c r="L41" s="1809"/>
      <c r="M41" s="180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810"/>
      <c r="J42" s="1810"/>
      <c r="K42" s="1810"/>
      <c r="L42" s="1810"/>
      <c r="M42" s="1810"/>
      <c r="N42" s="1810"/>
    </row>
    <row r="43" spans="1:14" ht="15.75" x14ac:dyDescent="0.25">
      <c r="A43" s="267"/>
      <c r="B43" s="267"/>
      <c r="C43" s="267"/>
      <c r="D43" s="268"/>
      <c r="E43" s="268"/>
      <c r="F43" s="269"/>
      <c r="G43" s="1738"/>
      <c r="H43" s="1738"/>
      <c r="I43" s="1738"/>
      <c r="J43" s="1738"/>
      <c r="K43" s="1738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1538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16" t="s">
        <v>7</v>
      </c>
      <c r="B12" s="1615" t="s">
        <v>802</v>
      </c>
      <c r="C12" s="1615" t="s">
        <v>10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616"/>
      <c r="B13" s="1615"/>
      <c r="C13" s="1615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2" t="s">
        <v>1255</v>
      </c>
      <c r="G32" s="1862"/>
      <c r="H32" s="1862"/>
      <c r="I32" s="1862"/>
      <c r="J32" s="1862"/>
      <c r="K32" s="186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08" t="s">
        <v>852</v>
      </c>
      <c r="G33" s="1808"/>
      <c r="H33" s="1808"/>
      <c r="I33" s="1808"/>
      <c r="J33" s="1808"/>
      <c r="K33" s="180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09" t="s">
        <v>1506</v>
      </c>
      <c r="G34" s="1809"/>
      <c r="H34" s="1809"/>
      <c r="I34" s="1809"/>
      <c r="J34" s="1809"/>
      <c r="K34" s="1809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0"/>
      <c r="H35" s="1810"/>
      <c r="I35" s="1810"/>
      <c r="J35" s="1810"/>
      <c r="K35" s="1810"/>
      <c r="L35" s="1810"/>
    </row>
    <row r="36" spans="1:12" ht="15.75" x14ac:dyDescent="0.25">
      <c r="A36" s="267"/>
      <c r="B36" s="267"/>
      <c r="C36" s="268"/>
      <c r="D36" s="269"/>
      <c r="E36" s="1738"/>
      <c r="F36" s="1738"/>
      <c r="G36" s="1738"/>
      <c r="H36" s="1738"/>
      <c r="I36" s="1738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211" zoomScale="80" zoomScaleNormal="80" workbookViewId="0">
      <selection activeCell="E230" sqref="E230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64" t="s">
        <v>1502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0.75" customHeight="1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1557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96" t="s">
        <v>16</v>
      </c>
      <c r="J12" s="1896" t="s">
        <v>17</v>
      </c>
      <c r="K12" s="1896" t="s">
        <v>18</v>
      </c>
      <c r="L12" s="189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96"/>
      <c r="J13" s="1896"/>
      <c r="K13" s="1896"/>
      <c r="L13" s="189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6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6">
        <f t="shared" si="6"/>
        <v>6309.38</v>
      </c>
      <c r="J44" s="963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7">SUM(F47:F48)</f>
        <v>0</v>
      </c>
      <c r="G49" s="965">
        <f t="shared" si="7"/>
        <v>73500</v>
      </c>
      <c r="H49" s="966">
        <f t="shared" si="7"/>
        <v>2109.4499999999998</v>
      </c>
      <c r="I49" s="1192">
        <f t="shared" si="7"/>
        <v>936.62</v>
      </c>
      <c r="J49" s="963">
        <f t="shared" si="7"/>
        <v>2234.4</v>
      </c>
      <c r="K49" s="963">
        <f t="shared" si="7"/>
        <v>1765.46</v>
      </c>
      <c r="L49" s="963">
        <f t="shared" si="7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192">
        <f t="shared" si="8"/>
        <v>0</v>
      </c>
      <c r="J53" s="963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6">
        <f t="shared" si="9"/>
        <v>1116.24</v>
      </c>
      <c r="J59" s="963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17">SUM(G97:G100)</f>
        <v>222000</v>
      </c>
      <c r="H101" s="966">
        <f t="shared" si="17"/>
        <v>6371.4</v>
      </c>
      <c r="I101" s="966">
        <f t="shared" si="17"/>
        <v>11833.79</v>
      </c>
      <c r="J101" s="963">
        <f t="shared" si="17"/>
        <v>6748.7999999999993</v>
      </c>
      <c r="K101" s="963">
        <f t="shared" si="17"/>
        <v>3480.7</v>
      </c>
      <c r="L101" s="963">
        <f t="shared" si="17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8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18"/>
        <v>2644.8</v>
      </c>
      <c r="K110" s="963">
        <f t="shared" si="18"/>
        <v>50</v>
      </c>
      <c r="L110" s="963">
        <f t="shared" si="18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19">SUM(G113:G113)</f>
        <v>80000</v>
      </c>
      <c r="H114" s="965">
        <f t="shared" si="19"/>
        <v>2296</v>
      </c>
      <c r="I114" s="966">
        <f t="shared" si="19"/>
        <v>6972</v>
      </c>
      <c r="J114" s="963">
        <f t="shared" si="19"/>
        <v>2432</v>
      </c>
      <c r="K114" s="963">
        <f t="shared" si="19"/>
        <v>1740.46</v>
      </c>
      <c r="L114" s="963">
        <f t="shared" si="19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 t="shared" ref="M117:M122" si="20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 t="shared" si="20"/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si="20"/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0"/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1">SUM(E117:E122)</f>
        <v>490000</v>
      </c>
      <c r="F123" s="964">
        <f t="shared" si="21"/>
        <v>0</v>
      </c>
      <c r="G123" s="963">
        <f t="shared" si="21"/>
        <v>490000</v>
      </c>
      <c r="H123" s="963">
        <f t="shared" si="21"/>
        <v>14063</v>
      </c>
      <c r="I123" s="966">
        <f t="shared" si="21"/>
        <v>47405.54</v>
      </c>
      <c r="J123" s="963">
        <f t="shared" si="21"/>
        <v>14896</v>
      </c>
      <c r="K123" s="963">
        <f t="shared" si="21"/>
        <v>23133.62</v>
      </c>
      <c r="L123" s="963">
        <f t="shared" si="21"/>
        <v>99498.16</v>
      </c>
      <c r="M123" s="963">
        <f t="shared" si="21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6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6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6">
        <f t="shared" si="24"/>
        <v>36513.17</v>
      </c>
      <c r="J142" s="963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M147" si="25">SUM(G145:G146)</f>
        <v>123500</v>
      </c>
      <c r="H147" s="966">
        <f t="shared" si="25"/>
        <v>3544.45</v>
      </c>
      <c r="I147" s="966">
        <f t="shared" si="25"/>
        <v>8080.17</v>
      </c>
      <c r="J147" s="963">
        <f t="shared" si="25"/>
        <v>3754.4</v>
      </c>
      <c r="K147" s="963">
        <f t="shared" si="25"/>
        <v>3837.66</v>
      </c>
      <c r="L147" s="963">
        <f t="shared" si="25"/>
        <v>19216.68</v>
      </c>
      <c r="M147" s="963">
        <f t="shared" si="25"/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196">
        <f>SUM(I150:I150)</f>
        <v>936.62</v>
      </c>
      <c r="J151" s="1091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6">
        <f>SUM(I154:I157)</f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6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6">
        <f>SUM(I166:I167)</f>
        <v>8337.49</v>
      </c>
      <c r="J168" s="963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6">
        <f>SUM(I171:I176)</f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33">SUM(H180:H184)</f>
        <v>7289.7999999999993</v>
      </c>
      <c r="I185" s="966">
        <f>SUM(I180:I184)</f>
        <v>11147.350000000002</v>
      </c>
      <c r="J185" s="963">
        <f t="shared" si="33"/>
        <v>7721.6</v>
      </c>
      <c r="K185" s="963">
        <f t="shared" si="33"/>
        <v>2668.4</v>
      </c>
      <c r="L185" s="963">
        <f t="shared" si="33"/>
        <v>28827.15</v>
      </c>
      <c r="M185" s="963">
        <f t="shared" si="33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>+H189+I189+J189+K189</f>
        <v>23926.87</v>
      </c>
      <c r="M189" s="1031">
        <f t="shared" ref="M189:M223" si="3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>+H190+I190+J190+K190</f>
        <v>12153.869999999999</v>
      </c>
      <c r="M190" s="1031">
        <f t="shared" si="3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>+H191+I191+J191+K191</f>
        <v>9530.48</v>
      </c>
      <c r="M191" s="1031">
        <f t="shared" si="3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>+H192+I192+J192+K192</f>
        <v>15451.01</v>
      </c>
      <c r="M192" s="1031">
        <f t="shared" si="3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3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3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35">+H195+I195+J195+K195</f>
        <v>7907.38</v>
      </c>
      <c r="M195" s="1032">
        <f t="shared" si="3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35"/>
        <v>4990.6100000000006</v>
      </c>
      <c r="M196" s="1032">
        <f t="shared" si="3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35"/>
        <v>2331.06</v>
      </c>
      <c r="M199" s="1032">
        <f t="shared" si="3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3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35"/>
        <v>3532.4700000000003</v>
      </c>
      <c r="M203" s="1032">
        <f t="shared" si="3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35"/>
        <v>3532.4700000000003</v>
      </c>
      <c r="M207" s="1032">
        <f t="shared" si="3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35"/>
        <v>1502.5</v>
      </c>
      <c r="M212" s="1032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35"/>
        <v>1798</v>
      </c>
      <c r="M216" s="1032">
        <f t="shared" si="3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35"/>
        <v>3907</v>
      </c>
      <c r="M217" s="1032">
        <f t="shared" si="3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35"/>
        <v>1798</v>
      </c>
      <c r="M219" s="1032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3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 t="shared" ref="G224:M224" si="36">SUM(G188:G223)</f>
        <v>1628000</v>
      </c>
      <c r="H224" s="963">
        <f t="shared" si="36"/>
        <v>46723.600000000006</v>
      </c>
      <c r="I224" s="966">
        <f t="shared" si="36"/>
        <v>75105.119999999952</v>
      </c>
      <c r="J224" s="963">
        <f t="shared" si="36"/>
        <v>49491.200000000012</v>
      </c>
      <c r="K224" s="963">
        <f t="shared" si="36"/>
        <v>16076.96</v>
      </c>
      <c r="L224" s="963">
        <f t="shared" si="36"/>
        <v>187396.87999999998</v>
      </c>
      <c r="M224" s="963">
        <f t="shared" si="36"/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37">+G19+G26+G30+G40+G44+G49+G53+G59+G74+G89+G94+G101+G105+G110+G114+G123+G129+G136+G142+G147+G151+G158+G163+G168+G177+G224+G185</f>
        <v>6942000</v>
      </c>
      <c r="H226" s="1076">
        <f t="shared" si="37"/>
        <v>199235.4</v>
      </c>
      <c r="I226" s="1076">
        <f t="shared" si="37"/>
        <v>434300.11999999988</v>
      </c>
      <c r="J226" s="1076">
        <f t="shared" si="37"/>
        <v>209721.93999999997</v>
      </c>
      <c r="K226" s="1076">
        <f t="shared" si="37"/>
        <v>149600.37</v>
      </c>
      <c r="L226" s="1076">
        <f t="shared" si="37"/>
        <v>992857.83000000019</v>
      </c>
      <c r="M226" s="1076">
        <f t="shared" si="3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884" t="s">
        <v>1271</v>
      </c>
      <c r="B245" s="1884"/>
      <c r="C245" s="874"/>
      <c r="D245" s="874"/>
      <c r="E245" s="875"/>
      <c r="F245" s="873"/>
      <c r="G245" s="873"/>
      <c r="H245" s="1869" t="s">
        <v>852</v>
      </c>
      <c r="I245" s="1869"/>
      <c r="J245" s="1869"/>
      <c r="K245" s="1869"/>
      <c r="L245" s="1869"/>
      <c r="M245" s="1869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863" t="s">
        <v>1504</v>
      </c>
      <c r="J246" s="1863"/>
      <c r="K246" s="1863"/>
      <c r="L246" s="1863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A6:M6"/>
    <mergeCell ref="A7:N7"/>
    <mergeCell ref="A8:M8"/>
    <mergeCell ref="A9:M9"/>
    <mergeCell ref="A10:M10"/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12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617" t="s">
        <v>0</v>
      </c>
      <c r="B5" s="1617"/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</row>
    <row r="6" spans="1:15" x14ac:dyDescent="0.25">
      <c r="A6" s="1617" t="s">
        <v>1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</row>
    <row r="7" spans="1:15" x14ac:dyDescent="0.25">
      <c r="A7" s="1617" t="s">
        <v>3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</row>
    <row r="8" spans="1:15" x14ac:dyDescent="0.25">
      <c r="A8" s="1617" t="s">
        <v>1558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</row>
    <row r="9" spans="1:15" x14ac:dyDescent="0.25">
      <c r="A9" s="1618" t="s">
        <v>441</v>
      </c>
      <c r="B9" s="1618"/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15" t="s">
        <v>7</v>
      </c>
      <c r="B11" s="1615" t="s">
        <v>937</v>
      </c>
      <c r="C11" s="1616" t="s">
        <v>10</v>
      </c>
      <c r="D11" s="1615" t="s">
        <v>832</v>
      </c>
      <c r="E11" s="1615" t="s">
        <v>834</v>
      </c>
      <c r="F11" s="1615" t="s">
        <v>209</v>
      </c>
      <c r="G11" s="1051" t="s">
        <v>12</v>
      </c>
      <c r="H11" s="1619" t="s">
        <v>13</v>
      </c>
      <c r="I11" s="1620" t="s">
        <v>14</v>
      </c>
      <c r="J11" s="1620" t="s">
        <v>15</v>
      </c>
      <c r="K11" s="1620" t="s">
        <v>16</v>
      </c>
      <c r="L11" s="1621" t="s">
        <v>17</v>
      </c>
      <c r="M11" s="1621" t="s">
        <v>18</v>
      </c>
      <c r="N11" s="1620" t="s">
        <v>19</v>
      </c>
      <c r="O11" s="1620" t="s">
        <v>20</v>
      </c>
    </row>
    <row r="12" spans="1:15" x14ac:dyDescent="0.25">
      <c r="A12" s="1615"/>
      <c r="B12" s="1615"/>
      <c r="C12" s="1616"/>
      <c r="D12" s="1615"/>
      <c r="E12" s="1615"/>
      <c r="F12" s="1615"/>
      <c r="G12" s="1051" t="s">
        <v>21</v>
      </c>
      <c r="H12" s="1619"/>
      <c r="I12" s="1620"/>
      <c r="J12" s="1620"/>
      <c r="K12" s="1620"/>
      <c r="L12" s="1621"/>
      <c r="M12" s="1621"/>
      <c r="N12" s="1620"/>
      <c r="O12" s="1620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2">+I16+I20+I25+I29+I45+I49+I54+I65+I72+I76+I81+I85+I94+I99+I136+I40+I36+I33</f>
        <v>6060500</v>
      </c>
      <c r="J138" s="1126">
        <f t="shared" si="22"/>
        <v>173936.34999999998</v>
      </c>
      <c r="K138" s="1126">
        <f t="shared" si="22"/>
        <v>633779.62999999989</v>
      </c>
      <c r="L138" s="1126">
        <f t="shared" si="22"/>
        <v>184239.19999999998</v>
      </c>
      <c r="M138" s="1126">
        <f t="shared" si="22"/>
        <v>77416.790000000008</v>
      </c>
      <c r="N138" s="1126">
        <f t="shared" si="22"/>
        <v>1069371.97</v>
      </c>
      <c r="O138" s="1126">
        <f t="shared" si="22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22" t="s">
        <v>1375</v>
      </c>
      <c r="J158" s="1622"/>
      <c r="K158" s="1622"/>
      <c r="L158" s="1622"/>
      <c r="M158" s="1622"/>
      <c r="N158" s="1622"/>
      <c r="O158" s="1622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3" t="s">
        <v>1554</v>
      </c>
      <c r="J159" s="1623"/>
      <c r="K159" s="1623"/>
      <c r="L159" s="1623"/>
      <c r="M159" s="1623"/>
      <c r="N159" s="1623"/>
      <c r="O159" s="162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1732"/>
    </row>
    <row r="8" spans="1:14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1732"/>
    </row>
    <row r="9" spans="1:14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1732"/>
    </row>
    <row r="10" spans="1:14" x14ac:dyDescent="0.25">
      <c r="A10" s="1732" t="s">
        <v>1559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  <c r="N10" s="1732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87" t="s">
        <v>7</v>
      </c>
      <c r="B13" s="1887" t="s">
        <v>937</v>
      </c>
      <c r="C13" s="1887" t="s">
        <v>8</v>
      </c>
      <c r="D13" s="1887" t="s">
        <v>10</v>
      </c>
      <c r="E13" s="1887" t="s">
        <v>11</v>
      </c>
      <c r="F13" s="1047" t="s">
        <v>12</v>
      </c>
      <c r="G13" s="1887" t="s">
        <v>13</v>
      </c>
      <c r="H13" s="1887" t="s">
        <v>14</v>
      </c>
      <c r="I13" s="1887" t="s">
        <v>15</v>
      </c>
      <c r="J13" s="1887" t="s">
        <v>16</v>
      </c>
      <c r="K13" s="1887" t="s">
        <v>17</v>
      </c>
      <c r="L13" s="1887" t="s">
        <v>18</v>
      </c>
      <c r="M13" s="1887" t="s">
        <v>19</v>
      </c>
      <c r="N13" s="1887" t="s">
        <v>20</v>
      </c>
    </row>
    <row r="14" spans="1:14" x14ac:dyDescent="0.25">
      <c r="A14" s="1887"/>
      <c r="B14" s="1887"/>
      <c r="C14" s="1887"/>
      <c r="D14" s="1887"/>
      <c r="E14" s="1887"/>
      <c r="F14" s="1047" t="s">
        <v>21</v>
      </c>
      <c r="G14" s="1887"/>
      <c r="H14" s="1887"/>
      <c r="I14" s="1887"/>
      <c r="J14" s="1887"/>
      <c r="K14" s="1887"/>
      <c r="L14" s="1887"/>
      <c r="M14" s="1887"/>
      <c r="N14" s="188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 t="shared" ref="H31:N31" si="1">SUM(H15:H30)</f>
        <v>242000</v>
      </c>
      <c r="I31" s="273">
        <f t="shared" si="1"/>
        <v>0</v>
      </c>
      <c r="J31" s="273">
        <f t="shared" si="1"/>
        <v>4195.88</v>
      </c>
      <c r="K31" s="273">
        <f t="shared" si="1"/>
        <v>0</v>
      </c>
      <c r="L31" s="273">
        <f t="shared" si="1"/>
        <v>0</v>
      </c>
      <c r="M31" s="273">
        <f t="shared" si="1"/>
        <v>4195.88</v>
      </c>
      <c r="N31" s="273">
        <f t="shared" si="1"/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2">+F31</f>
        <v>242000</v>
      </c>
      <c r="G32" s="1182">
        <f t="shared" si="2"/>
        <v>0</v>
      </c>
      <c r="H32" s="1182">
        <f t="shared" si="2"/>
        <v>242000</v>
      </c>
      <c r="I32" s="1182">
        <f t="shared" si="2"/>
        <v>0</v>
      </c>
      <c r="J32" s="1182">
        <f t="shared" si="2"/>
        <v>4195.88</v>
      </c>
      <c r="K32" s="1182">
        <f t="shared" si="2"/>
        <v>0</v>
      </c>
      <c r="L32" s="1182">
        <f t="shared" si="2"/>
        <v>0</v>
      </c>
      <c r="M32" s="1182">
        <f t="shared" si="2"/>
        <v>4195.88</v>
      </c>
      <c r="N32" s="1182">
        <f t="shared" si="2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870" t="s">
        <v>1269</v>
      </c>
      <c r="B50" s="1870"/>
      <c r="C50" s="1870"/>
      <c r="D50" s="753"/>
      <c r="E50" s="753"/>
      <c r="F50" s="754"/>
      <c r="G50" s="755"/>
      <c r="I50" s="1871" t="s">
        <v>852</v>
      </c>
      <c r="J50" s="1871"/>
      <c r="K50" s="1871"/>
      <c r="L50" s="1871"/>
      <c r="M50" s="1871"/>
      <c r="N50" s="1871"/>
    </row>
    <row r="51" spans="1:14" s="259" customFormat="1" ht="19.5" customHeight="1" x14ac:dyDescent="0.25">
      <c r="A51" s="1809" t="s">
        <v>1270</v>
      </c>
      <c r="B51" s="1809"/>
      <c r="C51" s="1809"/>
      <c r="D51" s="753"/>
      <c r="E51" s="753"/>
      <c r="F51" s="754"/>
      <c r="G51" s="755"/>
      <c r="I51" s="1623" t="s">
        <v>1505</v>
      </c>
      <c r="J51" s="1623"/>
      <c r="K51" s="1623"/>
      <c r="L51" s="1623"/>
      <c r="M51" s="1623"/>
      <c r="N51" s="1623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810"/>
      <c r="J63" s="1810"/>
      <c r="K63" s="1810"/>
      <c r="L63" s="1810"/>
      <c r="M63" s="1810"/>
      <c r="N63" s="1810"/>
    </row>
    <row r="64" spans="1:14" ht="15.75" x14ac:dyDescent="0.25">
      <c r="A64" s="267"/>
      <c r="B64" s="267"/>
      <c r="C64" s="267"/>
      <c r="D64" s="268"/>
      <c r="E64" s="268"/>
      <c r="F64" s="269"/>
      <c r="G64" s="1738"/>
      <c r="H64" s="1738"/>
      <c r="I64" s="1738"/>
      <c r="J64" s="1738"/>
      <c r="K64" s="1738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4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4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4" x14ac:dyDescent="0.25">
      <c r="B8" s="1881" t="s">
        <v>1560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4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99" t="s">
        <v>7</v>
      </c>
      <c r="C11" s="1899" t="s">
        <v>802</v>
      </c>
      <c r="D11" s="1901" t="s">
        <v>9</v>
      </c>
      <c r="E11" s="1046" t="s">
        <v>12</v>
      </c>
      <c r="F11" s="1903" t="s">
        <v>13</v>
      </c>
      <c r="G11" s="1897" t="s">
        <v>14</v>
      </c>
      <c r="H11" s="1897" t="s">
        <v>15</v>
      </c>
      <c r="I11" s="1897" t="s">
        <v>16</v>
      </c>
      <c r="J11" s="1897" t="s">
        <v>17</v>
      </c>
      <c r="K11" s="1897" t="s">
        <v>18</v>
      </c>
      <c r="L11" s="1897" t="s">
        <v>19</v>
      </c>
      <c r="M11" s="1897" t="s">
        <v>20</v>
      </c>
    </row>
    <row r="12" spans="2:14" ht="16.5" customHeight="1" x14ac:dyDescent="0.25">
      <c r="B12" s="1900"/>
      <c r="C12" s="1900"/>
      <c r="D12" s="1902"/>
      <c r="E12" s="1046" t="s">
        <v>21</v>
      </c>
      <c r="F12" s="1904"/>
      <c r="G12" s="1898"/>
      <c r="H12" s="1898"/>
      <c r="I12" s="1898"/>
      <c r="J12" s="1898"/>
      <c r="K12" s="1898"/>
      <c r="L12" s="1898"/>
      <c r="M12" s="189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77" t="s">
        <v>1372</v>
      </c>
      <c r="H78" s="1877"/>
      <c r="I78" s="1877"/>
      <c r="J78" s="1877"/>
      <c r="K78" s="1877"/>
      <c r="L78" s="1877"/>
    </row>
    <row r="79" spans="2:12" x14ac:dyDescent="0.25">
      <c r="B79" s="1083" t="s">
        <v>1238</v>
      </c>
      <c r="C79" s="1083"/>
      <c r="D79" s="921"/>
      <c r="E79" s="915"/>
      <c r="F79" s="915"/>
      <c r="G79" s="1875" t="s">
        <v>1222</v>
      </c>
      <c r="H79" s="1875"/>
      <c r="I79" s="1875"/>
      <c r="J79" s="1875"/>
      <c r="K79" s="1875"/>
      <c r="L79" s="1875"/>
    </row>
    <row r="80" spans="2:12" x14ac:dyDescent="0.25">
      <c r="B80" s="916" t="s">
        <v>1239</v>
      </c>
      <c r="C80" s="916"/>
      <c r="D80" s="915"/>
      <c r="E80" s="915"/>
      <c r="F80" s="923"/>
      <c r="G80" s="1874" t="s">
        <v>1224</v>
      </c>
      <c r="H80" s="1874"/>
      <c r="I80" s="1874"/>
      <c r="J80" s="1874"/>
      <c r="K80" s="1874"/>
      <c r="L80" s="1874"/>
    </row>
    <row r="84" spans="5:13" ht="30" customHeight="1" x14ac:dyDescent="0.25"/>
    <row r="88" spans="5:13" x14ac:dyDescent="0.25">
      <c r="E88" s="924"/>
      <c r="F88" s="923"/>
      <c r="G88" s="915"/>
      <c r="H88" s="1879"/>
      <c r="I88" s="1879"/>
      <c r="J88" s="1879"/>
      <c r="K88" s="1879"/>
      <c r="L88" s="1879"/>
      <c r="M88" s="1879"/>
    </row>
    <row r="89" spans="5:13" x14ac:dyDescent="0.25">
      <c r="E89" s="925"/>
      <c r="F89" s="1872"/>
      <c r="G89" s="1872"/>
      <c r="H89" s="1872"/>
      <c r="I89" s="1872"/>
      <c r="J89" s="1872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1561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1">+G16+G20+G24+G32+G35+G27</f>
        <v>181500</v>
      </c>
      <c r="H37" s="1065">
        <f t="shared" si="1"/>
        <v>5209.05</v>
      </c>
      <c r="I37" s="1065">
        <f t="shared" si="1"/>
        <v>39532.439999999995</v>
      </c>
      <c r="J37" s="1065">
        <f t="shared" si="1"/>
        <v>5517.6</v>
      </c>
      <c r="K37" s="1114">
        <v>0</v>
      </c>
      <c r="L37" s="1065">
        <f t="shared" si="1"/>
        <v>50259.09</v>
      </c>
      <c r="M37" s="1065">
        <f t="shared" si="1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2" t="s">
        <v>1250</v>
      </c>
      <c r="H53" s="1862"/>
      <c r="I53" s="1862"/>
      <c r="J53" s="1862"/>
      <c r="K53" s="1862"/>
      <c r="L53" s="1862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08" t="s">
        <v>852</v>
      </c>
      <c r="H54" s="1808"/>
      <c r="I54" s="1808"/>
      <c r="J54" s="1808"/>
      <c r="K54" s="1808"/>
      <c r="L54" s="1808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809" t="s">
        <v>1506</v>
      </c>
      <c r="H55" s="1809"/>
      <c r="I55" s="1809"/>
      <c r="J55" s="1809"/>
      <c r="K55" s="1809"/>
      <c r="L55" s="1809"/>
      <c r="M55" s="537"/>
    </row>
    <row r="56" spans="2:13" x14ac:dyDescent="0.25">
      <c r="B56" s="546"/>
      <c r="C56" s="546"/>
      <c r="D56" s="547"/>
      <c r="E56" s="541"/>
      <c r="F56" s="540"/>
      <c r="G56" s="537"/>
      <c r="H56" s="1810"/>
      <c r="I56" s="1810"/>
      <c r="J56" s="1810"/>
      <c r="K56" s="1810"/>
      <c r="L56" s="1810"/>
      <c r="M56" s="1810"/>
    </row>
    <row r="57" spans="2:13" x14ac:dyDescent="0.25">
      <c r="B57" s="531"/>
      <c r="C57" s="531"/>
      <c r="D57" s="259"/>
      <c r="E57" s="1174"/>
      <c r="F57" s="1734"/>
      <c r="G57" s="1734"/>
      <c r="H57" s="1734"/>
      <c r="I57" s="1734"/>
      <c r="J57" s="1734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732" t="s">
        <v>0</v>
      </c>
      <c r="B6" s="1732"/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  <c r="N6" s="259"/>
    </row>
    <row r="7" spans="1:14" x14ac:dyDescent="0.25">
      <c r="A7" s="1732" t="s">
        <v>1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  <c r="N7" s="259"/>
    </row>
    <row r="8" spans="1:14" x14ac:dyDescent="0.25">
      <c r="A8" s="1732" t="s">
        <v>3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  <c r="N8" s="259"/>
    </row>
    <row r="9" spans="1:14" x14ac:dyDescent="0.25">
      <c r="A9" s="1732" t="s">
        <v>1562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  <c r="N9" s="259"/>
    </row>
    <row r="10" spans="1:14" x14ac:dyDescent="0.25">
      <c r="A10" s="1819" t="s">
        <v>412</v>
      </c>
      <c r="B10" s="1819"/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16" t="s">
        <v>7</v>
      </c>
      <c r="B12" s="1615" t="s">
        <v>937</v>
      </c>
      <c r="C12" s="1615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616" t="s">
        <v>20</v>
      </c>
    </row>
    <row r="13" spans="1:14" x14ac:dyDescent="0.25">
      <c r="A13" s="1616"/>
      <c r="B13" s="1615"/>
      <c r="C13" s="1615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616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807" t="s">
        <v>1225</v>
      </c>
      <c r="I35" s="1807"/>
      <c r="J35" s="1807"/>
      <c r="K35" s="1807"/>
      <c r="L35" s="1807"/>
      <c r="M35" s="1807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808" t="s">
        <v>852</v>
      </c>
      <c r="I36" s="1808"/>
      <c r="J36" s="1808"/>
      <c r="K36" s="1808"/>
      <c r="L36" s="1808"/>
      <c r="M36" s="1808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809" t="s">
        <v>1521</v>
      </c>
      <c r="I37" s="1809"/>
      <c r="J37" s="1809"/>
      <c r="K37" s="1809"/>
      <c r="L37" s="1809"/>
      <c r="M37" s="1809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810"/>
      <c r="J38" s="1810"/>
      <c r="K38" s="1810"/>
      <c r="L38" s="1810"/>
      <c r="M38" s="1810"/>
      <c r="N38" s="1810"/>
    </row>
    <row r="39" spans="1:14" ht="15.75" x14ac:dyDescent="0.25">
      <c r="A39" s="267"/>
      <c r="B39" s="267"/>
      <c r="C39" s="267"/>
      <c r="D39" s="268"/>
      <c r="E39" s="268"/>
      <c r="F39" s="269"/>
      <c r="G39" s="1738"/>
      <c r="H39" s="1738"/>
      <c r="I39" s="1738"/>
      <c r="J39" s="1738"/>
      <c r="K39" s="1738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39:K39"/>
    <mergeCell ref="G12:G13"/>
    <mergeCell ref="H12:H13"/>
    <mergeCell ref="I12:I13"/>
    <mergeCell ref="J12:J13"/>
    <mergeCell ref="K12:K13"/>
    <mergeCell ref="M12:M13"/>
    <mergeCell ref="H35:M35"/>
    <mergeCell ref="H36:M36"/>
    <mergeCell ref="H37:M37"/>
    <mergeCell ref="I38:N38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1563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16" t="s">
        <v>7</v>
      </c>
      <c r="B12" s="1615" t="s">
        <v>802</v>
      </c>
      <c r="C12" s="1615" t="s">
        <v>10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616"/>
      <c r="B13" s="1615"/>
      <c r="C13" s="1615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2" t="s">
        <v>1255</v>
      </c>
      <c r="G32" s="1862"/>
      <c r="H32" s="1862"/>
      <c r="I32" s="1862"/>
      <c r="J32" s="1862"/>
      <c r="K32" s="186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08" t="s">
        <v>852</v>
      </c>
      <c r="G33" s="1808"/>
      <c r="H33" s="1808"/>
      <c r="I33" s="1808"/>
      <c r="J33" s="1808"/>
      <c r="K33" s="180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809" t="s">
        <v>1506</v>
      </c>
      <c r="G34" s="1809"/>
      <c r="H34" s="1809"/>
      <c r="I34" s="1809"/>
      <c r="J34" s="1809"/>
      <c r="K34" s="1809"/>
      <c r="L34" s="537"/>
    </row>
    <row r="35" spans="1:12" x14ac:dyDescent="0.25">
      <c r="A35" s="546"/>
      <c r="B35" s="546"/>
      <c r="C35" s="547"/>
      <c r="D35" s="541"/>
      <c r="E35" s="540"/>
      <c r="F35" s="537"/>
      <c r="G35" s="1810"/>
      <c r="H35" s="1810"/>
      <c r="I35" s="1810"/>
      <c r="J35" s="1810"/>
      <c r="K35" s="1810"/>
      <c r="L35" s="1810"/>
    </row>
    <row r="36" spans="1:12" ht="15.75" x14ac:dyDescent="0.25">
      <c r="A36" s="267"/>
      <c r="B36" s="267"/>
      <c r="C36" s="268"/>
      <c r="D36" s="269"/>
      <c r="E36" s="1738"/>
      <c r="F36" s="1738"/>
      <c r="G36" s="1738"/>
      <c r="H36" s="1738"/>
      <c r="I36" s="1738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64" t="s">
        <v>1502</v>
      </c>
      <c r="B6" s="1864"/>
      <c r="C6" s="1864"/>
      <c r="D6" s="1864"/>
      <c r="E6" s="1864"/>
      <c r="F6" s="1864"/>
      <c r="G6" s="1864"/>
      <c r="H6" s="1864"/>
      <c r="I6" s="1864"/>
      <c r="J6" s="1864"/>
      <c r="K6" s="1864"/>
      <c r="L6" s="1864"/>
      <c r="M6" s="1864"/>
    </row>
    <row r="7" spans="1:14" ht="0.75" customHeight="1" x14ac:dyDescent="0.25">
      <c r="A7" s="1864"/>
      <c r="B7" s="1864"/>
      <c r="C7" s="1864"/>
      <c r="D7" s="1864"/>
      <c r="E7" s="1864"/>
      <c r="F7" s="1864"/>
      <c r="G7" s="1864"/>
      <c r="H7" s="1864"/>
      <c r="I7" s="1864"/>
      <c r="J7" s="1864"/>
      <c r="K7" s="1864"/>
      <c r="L7" s="1864"/>
      <c r="M7" s="1864"/>
      <c r="N7" s="1864"/>
    </row>
    <row r="8" spans="1:14" ht="15.75" x14ac:dyDescent="0.25">
      <c r="A8" s="1864" t="s">
        <v>1460</v>
      </c>
      <c r="B8" s="1864"/>
      <c r="C8" s="1864"/>
      <c r="D8" s="1864"/>
      <c r="E8" s="1864"/>
      <c r="F8" s="1864"/>
      <c r="G8" s="1864"/>
      <c r="H8" s="1864"/>
      <c r="I8" s="1864"/>
      <c r="J8" s="1864"/>
      <c r="K8" s="1864"/>
      <c r="L8" s="1864"/>
      <c r="M8" s="1864"/>
    </row>
    <row r="9" spans="1:14" ht="15.75" x14ac:dyDescent="0.25">
      <c r="A9" s="1864" t="s">
        <v>1644</v>
      </c>
      <c r="B9" s="1864"/>
      <c r="C9" s="1864"/>
      <c r="D9" s="1864"/>
      <c r="E9" s="1864"/>
      <c r="F9" s="1864"/>
      <c r="G9" s="1864"/>
      <c r="H9" s="1864"/>
      <c r="I9" s="1864"/>
      <c r="J9" s="1864"/>
      <c r="K9" s="1864"/>
      <c r="L9" s="1864"/>
      <c r="M9" s="1864"/>
    </row>
    <row r="10" spans="1:14" ht="15.75" x14ac:dyDescent="0.25">
      <c r="A10" s="1882" t="s">
        <v>404</v>
      </c>
      <c r="B10" s="1882"/>
      <c r="C10" s="1882"/>
      <c r="D10" s="1882"/>
      <c r="E10" s="1882"/>
      <c r="F10" s="1882"/>
      <c r="G10" s="1882"/>
      <c r="H10" s="1882"/>
      <c r="I10" s="1882"/>
      <c r="J10" s="1882"/>
      <c r="K10" s="1882"/>
      <c r="L10" s="1882"/>
      <c r="M10" s="1882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83" t="s">
        <v>7</v>
      </c>
      <c r="B12" s="1883" t="s">
        <v>802</v>
      </c>
      <c r="C12" s="1883" t="s">
        <v>9</v>
      </c>
      <c r="D12" s="1883" t="s">
        <v>11</v>
      </c>
      <c r="E12" s="1057" t="s">
        <v>12</v>
      </c>
      <c r="F12" s="1885" t="s">
        <v>13</v>
      </c>
      <c r="G12" s="1886" t="s">
        <v>14</v>
      </c>
      <c r="H12" s="1886" t="s">
        <v>15</v>
      </c>
      <c r="I12" s="1896" t="s">
        <v>16</v>
      </c>
      <c r="J12" s="1896" t="s">
        <v>17</v>
      </c>
      <c r="K12" s="1896" t="s">
        <v>18</v>
      </c>
      <c r="L12" s="1896" t="s">
        <v>19</v>
      </c>
      <c r="M12" s="1886" t="s">
        <v>20</v>
      </c>
    </row>
    <row r="13" spans="1:14" ht="15.75" x14ac:dyDescent="0.25">
      <c r="A13" s="1883"/>
      <c r="B13" s="1883"/>
      <c r="C13" s="1883"/>
      <c r="D13" s="1883"/>
      <c r="E13" s="1057" t="s">
        <v>21</v>
      </c>
      <c r="F13" s="1885"/>
      <c r="G13" s="1886"/>
      <c r="H13" s="1886"/>
      <c r="I13" s="1896"/>
      <c r="J13" s="1896"/>
      <c r="K13" s="1896"/>
      <c r="L13" s="1896"/>
      <c r="M13" s="188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2">SUM(F29:F29)</f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3">+H33+I33+J33+K33</f>
        <v>46917.78</v>
      </c>
      <c r="M33" s="953">
        <f t="shared" ref="M33:M38" si="4"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si="4"/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5">SUM(G33:G38)</f>
        <v>414000</v>
      </c>
      <c r="H39" s="966">
        <f t="shared" si="5"/>
        <v>11881.800000000001</v>
      </c>
      <c r="I39" s="966">
        <f t="shared" si="5"/>
        <v>36861.740000000005</v>
      </c>
      <c r="J39" s="963">
        <f t="shared" si="5"/>
        <v>12585.599999999999</v>
      </c>
      <c r="K39" s="963">
        <f t="shared" si="5"/>
        <v>7111.84</v>
      </c>
      <c r="L39" s="963">
        <f t="shared" si="5"/>
        <v>68440.98000000001</v>
      </c>
      <c r="M39" s="963">
        <f t="shared" si="5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6">SUM(H42)</f>
        <v>2152.5</v>
      </c>
      <c r="I43" s="966">
        <f t="shared" si="6"/>
        <v>6309.38</v>
      </c>
      <c r="J43" s="963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 t="shared" si="7"/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8">SUM(G51:G52)</f>
        <v>78500</v>
      </c>
      <c r="H53" s="1233">
        <f t="shared" si="8"/>
        <v>2252.9499999999998</v>
      </c>
      <c r="I53" s="1233">
        <f t="shared" si="8"/>
        <v>936.62</v>
      </c>
      <c r="J53" s="1233">
        <f t="shared" si="8"/>
        <v>2386.4</v>
      </c>
      <c r="K53" s="1233">
        <f t="shared" si="8"/>
        <v>1321.7</v>
      </c>
      <c r="L53" s="1233">
        <f t="shared" si="8"/>
        <v>6897.67</v>
      </c>
      <c r="M53" s="1233">
        <f t="shared" si="8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9">SUM(G56:G58)</f>
        <v>118500</v>
      </c>
      <c r="H59" s="963">
        <f t="shared" si="9"/>
        <v>3400.95</v>
      </c>
      <c r="I59" s="963">
        <f t="shared" si="9"/>
        <v>1116.24</v>
      </c>
      <c r="J59" s="963">
        <f t="shared" si="9"/>
        <v>3602.4</v>
      </c>
      <c r="K59" s="963">
        <f t="shared" si="9"/>
        <v>1004.5</v>
      </c>
      <c r="L59" s="963">
        <f t="shared" si="9"/>
        <v>9124.09</v>
      </c>
      <c r="M59" s="963">
        <f t="shared" si="9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0"/>
        <v>8114.6</v>
      </c>
      <c r="M64" s="954">
        <f t="shared" ref="M64:M73" si="11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17">SUM(G97:G99)</f>
        <v>142000</v>
      </c>
      <c r="H100" s="966">
        <f t="shared" si="17"/>
        <v>4075.3999999999996</v>
      </c>
      <c r="I100" s="966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 t="shared" si="17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M105" si="18">SUM(G103:G104)</f>
        <v>140000</v>
      </c>
      <c r="H105" s="963">
        <f t="shared" si="18"/>
        <v>4018</v>
      </c>
      <c r="I105" s="963">
        <f t="shared" si="18"/>
        <v>10050.77</v>
      </c>
      <c r="J105" s="963">
        <f t="shared" si="18"/>
        <v>4256</v>
      </c>
      <c r="K105" s="963">
        <f t="shared" si="18"/>
        <v>3580.92</v>
      </c>
      <c r="L105" s="963">
        <f t="shared" si="18"/>
        <v>21905.69</v>
      </c>
      <c r="M105" s="963">
        <f t="shared" si="18"/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19">SUM(G108:G110)</f>
        <v>167000</v>
      </c>
      <c r="H111" s="963">
        <f t="shared" si="19"/>
        <v>4792.8999999999996</v>
      </c>
      <c r="I111" s="963">
        <f t="shared" si="19"/>
        <v>9274.11</v>
      </c>
      <c r="J111" s="963">
        <f t="shared" si="19"/>
        <v>5076.8</v>
      </c>
      <c r="K111" s="963">
        <f t="shared" si="19"/>
        <v>2184</v>
      </c>
      <c r="L111" s="963">
        <f t="shared" si="19"/>
        <v>21327.81</v>
      </c>
      <c r="M111" s="963">
        <f t="shared" si="19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0">SUM(G114:G114)</f>
        <v>80000</v>
      </c>
      <c r="H115" s="965">
        <f t="shared" si="20"/>
        <v>2296</v>
      </c>
      <c r="I115" s="966">
        <f t="shared" si="20"/>
        <v>6972</v>
      </c>
      <c r="J115" s="963">
        <f t="shared" si="20"/>
        <v>2432</v>
      </c>
      <c r="K115" s="963">
        <f t="shared" si="20"/>
        <v>1740.46</v>
      </c>
      <c r="L115" s="963">
        <f t="shared" si="20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>+G120-L120</f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>+G121-L121</f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>+G122-L122</f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1">SUM(E118:E122)</f>
        <v>410000</v>
      </c>
      <c r="F123" s="964">
        <f t="shared" si="21"/>
        <v>0</v>
      </c>
      <c r="G123" s="963">
        <f t="shared" si="21"/>
        <v>410000</v>
      </c>
      <c r="H123" s="963">
        <f t="shared" si="21"/>
        <v>11767</v>
      </c>
      <c r="I123" s="966">
        <f t="shared" si="21"/>
        <v>45462.360000000008</v>
      </c>
      <c r="J123" s="963">
        <f t="shared" si="21"/>
        <v>12464</v>
      </c>
      <c r="K123" s="963">
        <f t="shared" si="21"/>
        <v>20665.75</v>
      </c>
      <c r="L123" s="963">
        <f t="shared" si="21"/>
        <v>90359.11</v>
      </c>
      <c r="M123" s="963">
        <f t="shared" si="21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2">SUM(G126:G126)</f>
        <v>80000</v>
      </c>
      <c r="H127" s="965">
        <f t="shared" si="22"/>
        <v>2296</v>
      </c>
      <c r="I127" s="966">
        <f t="shared" si="22"/>
        <v>6972</v>
      </c>
      <c r="J127" s="963">
        <f t="shared" si="22"/>
        <v>2432</v>
      </c>
      <c r="K127" s="963">
        <f t="shared" si="22"/>
        <v>5884.86</v>
      </c>
      <c r="L127" s="963">
        <f t="shared" si="22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3">SUM(F130:F132)</f>
        <v>0</v>
      </c>
      <c r="G133" s="963">
        <f t="shared" si="23"/>
        <v>148500</v>
      </c>
      <c r="H133" s="963">
        <f t="shared" si="23"/>
        <v>4261.95</v>
      </c>
      <c r="I133" s="966">
        <f t="shared" si="23"/>
        <v>5350.3</v>
      </c>
      <c r="J133" s="963">
        <f t="shared" si="23"/>
        <v>4514.3999999999996</v>
      </c>
      <c r="K133" s="963">
        <f t="shared" si="23"/>
        <v>3270.74</v>
      </c>
      <c r="L133" s="963">
        <f t="shared" si="23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>+H138+I138+J138+K138</f>
        <v>6538.18</v>
      </c>
      <c r="M138" s="951">
        <f>+G138-L138</f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>+H139+I139+J139+K139</f>
        <v>3532.4700000000003</v>
      </c>
      <c r="M139" s="951">
        <f>+G139-L139</f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24">SUM(G136:G139)</f>
        <v>233500</v>
      </c>
      <c r="H140" s="963">
        <f t="shared" si="24"/>
        <v>6701.45</v>
      </c>
      <c r="I140" s="966">
        <f t="shared" si="24"/>
        <v>13456.85</v>
      </c>
      <c r="J140" s="963">
        <f t="shared" si="24"/>
        <v>7098.4</v>
      </c>
      <c r="K140" s="963">
        <f t="shared" si="24"/>
        <v>1706</v>
      </c>
      <c r="L140" s="963">
        <f t="shared" si="24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25">SUM(G143:G145)</f>
        <v>290000</v>
      </c>
      <c r="H146" s="965">
        <f t="shared" si="25"/>
        <v>8323</v>
      </c>
      <c r="I146" s="966">
        <f t="shared" si="25"/>
        <v>36513.17</v>
      </c>
      <c r="J146" s="963">
        <f t="shared" si="25"/>
        <v>8816</v>
      </c>
      <c r="K146" s="963">
        <f t="shared" si="25"/>
        <v>5990.1</v>
      </c>
      <c r="L146" s="963">
        <f t="shared" si="25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6">SUM(G149:G150)</f>
        <v>123500</v>
      </c>
      <c r="H151" s="966">
        <f t="shared" si="26"/>
        <v>3544.45</v>
      </c>
      <c r="I151" s="966">
        <f t="shared" si="26"/>
        <v>8080.17</v>
      </c>
      <c r="J151" s="963">
        <f t="shared" si="26"/>
        <v>3754.4</v>
      </c>
      <c r="K151" s="963">
        <f t="shared" si="26"/>
        <v>3837.66</v>
      </c>
      <c r="L151" s="963">
        <f t="shared" si="26"/>
        <v>19216.68</v>
      </c>
      <c r="M151" s="963">
        <f t="shared" si="26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27">SUM(E154:E154)</f>
        <v>43500</v>
      </c>
      <c r="F155" s="964">
        <f t="shared" si="27"/>
        <v>0</v>
      </c>
      <c r="G155" s="965">
        <f t="shared" si="27"/>
        <v>43500</v>
      </c>
      <c r="H155" s="965">
        <f t="shared" si="27"/>
        <v>1248.45</v>
      </c>
      <c r="I155" s="1196">
        <f>SUM(I154:I154)</f>
        <v>936.62</v>
      </c>
      <c r="J155" s="1091">
        <f t="shared" si="27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>+G160-L160</f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>SUM(F161)</f>
        <v>0</v>
      </c>
      <c r="G162" s="963">
        <f t="shared" ref="G162:L162" si="28">SUM(G158:G161)</f>
        <v>237000</v>
      </c>
      <c r="H162" s="963">
        <f t="shared" si="28"/>
        <v>6801.9</v>
      </c>
      <c r="I162" s="966">
        <f>SUM(I158:I161)</f>
        <v>14642.59</v>
      </c>
      <c r="J162" s="963">
        <f t="shared" si="28"/>
        <v>7204.7999999999993</v>
      </c>
      <c r="K162" s="963">
        <f t="shared" si="28"/>
        <v>4643.3999999999996</v>
      </c>
      <c r="L162" s="963">
        <f t="shared" si="28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M167" si="29">SUM(G165:G166)</f>
        <v>150000</v>
      </c>
      <c r="H167" s="963">
        <f t="shared" si="29"/>
        <v>4305</v>
      </c>
      <c r="I167" s="966">
        <f t="shared" si="29"/>
        <v>12769.349999999999</v>
      </c>
      <c r="J167" s="963">
        <f t="shared" si="29"/>
        <v>4560</v>
      </c>
      <c r="K167" s="963">
        <f t="shared" si="29"/>
        <v>1556</v>
      </c>
      <c r="L167" s="963">
        <f t="shared" si="29"/>
        <v>23190.35</v>
      </c>
      <c r="M167" s="963">
        <f t="shared" si="29"/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0">SUM(F170:F171)</f>
        <v>0</v>
      </c>
      <c r="G172" s="965">
        <f>SUM(G170:G171)</f>
        <v>123500</v>
      </c>
      <c r="H172" s="965">
        <f t="shared" si="30"/>
        <v>3544.45</v>
      </c>
      <c r="I172" s="966">
        <f>SUM(I170:I171)</f>
        <v>8337.49</v>
      </c>
      <c r="J172" s="963">
        <f t="shared" si="30"/>
        <v>3754.4</v>
      </c>
      <c r="K172" s="963">
        <f t="shared" si="30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31">+H175+I175+J175+K175</f>
        <v>3532.4700000000003</v>
      </c>
      <c r="M175" s="951">
        <f t="shared" ref="M175:M180" si="32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31"/>
        <v>3532.4700000000003</v>
      </c>
      <c r="M176" s="951">
        <f t="shared" si="32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31"/>
        <v>3532.4700000000003</v>
      </c>
      <c r="M177" s="951">
        <f t="shared" si="32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31"/>
        <v>7854.75</v>
      </c>
      <c r="M178" s="951">
        <f t="shared" si="32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31"/>
        <v>3532.4700000000003</v>
      </c>
      <c r="M179" s="951">
        <f t="shared" si="32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31"/>
        <v>3532.4700000000003</v>
      </c>
      <c r="M180" s="951">
        <f t="shared" si="32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33">SUM(G175:G180)</f>
        <v>261000</v>
      </c>
      <c r="H181" s="963">
        <f t="shared" si="33"/>
        <v>7490.7</v>
      </c>
      <c r="I181" s="966">
        <f>SUM(I175:I180)</f>
        <v>5105.08</v>
      </c>
      <c r="J181" s="963">
        <f t="shared" si="33"/>
        <v>7934.4</v>
      </c>
      <c r="K181" s="963">
        <f t="shared" si="33"/>
        <v>4986.92</v>
      </c>
      <c r="L181" s="963">
        <f t="shared" si="33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34">SUM(H184:H188)</f>
        <v>7289.7999999999993</v>
      </c>
      <c r="I189" s="966">
        <f>SUM(I184:I188)</f>
        <v>11147.350000000002</v>
      </c>
      <c r="J189" s="963">
        <f t="shared" si="34"/>
        <v>7721.6</v>
      </c>
      <c r="K189" s="963">
        <f t="shared" si="34"/>
        <v>2668.4</v>
      </c>
      <c r="L189" s="963">
        <f t="shared" si="34"/>
        <v>28827.15</v>
      </c>
      <c r="M189" s="963">
        <f t="shared" si="34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35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35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35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35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35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35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35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36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36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6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36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6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36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37">SUM(F193:F206)</f>
        <v>0</v>
      </c>
      <c r="G207" s="963">
        <f t="shared" si="37"/>
        <v>745500</v>
      </c>
      <c r="H207" s="963">
        <f t="shared" si="37"/>
        <v>21395.850000000002</v>
      </c>
      <c r="I207" s="963">
        <f t="shared" si="37"/>
        <v>46688.820000000007</v>
      </c>
      <c r="J207" s="963">
        <f t="shared" si="37"/>
        <v>22663.200000000001</v>
      </c>
      <c r="K207" s="963">
        <f t="shared" si="37"/>
        <v>9284.0400000000009</v>
      </c>
      <c r="L207" s="963">
        <f t="shared" si="37"/>
        <v>100031.91</v>
      </c>
      <c r="M207" s="963">
        <f t="shared" si="37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38">SUM(F210:F218)</f>
        <v>0</v>
      </c>
      <c r="G219" s="963">
        <f t="shared" si="38"/>
        <v>439500</v>
      </c>
      <c r="H219" s="963">
        <f t="shared" si="38"/>
        <v>12613.65</v>
      </c>
      <c r="I219" s="963">
        <f t="shared" si="38"/>
        <v>25337.01</v>
      </c>
      <c r="J219" s="963">
        <f t="shared" si="38"/>
        <v>13360.8</v>
      </c>
      <c r="K219" s="963">
        <f t="shared" si="38"/>
        <v>6467.92</v>
      </c>
      <c r="L219" s="963">
        <f t="shared" si="38"/>
        <v>57779.38</v>
      </c>
      <c r="M219" s="963">
        <f t="shared" si="38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39">SUM(F222:F228)</f>
        <v>0</v>
      </c>
      <c r="G229" s="963">
        <f t="shared" si="39"/>
        <v>239500</v>
      </c>
      <c r="H229" s="963">
        <f t="shared" si="39"/>
        <v>6873.65</v>
      </c>
      <c r="I229" s="963">
        <f t="shared" si="39"/>
        <v>1963.0500000000002</v>
      </c>
      <c r="J229" s="963">
        <f t="shared" si="39"/>
        <v>7280.8</v>
      </c>
      <c r="K229" s="963">
        <f t="shared" si="39"/>
        <v>175</v>
      </c>
      <c r="L229" s="963">
        <f t="shared" si="39"/>
        <v>16292.5</v>
      </c>
      <c r="M229" s="963">
        <f t="shared" si="39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0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0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0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0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0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0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41">SUM(F232:F237)</f>
        <v>0</v>
      </c>
      <c r="G238" s="963">
        <f t="shared" si="41"/>
        <v>203500</v>
      </c>
      <c r="H238" s="963">
        <f t="shared" si="41"/>
        <v>5840.45</v>
      </c>
      <c r="I238" s="963">
        <f t="shared" si="41"/>
        <v>1116.24</v>
      </c>
      <c r="J238" s="963">
        <f t="shared" si="41"/>
        <v>6186.4</v>
      </c>
      <c r="K238" s="963">
        <f t="shared" si="41"/>
        <v>150</v>
      </c>
      <c r="L238" s="963">
        <f t="shared" si="41"/>
        <v>13293.09</v>
      </c>
      <c r="M238" s="963">
        <f t="shared" si="41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42">+F207+F219+F229+F238</f>
        <v>0</v>
      </c>
      <c r="G239" s="963">
        <f t="shared" si="42"/>
        <v>1628000</v>
      </c>
      <c r="H239" s="963">
        <f t="shared" si="42"/>
        <v>46723.6</v>
      </c>
      <c r="I239" s="963">
        <f t="shared" si="42"/>
        <v>75105.12000000001</v>
      </c>
      <c r="J239" s="963">
        <f t="shared" si="42"/>
        <v>49491.200000000004</v>
      </c>
      <c r="K239" s="963">
        <f t="shared" si="42"/>
        <v>16076.960000000001</v>
      </c>
      <c r="L239" s="963">
        <f t="shared" si="42"/>
        <v>187396.88</v>
      </c>
      <c r="M239" s="963">
        <f t="shared" si="42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43">+F19+F26+F30+F39+F43+F48+F53+F59+F74+F89+F94+F100+F105+F111+F115+F123+F127+F133+F140+F146+F151+F155+F162+F167+F172+F181+F189+F239</f>
        <v>0</v>
      </c>
      <c r="G241" s="1076">
        <f t="shared" si="43"/>
        <v>7012000</v>
      </c>
      <c r="H241" s="1076">
        <f t="shared" si="43"/>
        <v>201244.4</v>
      </c>
      <c r="I241" s="1076">
        <f t="shared" si="43"/>
        <v>449379.7099999999</v>
      </c>
      <c r="J241" s="1076">
        <f t="shared" si="43"/>
        <v>211849.93999999997</v>
      </c>
      <c r="K241" s="1076">
        <f t="shared" si="43"/>
        <v>157355.06000000003</v>
      </c>
      <c r="L241" s="1076">
        <f t="shared" si="43"/>
        <v>1019829.1100000001</v>
      </c>
      <c r="M241" s="1076">
        <f t="shared" si="43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884" t="s">
        <v>1271</v>
      </c>
      <c r="B260" s="1884"/>
      <c r="C260" s="874"/>
      <c r="D260" s="874"/>
      <c r="E260" s="875"/>
      <c r="F260" s="873"/>
      <c r="G260" s="873"/>
      <c r="H260" s="1869" t="s">
        <v>852</v>
      </c>
      <c r="I260" s="1869"/>
      <c r="J260" s="1869"/>
      <c r="K260" s="1869"/>
      <c r="L260" s="1869"/>
      <c r="M260" s="1869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863" t="s">
        <v>1504</v>
      </c>
      <c r="J261" s="1863"/>
      <c r="K261" s="1863"/>
      <c r="L261" s="1863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A6:M6"/>
    <mergeCell ref="A7:N7"/>
    <mergeCell ref="A8:M8"/>
    <mergeCell ref="A9:M9"/>
    <mergeCell ref="A10:M10"/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617" t="s">
        <v>1502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2:16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2:16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2:16" x14ac:dyDescent="0.25">
      <c r="B8" s="1617" t="s">
        <v>1576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  <c r="P8" s="1617"/>
    </row>
    <row r="9" spans="2:16" x14ac:dyDescent="0.25">
      <c r="B9" s="1618" t="s">
        <v>441</v>
      </c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  <c r="P9" s="1618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15" t="s">
        <v>7</v>
      </c>
      <c r="C11" s="1615" t="s">
        <v>937</v>
      </c>
      <c r="D11" s="1616" t="s">
        <v>10</v>
      </c>
      <c r="E11" s="1615" t="s">
        <v>832</v>
      </c>
      <c r="F11" s="1615" t="s">
        <v>834</v>
      </c>
      <c r="G11" s="1615" t="s">
        <v>209</v>
      </c>
      <c r="H11" s="1051" t="s">
        <v>12</v>
      </c>
      <c r="I11" s="1619" t="s">
        <v>13</v>
      </c>
      <c r="J11" s="1620" t="s">
        <v>14</v>
      </c>
      <c r="K11" s="1620" t="s">
        <v>15</v>
      </c>
      <c r="L11" s="1620" t="s">
        <v>16</v>
      </c>
      <c r="M11" s="1621" t="s">
        <v>17</v>
      </c>
      <c r="N11" s="1621" t="s">
        <v>18</v>
      </c>
      <c r="O11" s="1620" t="s">
        <v>19</v>
      </c>
      <c r="P11" s="1620" t="s">
        <v>20</v>
      </c>
    </row>
    <row r="12" spans="2:16" x14ac:dyDescent="0.25">
      <c r="B12" s="1615"/>
      <c r="C12" s="1615"/>
      <c r="D12" s="1616"/>
      <c r="E12" s="1615"/>
      <c r="F12" s="1615"/>
      <c r="G12" s="1615"/>
      <c r="H12" s="1051" t="s">
        <v>21</v>
      </c>
      <c r="I12" s="1619"/>
      <c r="J12" s="1620"/>
      <c r="K12" s="1620"/>
      <c r="L12" s="1620"/>
      <c r="M12" s="1621"/>
      <c r="N12" s="1621"/>
      <c r="O12" s="1620"/>
      <c r="P12" s="1620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>SUM(I45)</f>
        <v>0</v>
      </c>
      <c r="J46" s="695">
        <f t="shared" ref="J46:P46" si="4">SUM(J44:J45)</f>
        <v>175000</v>
      </c>
      <c r="K46" s="695">
        <f t="shared" si="4"/>
        <v>5022.5</v>
      </c>
      <c r="L46" s="695">
        <f t="shared" si="4"/>
        <v>19120.419999999998</v>
      </c>
      <c r="M46" s="1145">
        <f t="shared" si="4"/>
        <v>5320</v>
      </c>
      <c r="N46" s="695">
        <f>SUM(N44:N45)</f>
        <v>2159</v>
      </c>
      <c r="O46" s="695">
        <f t="shared" si="4"/>
        <v>31621.919999999998</v>
      </c>
      <c r="P46" s="695">
        <f t="shared" si="4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5">SUM(J49)</f>
        <v>95000</v>
      </c>
      <c r="K50" s="697">
        <f t="shared" si="5"/>
        <v>2726.5</v>
      </c>
      <c r="L50" s="697">
        <f t="shared" si="5"/>
        <v>10929.24</v>
      </c>
      <c r="M50" s="1145">
        <f t="shared" si="5"/>
        <v>2888</v>
      </c>
      <c r="N50" s="697">
        <f>SUM(N49)</f>
        <v>4125</v>
      </c>
      <c r="O50" s="697">
        <f t="shared" si="5"/>
        <v>20668.739999999998</v>
      </c>
      <c r="P50" s="697">
        <f t="shared" si="5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>SUM(I54)</f>
        <v>0</v>
      </c>
      <c r="J55" s="697">
        <f t="shared" ref="J55:P55" si="6">SUM(J53:J54)</f>
        <v>175000</v>
      </c>
      <c r="K55" s="697">
        <f t="shared" si="6"/>
        <v>5022.5</v>
      </c>
      <c r="L55" s="697">
        <f t="shared" si="6"/>
        <v>19369.55</v>
      </c>
      <c r="M55" s="1145">
        <f t="shared" si="6"/>
        <v>5320</v>
      </c>
      <c r="N55" s="697">
        <f>SUM(N53:N54)</f>
        <v>2593.4</v>
      </c>
      <c r="O55" s="697">
        <f t="shared" si="6"/>
        <v>32305.45</v>
      </c>
      <c r="P55" s="697">
        <f t="shared" si="6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7">+K58+L58+M58+N58</f>
        <v>25398.49</v>
      </c>
      <c r="P58" s="498">
        <f t="shared" ref="P58:P63" si="8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7"/>
        <v>25398.49</v>
      </c>
      <c r="P59" s="498">
        <f t="shared" si="8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7"/>
        <v>25398.49</v>
      </c>
      <c r="P60" s="498">
        <f t="shared" si="8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7"/>
        <v>25398.49</v>
      </c>
      <c r="P61" s="498">
        <f t="shared" si="8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7"/>
        <v>25398.49</v>
      </c>
      <c r="P62" s="626">
        <f t="shared" si="8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7"/>
        <v>29628.34</v>
      </c>
      <c r="P63" s="626">
        <f t="shared" si="8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9">SUM(J58:J64)</f>
        <v>885000</v>
      </c>
      <c r="K65" s="697">
        <f t="shared" si="9"/>
        <v>25399.5</v>
      </c>
      <c r="L65" s="697">
        <f t="shared" si="9"/>
        <v>127825.32000000002</v>
      </c>
      <c r="M65" s="1145">
        <f t="shared" si="9"/>
        <v>26904</v>
      </c>
      <c r="N65" s="697">
        <f t="shared" si="9"/>
        <v>1890.46</v>
      </c>
      <c r="O65" s="697">
        <f t="shared" si="9"/>
        <v>182019.28</v>
      </c>
      <c r="P65" s="697">
        <f t="shared" si="9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0">SUM(J68:J71)</f>
        <v>360000</v>
      </c>
      <c r="K72" s="695">
        <f t="shared" si="10"/>
        <v>10332</v>
      </c>
      <c r="L72" s="695">
        <f t="shared" si="10"/>
        <v>39972.06</v>
      </c>
      <c r="M72" s="1145">
        <f t="shared" si="10"/>
        <v>10944</v>
      </c>
      <c r="N72" s="695">
        <f>SUM(N68:N71)</f>
        <v>2643.4</v>
      </c>
      <c r="O72" s="695">
        <f>SUM(O68:O71)</f>
        <v>63891.459999999992</v>
      </c>
      <c r="P72" s="695">
        <f t="shared" si="10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1">SUM(I75)</f>
        <v>0</v>
      </c>
      <c r="J76" s="695">
        <f t="shared" si="11"/>
        <v>185000</v>
      </c>
      <c r="K76" s="695">
        <f t="shared" si="11"/>
        <v>5309.5</v>
      </c>
      <c r="L76" s="695">
        <f t="shared" si="11"/>
        <v>32099.49</v>
      </c>
      <c r="M76" s="1145">
        <f t="shared" si="11"/>
        <v>5624</v>
      </c>
      <c r="N76" s="695">
        <f>SUM(N75)</f>
        <v>5010.4799999999996</v>
      </c>
      <c r="O76" s="695">
        <f t="shared" si="11"/>
        <v>48043.47</v>
      </c>
      <c r="P76" s="695">
        <f t="shared" si="11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>SUM(I80)</f>
        <v>0</v>
      </c>
      <c r="J81" s="695">
        <f t="shared" ref="J81:P81" si="12">SUM(J79:J80)</f>
        <v>130000</v>
      </c>
      <c r="K81" s="695">
        <f t="shared" si="12"/>
        <v>3731</v>
      </c>
      <c r="L81" s="695">
        <f t="shared" si="12"/>
        <v>8855.16</v>
      </c>
      <c r="M81" s="1145">
        <f t="shared" si="12"/>
        <v>3952</v>
      </c>
      <c r="N81" s="695">
        <f>SUM(N79:N80)</f>
        <v>50</v>
      </c>
      <c r="O81" s="695">
        <f t="shared" si="12"/>
        <v>16588.16</v>
      </c>
      <c r="P81" s="695">
        <f t="shared" si="12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3">+K88+L88+M88+N88</f>
        <v>9530.48</v>
      </c>
      <c r="P88" s="468">
        <f t="shared" ref="P88:P93" si="14"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3"/>
        <v>9530.48</v>
      </c>
      <c r="P89" s="468">
        <f t="shared" si="14"/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3"/>
        <v>9530.48</v>
      </c>
      <c r="P90" s="468">
        <f t="shared" si="14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3"/>
        <v>9530.48</v>
      </c>
      <c r="P91" s="468">
        <f t="shared" si="14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3"/>
        <v>10902.84</v>
      </c>
      <c r="P92" s="468">
        <f t="shared" si="14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3"/>
        <v>5835.18</v>
      </c>
      <c r="P93" s="468">
        <f t="shared" si="14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>SUM(I93)</f>
        <v>0</v>
      </c>
      <c r="J94" s="695">
        <f t="shared" ref="J94:P94" si="15">SUM(J88:J93)</f>
        <v>405000</v>
      </c>
      <c r="K94" s="695">
        <f t="shared" si="15"/>
        <v>11623.5</v>
      </c>
      <c r="L94" s="695">
        <f t="shared" si="15"/>
        <v>29058.98</v>
      </c>
      <c r="M94" s="1145">
        <f t="shared" si="15"/>
        <v>12312</v>
      </c>
      <c r="N94" s="695">
        <f t="shared" si="15"/>
        <v>1865.46</v>
      </c>
      <c r="O94" s="695">
        <f t="shared" si="15"/>
        <v>54859.939999999995</v>
      </c>
      <c r="P94" s="695">
        <f t="shared" si="15"/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16">SUM(J97:J98)</f>
        <v>190000</v>
      </c>
      <c r="K99" s="695">
        <f t="shared" si="16"/>
        <v>5453</v>
      </c>
      <c r="L99" s="695">
        <f t="shared" si="16"/>
        <v>22178.35</v>
      </c>
      <c r="M99" s="695">
        <f t="shared" si="16"/>
        <v>5776</v>
      </c>
      <c r="N99" s="695">
        <f>SUM(N97:N98)</f>
        <v>4694.3999999999996</v>
      </c>
      <c r="O99" s="695">
        <f t="shared" si="16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 t="shared" ref="O103:O111" si="17">+K103+L103+M103+N103</f>
        <v>9530.48</v>
      </c>
      <c r="P103" s="468">
        <f t="shared" ref="P103:P111" si="18"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 t="shared" si="17"/>
        <v>12275.210000000001</v>
      </c>
      <c r="P104" s="468">
        <f t="shared" si="18"/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si="17"/>
        <v>10902.84</v>
      </c>
      <c r="P105" s="468">
        <f t="shared" si="18"/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17"/>
        <v>9530.48</v>
      </c>
      <c r="P106" s="468">
        <f t="shared" si="18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17"/>
        <v>9530.48</v>
      </c>
      <c r="P107" s="468">
        <f t="shared" si="18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si="17"/>
        <v>9530.48</v>
      </c>
      <c r="P108" s="468">
        <f t="shared" si="18"/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7"/>
        <v>9530.48</v>
      </c>
      <c r="P109" s="468">
        <f t="shared" si="18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 t="shared" si="17"/>
        <v>25398.49</v>
      </c>
      <c r="P110" s="468">
        <f t="shared" si="18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si="17"/>
        <v>7293.3200000000006</v>
      </c>
      <c r="P111" s="468">
        <f t="shared" si="18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19">SUM(I103:I111)</f>
        <v>0</v>
      </c>
      <c r="J112" s="695">
        <f t="shared" si="19"/>
        <v>670000</v>
      </c>
      <c r="K112" s="695">
        <f t="shared" si="19"/>
        <v>19229</v>
      </c>
      <c r="L112" s="695">
        <f t="shared" si="19"/>
        <v>56838.42</v>
      </c>
      <c r="M112" s="695">
        <f t="shared" si="19"/>
        <v>20368</v>
      </c>
      <c r="N112" s="695">
        <f t="shared" si="19"/>
        <v>7086.84</v>
      </c>
      <c r="O112" s="695">
        <f t="shared" si="19"/>
        <v>103522.26000000001</v>
      </c>
      <c r="P112" s="695">
        <f t="shared" si="19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0">+K115+L115+M115+N115</f>
        <v>9530.48</v>
      </c>
      <c r="P115" s="628">
        <f t="shared" ref="P115:P122" si="21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0"/>
        <v>9530.48</v>
      </c>
      <c r="P116" s="628">
        <f t="shared" si="21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0"/>
        <v>9530.48</v>
      </c>
      <c r="P117" s="628">
        <f t="shared" si="21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0"/>
        <v>3532.4700000000003</v>
      </c>
      <c r="P118" s="628">
        <f t="shared" si="21"/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0"/>
        <v>9530.48</v>
      </c>
      <c r="P119" s="628">
        <f t="shared" si="21"/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0"/>
        <v>10902.84</v>
      </c>
      <c r="P120" s="628">
        <f t="shared" si="21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0"/>
        <v>9530.48</v>
      </c>
      <c r="P121" s="628">
        <f t="shared" si="21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0"/>
        <v>1502.5</v>
      </c>
      <c r="P122" s="628">
        <f t="shared" si="21"/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22">SUM(I115:I122)</f>
        <v>0</v>
      </c>
      <c r="J123" s="695">
        <f t="shared" si="22"/>
        <v>488500</v>
      </c>
      <c r="K123" s="695">
        <f t="shared" si="22"/>
        <v>14019.95</v>
      </c>
      <c r="L123" s="695">
        <f t="shared" si="22"/>
        <v>32804.399999999994</v>
      </c>
      <c r="M123" s="695">
        <f t="shared" si="22"/>
        <v>14850.4</v>
      </c>
      <c r="N123" s="695">
        <f t="shared" si="22"/>
        <v>1915.46</v>
      </c>
      <c r="O123" s="695">
        <f t="shared" si="22"/>
        <v>63590.209999999992</v>
      </c>
      <c r="P123" s="695">
        <f t="shared" si="22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 t="shared" ref="O126:O134" si="23">+K126+L126+M126+N126</f>
        <v>10902.84</v>
      </c>
      <c r="P126" s="468">
        <f t="shared" ref="P126:P134" si="24"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si="23"/>
        <v>9530.48</v>
      </c>
      <c r="P127" s="468">
        <f t="shared" si="24"/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23"/>
        <v>9530.48</v>
      </c>
      <c r="P128" s="468">
        <f t="shared" si="24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3"/>
        <v>9530.48</v>
      </c>
      <c r="P129" s="468">
        <f t="shared" si="24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3"/>
        <v>9530.48</v>
      </c>
      <c r="P130" s="468">
        <f t="shared" si="24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3"/>
        <v>9530.48</v>
      </c>
      <c r="P131" s="468">
        <f t="shared" si="24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3"/>
        <v>9530.48</v>
      </c>
      <c r="P132" s="468">
        <f t="shared" si="24"/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 t="shared" si="23"/>
        <v>3532.4700000000003</v>
      </c>
      <c r="P133" s="468">
        <f t="shared" si="24"/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 t="shared" si="23"/>
        <v>5835.18</v>
      </c>
      <c r="P134" s="468">
        <f t="shared" si="24"/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25">SUM(I126:I134)</f>
        <v>0</v>
      </c>
      <c r="J135" s="695">
        <f t="shared" si="25"/>
        <v>588500</v>
      </c>
      <c r="K135" s="695">
        <f t="shared" si="25"/>
        <v>16889.95</v>
      </c>
      <c r="L135" s="695">
        <f t="shared" si="25"/>
        <v>40732.559999999998</v>
      </c>
      <c r="M135" s="695">
        <f t="shared" si="25"/>
        <v>17890.400000000001</v>
      </c>
      <c r="N135" s="695">
        <f t="shared" si="25"/>
        <v>1940.46</v>
      </c>
      <c r="O135" s="695">
        <f t="shared" si="25"/>
        <v>77453.37</v>
      </c>
      <c r="P135" s="695">
        <f t="shared" si="2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5" si="26">+K138+L138+M138+N138</f>
        <v>23926.87</v>
      </c>
      <c r="P138" s="468">
        <f t="shared" ref="P138:P145" si="2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26"/>
        <v>10902.84</v>
      </c>
      <c r="P139" s="468">
        <f t="shared" si="2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26"/>
        <v>12275.210000000001</v>
      </c>
      <c r="P140" s="468">
        <f t="shared" si="2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6"/>
        <v>9530.48</v>
      </c>
      <c r="P141" s="468">
        <f t="shared" si="27"/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26"/>
        <v>10902.84</v>
      </c>
      <c r="P142" s="468">
        <f t="shared" si="27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6"/>
        <v>9530.48</v>
      </c>
      <c r="P143" s="468">
        <f t="shared" si="27"/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26"/>
        <v>9530.48</v>
      </c>
      <c r="P144" s="468">
        <f t="shared" si="27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 t="shared" si="26"/>
        <v>3532.4700000000003</v>
      </c>
      <c r="P145" s="468">
        <f t="shared" si="27"/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28">SUM(I138:I145)</f>
        <v>0</v>
      </c>
      <c r="J146" s="695">
        <f t="shared" si="28"/>
        <v>583500</v>
      </c>
      <c r="K146" s="695">
        <f t="shared" si="28"/>
        <v>16746.45</v>
      </c>
      <c r="L146" s="695">
        <f t="shared" si="28"/>
        <v>48584.98</v>
      </c>
      <c r="M146" s="695">
        <f t="shared" si="28"/>
        <v>17738.400000000001</v>
      </c>
      <c r="N146" s="695">
        <f t="shared" si="28"/>
        <v>7061.84</v>
      </c>
      <c r="O146" s="695">
        <f t="shared" si="28"/>
        <v>90131.669999999984</v>
      </c>
      <c r="P146" s="695">
        <f t="shared" si="28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29">+I146+I135+I123+I112</f>
        <v>0</v>
      </c>
      <c r="J147" s="695">
        <f t="shared" si="29"/>
        <v>2330500</v>
      </c>
      <c r="K147" s="695">
        <f t="shared" si="29"/>
        <v>66885.350000000006</v>
      </c>
      <c r="L147" s="695">
        <f t="shared" si="29"/>
        <v>178960.36</v>
      </c>
      <c r="M147" s="695">
        <f t="shared" si="29"/>
        <v>70847.200000000012</v>
      </c>
      <c r="N147" s="695">
        <f t="shared" si="29"/>
        <v>18004.599999999999</v>
      </c>
      <c r="O147" s="695">
        <f t="shared" si="29"/>
        <v>334697.51</v>
      </c>
      <c r="P147" s="695">
        <f t="shared" si="29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30">+I16+I20+I25+I29+I33+I37+I41+I46+I50+I55+I65+I72+I76+I81+I85+I94+I99+I147</f>
        <v>0</v>
      </c>
      <c r="J149" s="1126">
        <f t="shared" si="30"/>
        <v>5935500</v>
      </c>
      <c r="K149" s="1126">
        <f t="shared" si="30"/>
        <v>170348.85</v>
      </c>
      <c r="L149" s="1126">
        <f t="shared" si="30"/>
        <v>614421.24999999988</v>
      </c>
      <c r="M149" s="1126">
        <f t="shared" si="30"/>
        <v>180439.2</v>
      </c>
      <c r="N149" s="1126">
        <f t="shared" si="30"/>
        <v>80522.490000000005</v>
      </c>
      <c r="O149" s="1126">
        <f t="shared" si="30"/>
        <v>1045731.7899999999</v>
      </c>
      <c r="P149" s="1126">
        <f t="shared" si="30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622" t="s">
        <v>1375</v>
      </c>
      <c r="K169" s="1622"/>
      <c r="L169" s="1622"/>
      <c r="M169" s="1622"/>
      <c r="N169" s="1622"/>
      <c r="O169" s="1622"/>
      <c r="P169" s="1622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623" t="s">
        <v>1554</v>
      </c>
      <c r="K170" s="1623"/>
      <c r="L170" s="1623"/>
      <c r="M170" s="1623"/>
      <c r="N170" s="1623"/>
      <c r="O170" s="1623"/>
      <c r="P170" s="1623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B11:B12"/>
    <mergeCell ref="C11:C12"/>
    <mergeCell ref="D11:D12"/>
    <mergeCell ref="E11:E12"/>
    <mergeCell ref="F11:F12"/>
    <mergeCell ref="B6:P6"/>
    <mergeCell ref="B7:P7"/>
    <mergeCell ref="B8:P8"/>
    <mergeCell ref="B9:P9"/>
    <mergeCell ref="B5:P5"/>
    <mergeCell ref="G11:G12"/>
    <mergeCell ref="I11:I12"/>
    <mergeCell ref="J11:J12"/>
    <mergeCell ref="K11:K12"/>
    <mergeCell ref="L11:L12"/>
    <mergeCell ref="N11:N12"/>
    <mergeCell ref="O11:O12"/>
    <mergeCell ref="P11:P12"/>
    <mergeCell ref="J169:P169"/>
    <mergeCell ref="J170:P17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1628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 t="shared" ref="G32:M32" si="1">SUM(G16:G31)</f>
        <v>242000</v>
      </c>
      <c r="H32" s="273">
        <f t="shared" si="1"/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 t="shared" si="1"/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870" t="s">
        <v>1269</v>
      </c>
      <c r="B51" s="1870"/>
      <c r="C51" s="753"/>
      <c r="D51" s="753"/>
      <c r="E51" s="754"/>
      <c r="F51" s="755"/>
      <c r="H51" s="1871" t="s">
        <v>852</v>
      </c>
      <c r="I51" s="1871"/>
      <c r="J51" s="1871"/>
      <c r="K51" s="1871"/>
      <c r="L51" s="1871"/>
      <c r="M51" s="1871"/>
    </row>
    <row r="52" spans="1:13" s="259" customFormat="1" ht="19.5" customHeight="1" x14ac:dyDescent="0.25">
      <c r="A52" s="1809" t="s">
        <v>1270</v>
      </c>
      <c r="B52" s="1809"/>
      <c r="C52" s="753"/>
      <c r="D52" s="753"/>
      <c r="E52" s="754"/>
      <c r="F52" s="755"/>
      <c r="H52" s="1623" t="s">
        <v>1505</v>
      </c>
      <c r="I52" s="1623"/>
      <c r="J52" s="1623"/>
      <c r="K52" s="1623"/>
      <c r="L52" s="1623"/>
      <c r="M52" s="1623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810"/>
      <c r="I64" s="1810"/>
      <c r="J64" s="1810"/>
      <c r="K64" s="1810"/>
      <c r="L64" s="1810"/>
      <c r="M64" s="1810"/>
    </row>
    <row r="65" spans="1:13" ht="15.75" x14ac:dyDescent="0.25">
      <c r="A65" s="267"/>
      <c r="B65" s="267"/>
      <c r="C65" s="268"/>
      <c r="D65" s="268"/>
      <c r="E65" s="269"/>
      <c r="F65" s="1738"/>
      <c r="G65" s="1738"/>
      <c r="H65" s="1738"/>
      <c r="I65" s="1738"/>
      <c r="J65" s="1738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C13:C14"/>
    <mergeCell ref="D13:D14"/>
    <mergeCell ref="A7:M7"/>
    <mergeCell ref="A8:M8"/>
    <mergeCell ref="A9:M9"/>
    <mergeCell ref="A10:M10"/>
    <mergeCell ref="A11:M11"/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4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4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4" x14ac:dyDescent="0.25">
      <c r="B8" s="1881" t="s">
        <v>1638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4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99" t="s">
        <v>7</v>
      </c>
      <c r="C11" s="1899" t="s">
        <v>802</v>
      </c>
      <c r="D11" s="1901" t="s">
        <v>9</v>
      </c>
      <c r="E11" s="1046" t="s">
        <v>12</v>
      </c>
      <c r="F11" s="1903" t="s">
        <v>13</v>
      </c>
      <c r="G11" s="1897" t="s">
        <v>14</v>
      </c>
      <c r="H11" s="1897" t="s">
        <v>15</v>
      </c>
      <c r="I11" s="1897" t="s">
        <v>16</v>
      </c>
      <c r="J11" s="1897" t="s">
        <v>17</v>
      </c>
      <c r="K11" s="1897" t="s">
        <v>18</v>
      </c>
      <c r="L11" s="1897" t="s">
        <v>19</v>
      </c>
      <c r="M11" s="1897" t="s">
        <v>20</v>
      </c>
    </row>
    <row r="12" spans="2:14" ht="16.5" customHeight="1" x14ac:dyDescent="0.25">
      <c r="B12" s="1900"/>
      <c r="C12" s="1900"/>
      <c r="D12" s="1902"/>
      <c r="E12" s="1046" t="s">
        <v>21</v>
      </c>
      <c r="F12" s="1904"/>
      <c r="G12" s="1898"/>
      <c r="H12" s="1898"/>
      <c r="I12" s="1898"/>
      <c r="J12" s="1898"/>
      <c r="K12" s="1898"/>
      <c r="L12" s="1898"/>
      <c r="M12" s="189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1">+E30</f>
        <v>26500</v>
      </c>
      <c r="F31" s="937">
        <v>0</v>
      </c>
      <c r="G31" s="905">
        <f t="shared" si="1"/>
        <v>26500</v>
      </c>
      <c r="H31" s="905">
        <f t="shared" si="1"/>
        <v>760.55</v>
      </c>
      <c r="I31" s="905">
        <f t="shared" si="1"/>
        <v>4431.8599999999997</v>
      </c>
      <c r="J31" s="905">
        <f t="shared" si="1"/>
        <v>805.6</v>
      </c>
      <c r="K31" s="937">
        <v>0</v>
      </c>
      <c r="L31" s="905">
        <f t="shared" si="1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6">+G60+G56+G52+G47+G43+G39+G35+G31+G23+G27+G19+G15</f>
        <v>296000</v>
      </c>
      <c r="H62" s="1140">
        <f t="shared" si="6"/>
        <v>8495.2000000000007</v>
      </c>
      <c r="I62" s="1140">
        <f t="shared" si="6"/>
        <v>54691.799999999996</v>
      </c>
      <c r="J62" s="1140">
        <f t="shared" si="6"/>
        <v>8998.4000000000015</v>
      </c>
      <c r="K62" s="1045">
        <v>0</v>
      </c>
      <c r="L62" s="1140">
        <f t="shared" si="6"/>
        <v>72185.400000000009</v>
      </c>
      <c r="M62" s="1140">
        <f t="shared" si="6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877" t="s">
        <v>1372</v>
      </c>
      <c r="H80" s="1877"/>
      <c r="I80" s="1877"/>
      <c r="J80" s="1877"/>
      <c r="K80" s="1877"/>
      <c r="L80" s="1877"/>
    </row>
    <row r="81" spans="2:13" x14ac:dyDescent="0.25">
      <c r="B81" s="1083" t="s">
        <v>1238</v>
      </c>
      <c r="C81" s="1083"/>
      <c r="D81" s="921"/>
      <c r="E81" s="915"/>
      <c r="F81" s="915"/>
      <c r="G81" s="1875" t="s">
        <v>1222</v>
      </c>
      <c r="H81" s="1875"/>
      <c r="I81" s="1875"/>
      <c r="J81" s="1875"/>
      <c r="K81" s="1875"/>
      <c r="L81" s="1875"/>
    </row>
    <row r="82" spans="2:13" x14ac:dyDescent="0.25">
      <c r="B82" s="916" t="s">
        <v>1239</v>
      </c>
      <c r="C82" s="916"/>
      <c r="D82" s="915"/>
      <c r="E82" s="915"/>
      <c r="F82" s="923"/>
      <c r="G82" s="1874" t="s">
        <v>1224</v>
      </c>
      <c r="H82" s="1874"/>
      <c r="I82" s="1874"/>
      <c r="J82" s="1874"/>
      <c r="K82" s="1874"/>
      <c r="L82" s="1874"/>
    </row>
    <row r="86" spans="2:13" ht="30" customHeight="1" x14ac:dyDescent="0.25"/>
    <row r="90" spans="2:13" x14ac:dyDescent="0.25">
      <c r="E90" s="924"/>
      <c r="F90" s="923"/>
      <c r="G90" s="915"/>
      <c r="H90" s="1879"/>
      <c r="I90" s="1879"/>
      <c r="J90" s="1879"/>
      <c r="K90" s="1879"/>
      <c r="L90" s="1879"/>
      <c r="M90" s="1879"/>
    </row>
    <row r="91" spans="2:13" x14ac:dyDescent="0.25">
      <c r="E91" s="925"/>
      <c r="F91" s="1872"/>
      <c r="G91" s="1872"/>
      <c r="H91" s="1872"/>
      <c r="I91" s="1872"/>
      <c r="J91" s="1872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0:L80"/>
    <mergeCell ref="G81:L81"/>
    <mergeCell ref="G82:L82"/>
    <mergeCell ref="H90:M90"/>
    <mergeCell ref="F91:J91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1639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2" t="s">
        <v>1250</v>
      </c>
      <c r="H53" s="1862"/>
      <c r="I53" s="1862"/>
      <c r="J53" s="1862"/>
      <c r="K53" s="1862"/>
      <c r="L53" s="1862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08" t="s">
        <v>852</v>
      </c>
      <c r="H54" s="1808"/>
      <c r="I54" s="1808"/>
      <c r="J54" s="1808"/>
      <c r="K54" s="1808"/>
      <c r="L54" s="1808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809" t="s">
        <v>1506</v>
      </c>
      <c r="H55" s="1809"/>
      <c r="I55" s="1809"/>
      <c r="J55" s="1809"/>
      <c r="K55" s="1809"/>
      <c r="L55" s="1809"/>
      <c r="M55" s="537"/>
    </row>
    <row r="56" spans="2:13" x14ac:dyDescent="0.25">
      <c r="B56" s="546"/>
      <c r="C56" s="546"/>
      <c r="D56" s="547"/>
      <c r="E56" s="541"/>
      <c r="F56" s="540"/>
      <c r="G56" s="537"/>
      <c r="H56" s="1810"/>
      <c r="I56" s="1810"/>
      <c r="J56" s="1810"/>
      <c r="K56" s="1810"/>
      <c r="L56" s="1810"/>
      <c r="M56" s="1810"/>
    </row>
    <row r="57" spans="2:13" x14ac:dyDescent="0.25">
      <c r="B57" s="531"/>
      <c r="C57" s="531"/>
      <c r="D57" s="259"/>
      <c r="E57" s="1174"/>
      <c r="F57" s="1734"/>
      <c r="G57" s="1734"/>
      <c r="H57" s="1734"/>
      <c r="I57" s="1734"/>
      <c r="J57" s="1734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1733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07" t="s">
        <v>7</v>
      </c>
      <c r="B12" s="1909" t="s">
        <v>802</v>
      </c>
      <c r="C12" s="1909" t="s">
        <v>10</v>
      </c>
      <c r="D12" s="1067" t="s">
        <v>12</v>
      </c>
      <c r="E12" s="1911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908"/>
      <c r="B13" s="1910"/>
      <c r="C13" s="1910"/>
      <c r="D13" s="1067" t="s">
        <v>21</v>
      </c>
      <c r="E13" s="1912"/>
      <c r="F13" s="1906"/>
      <c r="G13" s="1906"/>
      <c r="H13" s="1906"/>
      <c r="I13" s="1906"/>
      <c r="J13" s="1906"/>
      <c r="K13" s="1906"/>
      <c r="L13" s="1906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2" t="s">
        <v>1255</v>
      </c>
      <c r="G28" s="1862"/>
      <c r="H28" s="1862"/>
      <c r="I28" s="1862"/>
      <c r="J28" s="1862"/>
      <c r="K28" s="1862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08" t="s">
        <v>852</v>
      </c>
      <c r="G29" s="1808"/>
      <c r="H29" s="1808"/>
      <c r="I29" s="1808"/>
      <c r="J29" s="1808"/>
      <c r="K29" s="1808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809" t="s">
        <v>1506</v>
      </c>
      <c r="G30" s="1809"/>
      <c r="H30" s="1809"/>
      <c r="I30" s="1809"/>
      <c r="J30" s="1809"/>
      <c r="K30" s="1809"/>
      <c r="L30" s="537"/>
    </row>
    <row r="31" spans="1:12" x14ac:dyDescent="0.25">
      <c r="A31" s="546"/>
      <c r="B31" s="546"/>
      <c r="C31" s="547"/>
      <c r="D31" s="541"/>
      <c r="E31" s="540"/>
      <c r="F31" s="537"/>
      <c r="G31" s="1810"/>
      <c r="H31" s="1810"/>
      <c r="I31" s="1810"/>
      <c r="J31" s="1810"/>
      <c r="K31" s="1810"/>
      <c r="L31" s="1810"/>
    </row>
    <row r="32" spans="1:12" ht="15.75" x14ac:dyDescent="0.25">
      <c r="A32" s="267"/>
      <c r="B32" s="267"/>
      <c r="C32" s="268"/>
      <c r="D32" s="269"/>
      <c r="E32" s="1738"/>
      <c r="F32" s="1738"/>
      <c r="G32" s="1738"/>
      <c r="H32" s="1738"/>
      <c r="I32" s="1738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864" t="s">
        <v>1502</v>
      </c>
      <c r="B14" s="1864"/>
      <c r="C14" s="1864"/>
      <c r="D14" s="1864"/>
      <c r="E14" s="1864"/>
      <c r="F14" s="1864"/>
      <c r="G14" s="1864"/>
      <c r="H14" s="1864"/>
      <c r="I14" s="1864"/>
      <c r="J14" s="1864"/>
      <c r="K14" s="1864"/>
      <c r="L14" s="1864"/>
      <c r="M14" s="1864"/>
    </row>
    <row r="15" spans="1:14" ht="0.75" customHeight="1" x14ac:dyDescent="0.25">
      <c r="A15" s="1864"/>
      <c r="B15" s="1864"/>
      <c r="C15" s="1864"/>
      <c r="D15" s="1864"/>
      <c r="E15" s="1864"/>
      <c r="F15" s="1864"/>
      <c r="G15" s="1864"/>
      <c r="H15" s="1864"/>
      <c r="I15" s="1864"/>
      <c r="J15" s="1864"/>
      <c r="K15" s="1864"/>
      <c r="L15" s="1864"/>
      <c r="M15" s="1864"/>
      <c r="N15" s="1864"/>
    </row>
    <row r="16" spans="1:14" ht="15.75" x14ac:dyDescent="0.25">
      <c r="A16" s="1864" t="s">
        <v>1460</v>
      </c>
      <c r="B16" s="1864"/>
      <c r="C16" s="1864"/>
      <c r="D16" s="1864"/>
      <c r="E16" s="1864"/>
      <c r="F16" s="1864"/>
      <c r="G16" s="1864"/>
      <c r="H16" s="1864"/>
      <c r="I16" s="1864"/>
      <c r="J16" s="1864"/>
      <c r="K16" s="1864"/>
      <c r="L16" s="1864"/>
      <c r="M16" s="1864"/>
    </row>
    <row r="17" spans="1:13" ht="15.75" x14ac:dyDescent="0.25">
      <c r="A17" s="1864" t="s">
        <v>1746</v>
      </c>
      <c r="B17" s="1864"/>
      <c r="C17" s="1864"/>
      <c r="D17" s="1864"/>
      <c r="E17" s="1864"/>
      <c r="F17" s="1864"/>
      <c r="G17" s="1864"/>
      <c r="H17" s="1864"/>
      <c r="I17" s="1864"/>
      <c r="J17" s="1864"/>
      <c r="K17" s="1864"/>
      <c r="L17" s="1864"/>
      <c r="M17" s="1864"/>
    </row>
    <row r="18" spans="1:13" ht="15.75" x14ac:dyDescent="0.25">
      <c r="A18" s="1882" t="s">
        <v>404</v>
      </c>
      <c r="B18" s="1882"/>
      <c r="C18" s="1882"/>
      <c r="D18" s="1882"/>
      <c r="E18" s="1882"/>
      <c r="F18" s="1882"/>
      <c r="G18" s="1882"/>
      <c r="H18" s="1882"/>
      <c r="I18" s="1882"/>
      <c r="J18" s="1882"/>
      <c r="K18" s="1882"/>
      <c r="L18" s="1882"/>
      <c r="M18" s="1882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883" t="s">
        <v>7</v>
      </c>
      <c r="B20" s="1883" t="s">
        <v>802</v>
      </c>
      <c r="C20" s="1883" t="s">
        <v>9</v>
      </c>
      <c r="D20" s="1883" t="s">
        <v>11</v>
      </c>
      <c r="E20" s="1057" t="s">
        <v>12</v>
      </c>
      <c r="F20" s="1885" t="s">
        <v>13</v>
      </c>
      <c r="G20" s="1886" t="s">
        <v>14</v>
      </c>
      <c r="H20" s="1886" t="s">
        <v>15</v>
      </c>
      <c r="I20" s="1896" t="s">
        <v>16</v>
      </c>
      <c r="J20" s="1896" t="s">
        <v>17</v>
      </c>
      <c r="K20" s="1896" t="s">
        <v>18</v>
      </c>
      <c r="L20" s="1896" t="s">
        <v>19</v>
      </c>
      <c r="M20" s="1886" t="s">
        <v>20</v>
      </c>
    </row>
    <row r="21" spans="1:13" ht="15.75" x14ac:dyDescent="0.25">
      <c r="A21" s="1883"/>
      <c r="B21" s="1883"/>
      <c r="C21" s="1883"/>
      <c r="D21" s="1883"/>
      <c r="E21" s="1057" t="s">
        <v>21</v>
      </c>
      <c r="F21" s="1885"/>
      <c r="G21" s="1886"/>
      <c r="H21" s="1886"/>
      <c r="I21" s="1896"/>
      <c r="J21" s="1896"/>
      <c r="K21" s="1896"/>
      <c r="L21" s="1896"/>
      <c r="M21" s="1886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1">SUM(G30:G33)</f>
        <v>219500</v>
      </c>
      <c r="H34" s="966">
        <f>SUM(H30:H33)</f>
        <v>6299.65</v>
      </c>
      <c r="I34" s="966">
        <f t="shared" si="1"/>
        <v>12463.43</v>
      </c>
      <c r="J34" s="963">
        <f t="shared" si="1"/>
        <v>6672.7999999999993</v>
      </c>
      <c r="K34" s="963">
        <f t="shared" si="1"/>
        <v>13585.37</v>
      </c>
      <c r="L34" s="963">
        <f t="shared" si="1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2">SUM(F37:F37)</f>
        <v>0</v>
      </c>
      <c r="G38" s="965">
        <f t="shared" si="2"/>
        <v>43500</v>
      </c>
      <c r="H38" s="1177">
        <f t="shared" si="2"/>
        <v>1248.45</v>
      </c>
      <c r="I38" s="966">
        <f t="shared" si="2"/>
        <v>936.62</v>
      </c>
      <c r="J38" s="963">
        <f t="shared" si="2"/>
        <v>1322.4</v>
      </c>
      <c r="K38" s="963">
        <f t="shared" si="2"/>
        <v>1296.7</v>
      </c>
      <c r="L38" s="963">
        <f t="shared" si="2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3">+H41+I41+J41+K41</f>
        <v>46917.78</v>
      </c>
      <c r="M41" s="953">
        <f t="shared" ref="M41:M46" si="4"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3"/>
        <v>4990.6100000000006</v>
      </c>
      <c r="M42" s="953">
        <f t="shared" si="4"/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3"/>
        <v>3632.4700000000003</v>
      </c>
      <c r="M43" s="953">
        <f t="shared" si="4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3"/>
        <v>3532.4700000000003</v>
      </c>
      <c r="M44" s="953">
        <f t="shared" si="4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3"/>
        <v>3532.4700000000003</v>
      </c>
      <c r="M45" s="953">
        <f t="shared" si="4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3"/>
        <v>5835.18</v>
      </c>
      <c r="M46" s="953">
        <f t="shared" si="4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5">SUM(G41:G46)</f>
        <v>414000</v>
      </c>
      <c r="H47" s="966">
        <f t="shared" si="5"/>
        <v>11881.800000000001</v>
      </c>
      <c r="I47" s="966">
        <f t="shared" si="5"/>
        <v>36861.740000000005</v>
      </c>
      <c r="J47" s="963">
        <f t="shared" si="5"/>
        <v>12585.599999999999</v>
      </c>
      <c r="K47" s="963">
        <f t="shared" si="5"/>
        <v>7111.84</v>
      </c>
      <c r="L47" s="963">
        <f t="shared" si="5"/>
        <v>68440.98000000001</v>
      </c>
      <c r="M47" s="963">
        <f t="shared" si="5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M51" si="6">SUM(H50)</f>
        <v>2152.5</v>
      </c>
      <c r="I51" s="966">
        <f t="shared" si="6"/>
        <v>6309.38</v>
      </c>
      <c r="J51" s="963">
        <f t="shared" si="6"/>
        <v>2280</v>
      </c>
      <c r="K51" s="963">
        <f t="shared" si="6"/>
        <v>25</v>
      </c>
      <c r="L51" s="963">
        <f t="shared" si="6"/>
        <v>10766.880000000001</v>
      </c>
      <c r="M51" s="965">
        <f t="shared" si="6"/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7">SUM(F54:F55)</f>
        <v>0</v>
      </c>
      <c r="G56" s="965">
        <f t="shared" si="7"/>
        <v>73500</v>
      </c>
      <c r="H56" s="966">
        <f t="shared" si="7"/>
        <v>2109.4499999999998</v>
      </c>
      <c r="I56" s="1192">
        <f t="shared" si="7"/>
        <v>936.62</v>
      </c>
      <c r="J56" s="963">
        <f t="shared" si="7"/>
        <v>2234.4</v>
      </c>
      <c r="K56" s="963">
        <f t="shared" si="7"/>
        <v>1765.46</v>
      </c>
      <c r="L56" s="963">
        <f t="shared" si="7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8">SUM(G59:G60)</f>
        <v>78500</v>
      </c>
      <c r="H61" s="1233">
        <f t="shared" si="8"/>
        <v>2252.9499999999998</v>
      </c>
      <c r="I61" s="1233">
        <f t="shared" si="8"/>
        <v>936.62</v>
      </c>
      <c r="J61" s="1233">
        <f t="shared" si="8"/>
        <v>2386.4</v>
      </c>
      <c r="K61" s="1233">
        <f t="shared" si="8"/>
        <v>1321.7</v>
      </c>
      <c r="L61" s="1233">
        <f t="shared" si="8"/>
        <v>6897.67</v>
      </c>
      <c r="M61" s="1233">
        <f t="shared" si="8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>+G66-L66</f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9">SUM(G64:G66)</f>
        <v>118500</v>
      </c>
      <c r="H67" s="963">
        <f t="shared" si="9"/>
        <v>3400.95</v>
      </c>
      <c r="I67" s="963">
        <f t="shared" si="9"/>
        <v>1116.24</v>
      </c>
      <c r="J67" s="963">
        <f t="shared" si="9"/>
        <v>3602.4</v>
      </c>
      <c r="K67" s="963">
        <f t="shared" si="9"/>
        <v>1004.5</v>
      </c>
      <c r="L67" s="963">
        <f t="shared" si="9"/>
        <v>9124.09</v>
      </c>
      <c r="M67" s="963">
        <f t="shared" si="9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0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0"/>
        <v>8114.6</v>
      </c>
      <c r="M72" s="954">
        <f t="shared" ref="M72:M81" si="11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0"/>
        <v>1798</v>
      </c>
      <c r="M75" s="953">
        <f t="shared" si="11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0"/>
        <v>1798</v>
      </c>
      <c r="M76" s="953">
        <f t="shared" si="11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0"/>
        <v>4341.3999999999996</v>
      </c>
      <c r="M77" s="953">
        <f t="shared" si="11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0"/>
        <v>1798</v>
      </c>
      <c r="M78" s="953">
        <f t="shared" si="11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0"/>
        <v>1798</v>
      </c>
      <c r="M79" s="953">
        <f t="shared" si="11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0"/>
        <v>3513.46</v>
      </c>
      <c r="M80" s="953">
        <f t="shared" si="11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0"/>
        <v>1798</v>
      </c>
      <c r="M81" s="953">
        <f t="shared" si="11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>+H82+I82+J82+K82</f>
        <v>1798</v>
      </c>
      <c r="M82" s="953">
        <f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2">SUM(G70:G82)</f>
        <v>417000</v>
      </c>
      <c r="H83" s="963">
        <f t="shared" si="12"/>
        <v>11967.9</v>
      </c>
      <c r="I83" s="963">
        <f t="shared" si="12"/>
        <v>1873.24</v>
      </c>
      <c r="J83" s="963">
        <f t="shared" si="12"/>
        <v>12676.8</v>
      </c>
      <c r="K83" s="963">
        <f>SUM(K70:K82)</f>
        <v>11000.46</v>
      </c>
      <c r="L83" s="963">
        <f t="shared" si="12"/>
        <v>37518.400000000001</v>
      </c>
      <c r="M83" s="963">
        <f t="shared" si="12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3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3"/>
        <v>1602.5</v>
      </c>
      <c r="M87" s="953">
        <f t="shared" ref="M87:M97" si="14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3"/>
        <v>2205.5</v>
      </c>
      <c r="M88" s="953">
        <f t="shared" si="14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3"/>
        <v>2774.2</v>
      </c>
      <c r="M89" s="953">
        <f t="shared" si="14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3"/>
        <v>1502.5</v>
      </c>
      <c r="M90" s="953">
        <f t="shared" si="14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3"/>
        <v>1502.5</v>
      </c>
      <c r="M91" s="953">
        <f t="shared" si="14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3"/>
        <v>1502.5</v>
      </c>
      <c r="M92" s="953">
        <f t="shared" si="14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3"/>
        <v>1502.5</v>
      </c>
      <c r="M93" s="953">
        <f t="shared" si="14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3"/>
        <v>1502.5</v>
      </c>
      <c r="M94" s="953">
        <f t="shared" si="14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4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>+H96+I96+J96+K96</f>
        <v>11286.28</v>
      </c>
      <c r="M96" s="951">
        <f t="shared" si="14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4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 t="shared" ref="G98:M98" si="15">SUM(G86:G97)</f>
        <v>338500</v>
      </c>
      <c r="H98" s="966">
        <f t="shared" si="15"/>
        <v>9714.9500000000007</v>
      </c>
      <c r="I98" s="966">
        <f t="shared" si="15"/>
        <v>936.62</v>
      </c>
      <c r="J98" s="963">
        <f t="shared" si="15"/>
        <v>10290.4</v>
      </c>
      <c r="K98" s="963">
        <f t="shared" si="15"/>
        <v>16896.14</v>
      </c>
      <c r="L98" s="963">
        <f t="shared" si="15"/>
        <v>37838.11</v>
      </c>
      <c r="M98" s="963">
        <f t="shared" si="15"/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 t="shared" ref="E103:M103" si="16">SUM(E101:E102)</f>
        <v>92500</v>
      </c>
      <c r="F103" s="964">
        <f t="shared" si="16"/>
        <v>0</v>
      </c>
      <c r="G103" s="965">
        <f t="shared" si="16"/>
        <v>92500</v>
      </c>
      <c r="H103" s="966">
        <f t="shared" si="16"/>
        <v>2654.75</v>
      </c>
      <c r="I103" s="966">
        <f t="shared" si="16"/>
        <v>2559.6799999999998</v>
      </c>
      <c r="J103" s="963">
        <f t="shared" si="16"/>
        <v>2812</v>
      </c>
      <c r="K103" s="963">
        <f t="shared" si="16"/>
        <v>1765.46</v>
      </c>
      <c r="L103" s="963">
        <f t="shared" si="16"/>
        <v>9791.89</v>
      </c>
      <c r="M103" s="965">
        <f t="shared" si="16"/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17">SUM(G106:G107)</f>
        <v>98500</v>
      </c>
      <c r="H108" s="966">
        <f t="shared" si="17"/>
        <v>2826.95</v>
      </c>
      <c r="I108" s="966">
        <f t="shared" si="17"/>
        <v>3496.2999999999997</v>
      </c>
      <c r="J108" s="963">
        <f t="shared" si="17"/>
        <v>2994.4</v>
      </c>
      <c r="K108" s="963">
        <f t="shared" si="17"/>
        <v>2593.4</v>
      </c>
      <c r="L108" s="963">
        <f t="shared" si="17"/>
        <v>11911.05</v>
      </c>
      <c r="M108" s="963">
        <f t="shared" si="17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M113" si="18">SUM(G111:G112)</f>
        <v>140000</v>
      </c>
      <c r="H113" s="963">
        <f t="shared" si="18"/>
        <v>4018</v>
      </c>
      <c r="I113" s="963">
        <f t="shared" si="18"/>
        <v>10050.77</v>
      </c>
      <c r="J113" s="963">
        <f t="shared" si="18"/>
        <v>4256</v>
      </c>
      <c r="K113" s="963">
        <f t="shared" si="18"/>
        <v>3580.92</v>
      </c>
      <c r="L113" s="963">
        <f t="shared" si="18"/>
        <v>21905.69</v>
      </c>
      <c r="M113" s="963">
        <f t="shared" si="18"/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>SUM(H118:K118)</f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19">SUM(G116:G118)</f>
        <v>167000</v>
      </c>
      <c r="H119" s="963">
        <f t="shared" si="19"/>
        <v>4792.8999999999996</v>
      </c>
      <c r="I119" s="963">
        <f t="shared" si="19"/>
        <v>9274.11</v>
      </c>
      <c r="J119" s="963">
        <f t="shared" si="19"/>
        <v>5076.8</v>
      </c>
      <c r="K119" s="963">
        <f t="shared" si="19"/>
        <v>2184</v>
      </c>
      <c r="L119" s="963">
        <f>SUM(L116:L118)</f>
        <v>21327.81</v>
      </c>
      <c r="M119" s="963">
        <f t="shared" si="19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0">SUM(G122:G122)</f>
        <v>80000</v>
      </c>
      <c r="H123" s="965">
        <f t="shared" si="20"/>
        <v>2296</v>
      </c>
      <c r="I123" s="966">
        <f t="shared" si="20"/>
        <v>6972</v>
      </c>
      <c r="J123" s="963">
        <f t="shared" si="20"/>
        <v>2432</v>
      </c>
      <c r="K123" s="963">
        <f t="shared" si="20"/>
        <v>1740.46</v>
      </c>
      <c r="L123" s="963">
        <f t="shared" si="20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>+G128-L128</f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>+G129-L129</f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>+G130-L130</f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1">SUM(E126:E130)</f>
        <v>351666.67000000004</v>
      </c>
      <c r="F131" s="964">
        <f t="shared" si="21"/>
        <v>0</v>
      </c>
      <c r="G131" s="963">
        <f t="shared" si="21"/>
        <v>351666.67000000004</v>
      </c>
      <c r="H131" s="963">
        <f t="shared" si="21"/>
        <v>10092.83</v>
      </c>
      <c r="I131" s="966">
        <f t="shared" si="21"/>
        <v>40436.980000000003</v>
      </c>
      <c r="J131" s="963">
        <f t="shared" si="21"/>
        <v>10690.67</v>
      </c>
      <c r="K131" s="963">
        <f t="shared" si="21"/>
        <v>1940.46</v>
      </c>
      <c r="L131" s="963">
        <f t="shared" si="21"/>
        <v>63160.94000000001</v>
      </c>
      <c r="M131" s="963">
        <f t="shared" si="21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2">SUM(G134:G134)</f>
        <v>80000</v>
      </c>
      <c r="H135" s="965">
        <f t="shared" si="22"/>
        <v>2296</v>
      </c>
      <c r="I135" s="966">
        <f t="shared" si="22"/>
        <v>6972</v>
      </c>
      <c r="J135" s="963">
        <f t="shared" si="22"/>
        <v>2432</v>
      </c>
      <c r="K135" s="963">
        <f t="shared" si="22"/>
        <v>5884.86</v>
      </c>
      <c r="L135" s="963">
        <f t="shared" si="22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23">SUM(E138:E139)</f>
        <v>105000</v>
      </c>
      <c r="F140" s="964">
        <f t="shared" si="23"/>
        <v>0</v>
      </c>
      <c r="G140" s="963">
        <f t="shared" si="23"/>
        <v>105000</v>
      </c>
      <c r="H140" s="963">
        <f t="shared" si="23"/>
        <v>3013.5</v>
      </c>
      <c r="I140" s="966">
        <f t="shared" si="23"/>
        <v>4413.68</v>
      </c>
      <c r="J140" s="963">
        <f t="shared" si="23"/>
        <v>3192</v>
      </c>
      <c r="K140" s="963">
        <f t="shared" si="23"/>
        <v>3245.74</v>
      </c>
      <c r="L140" s="963">
        <f t="shared" si="23"/>
        <v>13864.92</v>
      </c>
      <c r="M140" s="963">
        <f t="shared" si="23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>+H145+I145+J145+K145</f>
        <v>6538.18</v>
      </c>
      <c r="M145" s="951">
        <f>+G145-L145</f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1">
        <f>+G146-L146</f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24">SUM(G143:G146)</f>
        <v>233500</v>
      </c>
      <c r="H147" s="963">
        <f t="shared" si="24"/>
        <v>6701.45</v>
      </c>
      <c r="I147" s="966">
        <f t="shared" si="24"/>
        <v>13456.85</v>
      </c>
      <c r="J147" s="963">
        <f t="shared" si="24"/>
        <v>7098.4</v>
      </c>
      <c r="K147" s="963">
        <f t="shared" si="24"/>
        <v>1706</v>
      </c>
      <c r="L147" s="963">
        <f t="shared" si="24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>+G152-L152</f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25">SUM(G150:G152)</f>
        <v>290000</v>
      </c>
      <c r="H153" s="965">
        <f t="shared" si="25"/>
        <v>8323</v>
      </c>
      <c r="I153" s="966">
        <f t="shared" si="25"/>
        <v>36513.17</v>
      </c>
      <c r="J153" s="963">
        <f t="shared" si="25"/>
        <v>8816</v>
      </c>
      <c r="K153" s="963">
        <f t="shared" si="25"/>
        <v>5990.1</v>
      </c>
      <c r="L153" s="963">
        <f t="shared" si="2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M158" si="26">SUM(G156:G157)</f>
        <v>123500</v>
      </c>
      <c r="H158" s="966">
        <f t="shared" si="26"/>
        <v>3544.45</v>
      </c>
      <c r="I158" s="966">
        <f t="shared" si="26"/>
        <v>8080.17</v>
      </c>
      <c r="J158" s="963">
        <f t="shared" si="26"/>
        <v>3754.4</v>
      </c>
      <c r="K158" s="963">
        <f t="shared" si="26"/>
        <v>3837.66</v>
      </c>
      <c r="L158" s="963">
        <f t="shared" si="26"/>
        <v>19216.68</v>
      </c>
      <c r="M158" s="963">
        <f t="shared" si="26"/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27">SUM(E161:E161)</f>
        <v>43500</v>
      </c>
      <c r="F162" s="964">
        <f t="shared" si="27"/>
        <v>0</v>
      </c>
      <c r="G162" s="965">
        <f t="shared" si="27"/>
        <v>43500</v>
      </c>
      <c r="H162" s="965">
        <f t="shared" si="27"/>
        <v>1248.45</v>
      </c>
      <c r="I162" s="1196">
        <f>SUM(I161:I161)</f>
        <v>936.62</v>
      </c>
      <c r="J162" s="1091">
        <f t="shared" si="2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>+G166-L166</f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>SUM(F167)</f>
        <v>0</v>
      </c>
      <c r="G168" s="963">
        <f t="shared" ref="G168:M168" si="28">SUM(G165:G167)</f>
        <v>157000</v>
      </c>
      <c r="H168" s="963">
        <f t="shared" si="28"/>
        <v>4505.8999999999996</v>
      </c>
      <c r="I168" s="966">
        <f t="shared" si="28"/>
        <v>7241.7199999999993</v>
      </c>
      <c r="J168" s="963">
        <f t="shared" si="28"/>
        <v>4772.8</v>
      </c>
      <c r="K168" s="963">
        <f t="shared" si="28"/>
        <v>3346.7</v>
      </c>
      <c r="L168" s="963">
        <f t="shared" si="28"/>
        <v>19867.120000000003</v>
      </c>
      <c r="M168" s="963">
        <f t="shared" si="28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M173" si="29">SUM(G171:G172)</f>
        <v>150000</v>
      </c>
      <c r="H173" s="963">
        <f t="shared" si="29"/>
        <v>4305</v>
      </c>
      <c r="I173" s="966">
        <f t="shared" si="29"/>
        <v>12769.349999999999</v>
      </c>
      <c r="J173" s="963">
        <f t="shared" si="29"/>
        <v>4560</v>
      </c>
      <c r="K173" s="963">
        <f t="shared" si="29"/>
        <v>1556</v>
      </c>
      <c r="L173" s="963">
        <f t="shared" si="29"/>
        <v>23190.35</v>
      </c>
      <c r="M173" s="963">
        <f t="shared" si="29"/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30">SUM(F176:F177)</f>
        <v>0</v>
      </c>
      <c r="G178" s="965">
        <f>SUM(G176:G177)</f>
        <v>123500</v>
      </c>
      <c r="H178" s="965">
        <f t="shared" si="30"/>
        <v>3544.45</v>
      </c>
      <c r="I178" s="966">
        <f>SUM(I176:I177)</f>
        <v>8337.49</v>
      </c>
      <c r="J178" s="963">
        <f t="shared" si="30"/>
        <v>3754.4</v>
      </c>
      <c r="K178" s="963">
        <f t="shared" si="30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31">+H181+I181+J181+K181</f>
        <v>3532.4700000000003</v>
      </c>
      <c r="M181" s="951">
        <f t="shared" ref="M181:M186" si="32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31"/>
        <v>3532.4700000000003</v>
      </c>
      <c r="M182" s="951">
        <f t="shared" si="32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31"/>
        <v>3532.4700000000003</v>
      </c>
      <c r="M183" s="951">
        <f t="shared" si="32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31"/>
        <v>7854.75</v>
      </c>
      <c r="M184" s="951">
        <f t="shared" si="32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31"/>
        <v>3532.4700000000003</v>
      </c>
      <c r="M185" s="951">
        <f t="shared" si="32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31"/>
        <v>3532.4700000000003</v>
      </c>
      <c r="M186" s="951">
        <f t="shared" si="32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33">SUM(G181:G186)</f>
        <v>261000</v>
      </c>
      <c r="H187" s="963">
        <f t="shared" si="33"/>
        <v>7490.7</v>
      </c>
      <c r="I187" s="966">
        <f>SUM(I181:I186)</f>
        <v>5105.08</v>
      </c>
      <c r="J187" s="963">
        <f t="shared" si="33"/>
        <v>7934.4</v>
      </c>
      <c r="K187" s="963">
        <f t="shared" si="33"/>
        <v>4986.92</v>
      </c>
      <c r="L187" s="963">
        <f t="shared" si="33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34">SUM(G190:G193)</f>
        <v>174000</v>
      </c>
      <c r="H194" s="963">
        <f t="shared" si="34"/>
        <v>4993.8</v>
      </c>
      <c r="I194" s="966">
        <f t="shared" si="34"/>
        <v>3746.48</v>
      </c>
      <c r="J194" s="963">
        <f t="shared" si="34"/>
        <v>5289.6</v>
      </c>
      <c r="K194" s="963">
        <f t="shared" si="34"/>
        <v>100</v>
      </c>
      <c r="L194" s="963">
        <f t="shared" si="34"/>
        <v>14129.880000000001</v>
      </c>
      <c r="M194" s="963">
        <f t="shared" si="34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35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35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35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35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35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35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35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36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6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36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6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36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36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37">SUM(G198:G211)</f>
        <v>745500</v>
      </c>
      <c r="H212" s="963">
        <f t="shared" si="37"/>
        <v>21395.850000000002</v>
      </c>
      <c r="I212" s="963">
        <f t="shared" si="37"/>
        <v>46946.140000000007</v>
      </c>
      <c r="J212" s="963">
        <f t="shared" si="37"/>
        <v>22663.200000000001</v>
      </c>
      <c r="K212" s="963">
        <f t="shared" si="37"/>
        <v>7568.58</v>
      </c>
      <c r="L212" s="963">
        <f t="shared" si="37"/>
        <v>98573.77</v>
      </c>
      <c r="M212" s="963">
        <f t="shared" si="37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38">SUM(H215:H223)</f>
        <v>12613.65</v>
      </c>
      <c r="I224" s="963">
        <f t="shared" si="38"/>
        <v>25337.01</v>
      </c>
      <c r="J224" s="963">
        <f t="shared" si="38"/>
        <v>13360.8</v>
      </c>
      <c r="K224" s="963">
        <f t="shared" si="38"/>
        <v>6467.92</v>
      </c>
      <c r="L224" s="963">
        <f t="shared" si="38"/>
        <v>57779.38</v>
      </c>
      <c r="M224" s="963">
        <f t="shared" si="38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39">SUM(G227:G233)</f>
        <v>239500</v>
      </c>
      <c r="H234" s="963">
        <f t="shared" si="39"/>
        <v>6873.65</v>
      </c>
      <c r="I234" s="963">
        <f t="shared" si="39"/>
        <v>1963.0500000000002</v>
      </c>
      <c r="J234" s="963">
        <f t="shared" si="39"/>
        <v>7280.8</v>
      </c>
      <c r="K234" s="963">
        <f t="shared" si="39"/>
        <v>175</v>
      </c>
      <c r="L234" s="963">
        <f t="shared" si="39"/>
        <v>16292.5</v>
      </c>
      <c r="M234" s="963">
        <f t="shared" si="39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40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40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40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40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40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40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41">SUM(F237:F242)</f>
        <v>0</v>
      </c>
      <c r="G243" s="963">
        <f t="shared" si="41"/>
        <v>203500</v>
      </c>
      <c r="H243" s="963">
        <f t="shared" si="41"/>
        <v>5840.45</v>
      </c>
      <c r="I243" s="963">
        <f t="shared" si="41"/>
        <v>1116.24</v>
      </c>
      <c r="J243" s="963">
        <f t="shared" si="41"/>
        <v>6186.4</v>
      </c>
      <c r="K243" s="963">
        <f t="shared" si="41"/>
        <v>150</v>
      </c>
      <c r="L243" s="963">
        <f t="shared" si="41"/>
        <v>13293.09</v>
      </c>
      <c r="M243" s="963">
        <f t="shared" si="41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42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42"/>
        <v>49491.200000000004</v>
      </c>
      <c r="K244" s="963">
        <f t="shared" si="42"/>
        <v>14361.5</v>
      </c>
      <c r="L244" s="963">
        <f t="shared" si="42"/>
        <v>185938.74</v>
      </c>
      <c r="M244" s="963">
        <f t="shared" si="42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43">+G27+G34+G38+G47+G51+G56+G61+G67+G83+G98+G103+G108+G113+G119+G123+G131+G135+G140+G147+G153+G158+G162+G168+G173+G178+G187+G194+G244</f>
        <v>6736666.6699999999</v>
      </c>
      <c r="H246" s="1076">
        <f t="shared" si="43"/>
        <v>193342.33</v>
      </c>
      <c r="I246" s="1076">
        <f t="shared" si="43"/>
        <v>427936.66999999987</v>
      </c>
      <c r="J246" s="1076">
        <f t="shared" si="43"/>
        <v>203479.80999999997</v>
      </c>
      <c r="K246" s="1076">
        <f t="shared" si="43"/>
        <v>130828.95000000003</v>
      </c>
      <c r="L246" s="1076">
        <f t="shared" si="43"/>
        <v>955587.76</v>
      </c>
      <c r="M246" s="1076">
        <f t="shared" si="43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884" t="s">
        <v>1271</v>
      </c>
      <c r="B265" s="1884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863" t="s">
        <v>1504</v>
      </c>
      <c r="J266" s="1863"/>
      <c r="K266" s="1863"/>
      <c r="L266" s="1863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A14:M14"/>
    <mergeCell ref="A15:N15"/>
    <mergeCell ref="A16:M16"/>
    <mergeCell ref="A17:M17"/>
    <mergeCell ref="A18:M18"/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617" t="s">
        <v>1502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2:16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2:16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2:16" x14ac:dyDescent="0.25">
      <c r="B8" s="1617" t="s">
        <v>1748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  <c r="P8" s="1617"/>
    </row>
    <row r="9" spans="2:16" x14ac:dyDescent="0.25">
      <c r="B9" s="1618" t="s">
        <v>441</v>
      </c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  <c r="P9" s="1618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919" t="s">
        <v>7</v>
      </c>
      <c r="C11" s="1917" t="s">
        <v>937</v>
      </c>
      <c r="D11" s="1921" t="s">
        <v>10</v>
      </c>
      <c r="E11" s="1917" t="s">
        <v>832</v>
      </c>
      <c r="F11" s="1917" t="s">
        <v>834</v>
      </c>
      <c r="G11" s="1917" t="s">
        <v>209</v>
      </c>
      <c r="H11" s="1276" t="s">
        <v>12</v>
      </c>
      <c r="I11" s="1918" t="s">
        <v>13</v>
      </c>
      <c r="J11" s="1914" t="s">
        <v>14</v>
      </c>
      <c r="K11" s="1914" t="s">
        <v>15</v>
      </c>
      <c r="L11" s="1914" t="s">
        <v>16</v>
      </c>
      <c r="M11" s="1913" t="s">
        <v>17</v>
      </c>
      <c r="N11" s="1913" t="s">
        <v>18</v>
      </c>
      <c r="O11" s="1914" t="s">
        <v>19</v>
      </c>
      <c r="P11" s="1915" t="s">
        <v>20</v>
      </c>
    </row>
    <row r="12" spans="2:16" x14ac:dyDescent="0.25">
      <c r="B12" s="1920"/>
      <c r="C12" s="1615"/>
      <c r="D12" s="1616"/>
      <c r="E12" s="1615"/>
      <c r="F12" s="1615"/>
      <c r="G12" s="1615"/>
      <c r="H12" s="1051" t="s">
        <v>21</v>
      </c>
      <c r="I12" s="1619"/>
      <c r="J12" s="1620"/>
      <c r="K12" s="1620"/>
      <c r="L12" s="1620"/>
      <c r="M12" s="1621"/>
      <c r="N12" s="1621"/>
      <c r="O12" s="1620"/>
      <c r="P12" s="1916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>SUM(I49)</f>
        <v>0</v>
      </c>
      <c r="J50" s="695">
        <f t="shared" ref="J50:P50" si="5">SUM(J48:J49)</f>
        <v>175000</v>
      </c>
      <c r="K50" s="695">
        <f t="shared" si="5"/>
        <v>5022.5</v>
      </c>
      <c r="L50" s="695">
        <f t="shared" si="5"/>
        <v>19120.419999999998</v>
      </c>
      <c r="M50" s="1145">
        <f t="shared" si="5"/>
        <v>5320</v>
      </c>
      <c r="N50" s="695">
        <f>SUM(N48:N49)</f>
        <v>2159</v>
      </c>
      <c r="O50" s="695">
        <f t="shared" si="5"/>
        <v>31621.919999999998</v>
      </c>
      <c r="P50" s="1288">
        <f t="shared" si="5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6">SUM(J53)</f>
        <v>95000</v>
      </c>
      <c r="K54" s="697">
        <f t="shared" si="6"/>
        <v>2726.5</v>
      </c>
      <c r="L54" s="697">
        <f t="shared" si="6"/>
        <v>10929.24</v>
      </c>
      <c r="M54" s="1145">
        <f t="shared" si="6"/>
        <v>2888</v>
      </c>
      <c r="N54" s="697">
        <f>SUM(N53)</f>
        <v>18566.330000000002</v>
      </c>
      <c r="O54" s="697">
        <f t="shared" si="6"/>
        <v>35110.07</v>
      </c>
      <c r="P54" s="1300">
        <f t="shared" si="6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>SUM(I59)</f>
        <v>0</v>
      </c>
      <c r="J60" s="697">
        <f t="shared" ref="J60:P60" si="7">SUM(J57:J59)</f>
        <v>225000</v>
      </c>
      <c r="K60" s="697">
        <f>SUM(K57:K59)</f>
        <v>6457.5</v>
      </c>
      <c r="L60" s="697">
        <f t="shared" si="7"/>
        <v>21223.55</v>
      </c>
      <c r="M60" s="1145">
        <f t="shared" si="7"/>
        <v>6840</v>
      </c>
      <c r="N60" s="697">
        <f>SUM(N57:N59)</f>
        <v>2618.4</v>
      </c>
      <c r="O60" s="697">
        <f t="shared" si="7"/>
        <v>37139.449999999997</v>
      </c>
      <c r="P60" s="1300">
        <f t="shared" si="7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8">+K63+L63+M63+N63</f>
        <v>25398.49</v>
      </c>
      <c r="P63" s="1302">
        <f t="shared" ref="P63:P68" si="9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8"/>
        <v>25398.49</v>
      </c>
      <c r="P64" s="1302">
        <f t="shared" si="9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8"/>
        <v>25398.49</v>
      </c>
      <c r="P65" s="1302">
        <f t="shared" si="9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8"/>
        <v>25398.49</v>
      </c>
      <c r="P66" s="1302">
        <f t="shared" si="9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8"/>
        <v>25398.49</v>
      </c>
      <c r="P67" s="1296">
        <f t="shared" si="9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8"/>
        <v>29628.34</v>
      </c>
      <c r="P68" s="1296">
        <f t="shared" si="9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0">SUM(J63:J69)</f>
        <v>885000</v>
      </c>
      <c r="K70" s="697">
        <f t="shared" si="10"/>
        <v>25399.5</v>
      </c>
      <c r="L70" s="697">
        <f t="shared" si="10"/>
        <v>127825.32000000002</v>
      </c>
      <c r="M70" s="1145">
        <f t="shared" si="10"/>
        <v>26904</v>
      </c>
      <c r="N70" s="697">
        <f t="shared" si="10"/>
        <v>1890.46</v>
      </c>
      <c r="O70" s="697">
        <f t="shared" si="10"/>
        <v>182019.28</v>
      </c>
      <c r="P70" s="1300">
        <f t="shared" si="10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1">SUM(J73:J76)</f>
        <v>360000</v>
      </c>
      <c r="K77" s="695">
        <f t="shared" si="11"/>
        <v>10332</v>
      </c>
      <c r="L77" s="695">
        <f t="shared" si="11"/>
        <v>39972.06</v>
      </c>
      <c r="M77" s="1145">
        <f t="shared" si="11"/>
        <v>10944</v>
      </c>
      <c r="N77" s="695">
        <f>SUM(N73:N76)</f>
        <v>2643.4</v>
      </c>
      <c r="O77" s="695">
        <f>SUM(O73:O76)</f>
        <v>63891.459999999992</v>
      </c>
      <c r="P77" s="1288">
        <f t="shared" si="11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2">SUM(I80)</f>
        <v>0</v>
      </c>
      <c r="J81" s="695">
        <f t="shared" si="12"/>
        <v>185000</v>
      </c>
      <c r="K81" s="695">
        <f t="shared" si="12"/>
        <v>5309.5</v>
      </c>
      <c r="L81" s="695">
        <f t="shared" si="12"/>
        <v>32099.49</v>
      </c>
      <c r="M81" s="1145">
        <f t="shared" si="12"/>
        <v>5624</v>
      </c>
      <c r="N81" s="695">
        <f>SUM(N80)</f>
        <v>5010.4799999999996</v>
      </c>
      <c r="O81" s="695">
        <f t="shared" si="12"/>
        <v>48043.47</v>
      </c>
      <c r="P81" s="1288">
        <f t="shared" si="12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>SUM(I85)</f>
        <v>0</v>
      </c>
      <c r="J86" s="695">
        <f t="shared" ref="J86:P86" si="13">SUM(J84:J85)</f>
        <v>130000</v>
      </c>
      <c r="K86" s="695">
        <f t="shared" si="13"/>
        <v>3731</v>
      </c>
      <c r="L86" s="695">
        <f t="shared" si="13"/>
        <v>8512.06</v>
      </c>
      <c r="M86" s="1145">
        <f t="shared" si="13"/>
        <v>3952</v>
      </c>
      <c r="N86" s="695">
        <f>SUM(N84:N85)</f>
        <v>1765.46</v>
      </c>
      <c r="O86" s="695">
        <f t="shared" si="13"/>
        <v>17960.519999999997</v>
      </c>
      <c r="P86" s="1288">
        <f t="shared" si="13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4">+K93+L93+M93+N93</f>
        <v>25198.57</v>
      </c>
      <c r="P93" s="1293">
        <f t="shared" ref="P93:P99" si="15"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4"/>
        <v>9530.48</v>
      </c>
      <c r="P94" s="1280">
        <f t="shared" si="15"/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4"/>
        <v>9530.48</v>
      </c>
      <c r="P95" s="1280">
        <f t="shared" si="15"/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4"/>
        <v>9530.48</v>
      </c>
      <c r="P96" s="1280">
        <f t="shared" si="15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4"/>
        <v>9530.48</v>
      </c>
      <c r="P97" s="1280">
        <f t="shared" si="15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4"/>
        <v>10902.84</v>
      </c>
      <c r="P98" s="1280">
        <f t="shared" si="15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4"/>
        <v>5835.18</v>
      </c>
      <c r="P99" s="1280">
        <f t="shared" si="15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>SUM(I99)</f>
        <v>0</v>
      </c>
      <c r="J100" s="695">
        <f>SUM(J93:J99)</f>
        <v>525000</v>
      </c>
      <c r="K100" s="695">
        <f t="shared" ref="K100:P100" si="16">SUM(K93:K99)</f>
        <v>15067.5</v>
      </c>
      <c r="L100" s="695">
        <f t="shared" si="16"/>
        <v>45868.849999999991</v>
      </c>
      <c r="M100" s="695">
        <f t="shared" si="16"/>
        <v>15960</v>
      </c>
      <c r="N100" s="695">
        <f t="shared" si="16"/>
        <v>3162.16</v>
      </c>
      <c r="O100" s="695">
        <f t="shared" si="16"/>
        <v>80058.50999999998</v>
      </c>
      <c r="P100" s="1288">
        <f t="shared" si="16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17">SUM(J103:J104)</f>
        <v>190000</v>
      </c>
      <c r="K105" s="695">
        <f t="shared" si="17"/>
        <v>5453</v>
      </c>
      <c r="L105" s="695">
        <f t="shared" si="17"/>
        <v>22178.35</v>
      </c>
      <c r="M105" s="695">
        <f t="shared" si="17"/>
        <v>5776</v>
      </c>
      <c r="N105" s="695">
        <f>SUM(N103:N104)</f>
        <v>4694.3999999999996</v>
      </c>
      <c r="O105" s="695">
        <f t="shared" si="17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18">SUM(J107:J108)</f>
        <v>120000</v>
      </c>
      <c r="K109" s="695">
        <f t="shared" si="18"/>
        <v>3444</v>
      </c>
      <c r="L109" s="695">
        <f t="shared" si="18"/>
        <v>16809.87</v>
      </c>
      <c r="M109" s="695">
        <f t="shared" si="18"/>
        <v>3648</v>
      </c>
      <c r="N109" s="695">
        <f>SUM(N107:N108)</f>
        <v>2568.4</v>
      </c>
      <c r="O109" s="695">
        <f t="shared" si="18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ref="O113:O121" si="19"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 t="shared" si="19"/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si="19"/>
        <v>10902.84</v>
      </c>
      <c r="P115" s="1280">
        <f t="shared" ref="P115:P121" si="20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9"/>
        <v>9530.48</v>
      </c>
      <c r="P116" s="1280">
        <f t="shared" si="20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9"/>
        <v>9530.48</v>
      </c>
      <c r="P117" s="1280">
        <f t="shared" si="20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19"/>
        <v>9530.48</v>
      </c>
      <c r="P118" s="1280">
        <f t="shared" si="20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9"/>
        <v>9530.48</v>
      </c>
      <c r="P119" s="1280">
        <f t="shared" si="20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 t="shared" si="19"/>
        <v>25398.49</v>
      </c>
      <c r="P120" s="1280">
        <f t="shared" si="20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si="19"/>
        <v>7293.3200000000006</v>
      </c>
      <c r="P121" s="1280">
        <f t="shared" si="20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1">SUM(I113:I121)</f>
        <v>0</v>
      </c>
      <c r="J122" s="695">
        <f t="shared" si="21"/>
        <v>670000</v>
      </c>
      <c r="K122" s="695">
        <f t="shared" si="21"/>
        <v>19229</v>
      </c>
      <c r="L122" s="695">
        <f t="shared" si="21"/>
        <v>56838.42</v>
      </c>
      <c r="M122" s="695">
        <f t="shared" si="21"/>
        <v>20368</v>
      </c>
      <c r="N122" s="695">
        <f t="shared" si="21"/>
        <v>7086.84</v>
      </c>
      <c r="O122" s="695">
        <f t="shared" si="21"/>
        <v>103522.26000000001</v>
      </c>
      <c r="P122" s="1288">
        <f t="shared" si="21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2">+K125+L125+M125+N125</f>
        <v>9530.48</v>
      </c>
      <c r="P125" s="1306">
        <f t="shared" ref="P125:P132" si="23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2"/>
        <v>9530.48</v>
      </c>
      <c r="P126" s="1306">
        <f t="shared" si="23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2"/>
        <v>9530.48</v>
      </c>
      <c r="P127" s="1306">
        <f t="shared" si="23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2"/>
        <v>3532.4700000000003</v>
      </c>
      <c r="P128" s="1306">
        <f t="shared" si="23"/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2"/>
        <v>9530.48</v>
      </c>
      <c r="P129" s="1306">
        <f t="shared" si="23"/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2"/>
        <v>10902.84</v>
      </c>
      <c r="P130" s="1306">
        <f t="shared" si="23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2"/>
        <v>9530.48</v>
      </c>
      <c r="P131" s="1306">
        <f t="shared" si="23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2"/>
        <v>1502.5</v>
      </c>
      <c r="P132" s="1306">
        <f t="shared" si="23"/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24">SUM(I125:I132)</f>
        <v>0</v>
      </c>
      <c r="J133" s="695">
        <f t="shared" si="24"/>
        <v>488500</v>
      </c>
      <c r="K133" s="695">
        <f t="shared" si="24"/>
        <v>14019.95</v>
      </c>
      <c r="L133" s="695">
        <f t="shared" si="24"/>
        <v>32804.399999999994</v>
      </c>
      <c r="M133" s="695">
        <f t="shared" si="24"/>
        <v>14850.4</v>
      </c>
      <c r="N133" s="695">
        <f t="shared" si="24"/>
        <v>1915.46</v>
      </c>
      <c r="O133" s="695">
        <f t="shared" si="24"/>
        <v>63590.209999999992</v>
      </c>
      <c r="P133" s="1288">
        <f t="shared" si="24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25">+K137+L137+M137+N137</f>
        <v>9530.48</v>
      </c>
      <c r="P137" s="1280">
        <f t="shared" ref="P137:P142" si="26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5"/>
        <v>9530.48</v>
      </c>
      <c r="P138" s="1280">
        <f t="shared" si="26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5"/>
        <v>9530.48</v>
      </c>
      <c r="P139" s="1280">
        <f t="shared" si="26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5"/>
        <v>9530.48</v>
      </c>
      <c r="P140" s="1280">
        <f t="shared" si="26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5"/>
        <v>9530.48</v>
      </c>
      <c r="P141" s="1280">
        <f t="shared" si="26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5"/>
        <v>9530.48</v>
      </c>
      <c r="P142" s="1280">
        <f t="shared" si="26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27">SUM(I136:I144)</f>
        <v>0</v>
      </c>
      <c r="J145" s="695">
        <f t="shared" si="27"/>
        <v>638500</v>
      </c>
      <c r="K145" s="695">
        <f t="shared" si="27"/>
        <v>18324.95</v>
      </c>
      <c r="L145" s="695">
        <f t="shared" si="27"/>
        <v>52088.179999999993</v>
      </c>
      <c r="M145" s="695">
        <f t="shared" si="27"/>
        <v>19410.400000000001</v>
      </c>
      <c r="N145" s="695">
        <f t="shared" si="27"/>
        <v>1940.46</v>
      </c>
      <c r="O145" s="695">
        <f t="shared" si="27"/>
        <v>91763.989999999991</v>
      </c>
      <c r="P145" s="1288">
        <f t="shared" si="27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28">+K148+L148+M148+N148</f>
        <v>23926.87</v>
      </c>
      <c r="P148" s="1280">
        <f t="shared" ref="P148:P154" si="29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28"/>
        <v>10902.84</v>
      </c>
      <c r="P149" s="1280">
        <f t="shared" si="29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28"/>
        <v>12275.210000000001</v>
      </c>
      <c r="P150" s="1280">
        <f t="shared" si="29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8"/>
        <v>9530.48</v>
      </c>
      <c r="P151" s="1280">
        <f t="shared" si="29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28"/>
        <v>10902.84</v>
      </c>
      <c r="P152" s="1280">
        <f t="shared" si="29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1280">
        <f t="shared" si="29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1280">
        <f t="shared" si="29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0">SUM(I148:I155)</f>
        <v>0</v>
      </c>
      <c r="J156" s="695">
        <f t="shared" si="30"/>
        <v>583500</v>
      </c>
      <c r="K156" s="695">
        <f t="shared" si="30"/>
        <v>16746.45</v>
      </c>
      <c r="L156" s="695">
        <f t="shared" si="30"/>
        <v>48584.98</v>
      </c>
      <c r="M156" s="695">
        <f t="shared" si="30"/>
        <v>17738.400000000001</v>
      </c>
      <c r="N156" s="695">
        <f t="shared" si="30"/>
        <v>7061.84</v>
      </c>
      <c r="O156" s="695">
        <f t="shared" si="30"/>
        <v>90131.669999999984</v>
      </c>
      <c r="P156" s="1288">
        <f t="shared" si="30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1">+I156+I145+I133+I122</f>
        <v>0</v>
      </c>
      <c r="J157" s="695">
        <f t="shared" si="31"/>
        <v>2380500</v>
      </c>
      <c r="K157" s="695">
        <f t="shared" si="31"/>
        <v>68320.350000000006</v>
      </c>
      <c r="L157" s="695">
        <f t="shared" si="31"/>
        <v>190315.97999999998</v>
      </c>
      <c r="M157" s="695">
        <f t="shared" si="31"/>
        <v>72367.200000000012</v>
      </c>
      <c r="N157" s="695">
        <f t="shared" si="31"/>
        <v>18004.599999999999</v>
      </c>
      <c r="O157" s="695">
        <f t="shared" si="31"/>
        <v>349008.13</v>
      </c>
      <c r="P157" s="1288">
        <f t="shared" si="31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2">+K16+K20+K25+K29+K33+K37+K45+K50+K54+K60+K70+K77+K81+K86+K90+K100+K105+K157+K42+K109</f>
        <v>182115.85</v>
      </c>
      <c r="L159" s="1310">
        <f t="shared" si="32"/>
        <v>666275.98999999987</v>
      </c>
      <c r="M159" s="1310">
        <f t="shared" si="32"/>
        <v>192903.2</v>
      </c>
      <c r="N159" s="1310">
        <f t="shared" si="32"/>
        <v>100594.38</v>
      </c>
      <c r="O159" s="1310">
        <f t="shared" si="32"/>
        <v>1141889.42</v>
      </c>
      <c r="P159" s="1311">
        <f t="shared" si="32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622" t="s">
        <v>1375</v>
      </c>
      <c r="K179" s="1622"/>
      <c r="L179" s="1622"/>
      <c r="M179" s="1622"/>
      <c r="N179" s="1622"/>
      <c r="O179" s="1622"/>
      <c r="P179" s="1622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623" t="s">
        <v>1554</v>
      </c>
      <c r="K180" s="1623"/>
      <c r="L180" s="1623"/>
      <c r="M180" s="1623"/>
      <c r="N180" s="1623"/>
      <c r="O180" s="1623"/>
      <c r="P180" s="1623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79:P179"/>
    <mergeCell ref="J180:P18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4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4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4" x14ac:dyDescent="0.25">
      <c r="B8" s="1881" t="s">
        <v>1756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4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899" t="s">
        <v>7</v>
      </c>
      <c r="C11" s="1899" t="s">
        <v>802</v>
      </c>
      <c r="D11" s="1901" t="s">
        <v>9</v>
      </c>
      <c r="E11" s="1046" t="s">
        <v>12</v>
      </c>
      <c r="F11" s="1903" t="s">
        <v>13</v>
      </c>
      <c r="G11" s="1897" t="s">
        <v>14</v>
      </c>
      <c r="H11" s="1897" t="s">
        <v>15</v>
      </c>
      <c r="I11" s="1897" t="s">
        <v>16</v>
      </c>
      <c r="J11" s="1897" t="s">
        <v>17</v>
      </c>
      <c r="K11" s="1897" t="s">
        <v>18</v>
      </c>
      <c r="L11" s="1897" t="s">
        <v>19</v>
      </c>
      <c r="M11" s="1897" t="s">
        <v>20</v>
      </c>
    </row>
    <row r="12" spans="2:14" ht="16.5" customHeight="1" x14ac:dyDescent="0.25">
      <c r="B12" s="1900"/>
      <c r="C12" s="1900"/>
      <c r="D12" s="1902"/>
      <c r="E12" s="1046" t="s">
        <v>21</v>
      </c>
      <c r="F12" s="1904"/>
      <c r="G12" s="1898"/>
      <c r="H12" s="1898"/>
      <c r="I12" s="1898"/>
      <c r="J12" s="1898"/>
      <c r="K12" s="1898"/>
      <c r="L12" s="1898"/>
      <c r="M12" s="1898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>+E37</f>
        <v>11500</v>
      </c>
      <c r="F38" s="937">
        <v>0</v>
      </c>
      <c r="G38" s="905">
        <f>+G37</f>
        <v>11500</v>
      </c>
      <c r="H38" s="905">
        <f>+H37</f>
        <v>330.05</v>
      </c>
      <c r="I38" s="905">
        <f>+I37</f>
        <v>1623.06</v>
      </c>
      <c r="J38" s="905">
        <f>+J37</f>
        <v>349.6</v>
      </c>
      <c r="K38" s="937">
        <v>0</v>
      </c>
      <c r="L38" s="905">
        <f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>+G45</f>
        <v>11500</v>
      </c>
      <c r="H46" s="905">
        <f>+H45</f>
        <v>330.05</v>
      </c>
      <c r="I46" s="905">
        <f>+I45</f>
        <v>1623.06</v>
      </c>
      <c r="J46" s="905">
        <f>+J45</f>
        <v>349.6</v>
      </c>
      <c r="K46" s="937">
        <v>0</v>
      </c>
      <c r="L46" s="905">
        <f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1">+H46+H42+H38++H32++H23+H27+H19+H15</f>
        <v>5108.6000000000004</v>
      </c>
      <c r="I49" s="1140">
        <f t="shared" si="1"/>
        <v>29818.880000000005</v>
      </c>
      <c r="J49" s="1140">
        <f t="shared" si="1"/>
        <v>5411.2000000000007</v>
      </c>
      <c r="K49" s="1045">
        <v>0</v>
      </c>
      <c r="L49" s="1140">
        <f t="shared" si="1"/>
        <v>40338.68</v>
      </c>
      <c r="M49" s="1140">
        <f t="shared" si="1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877" t="s">
        <v>1372</v>
      </c>
      <c r="H67" s="1877"/>
      <c r="I67" s="1877"/>
      <c r="J67" s="1877"/>
      <c r="K67" s="1877"/>
      <c r="L67" s="1877"/>
    </row>
    <row r="68" spans="2:13" x14ac:dyDescent="0.25">
      <c r="B68" s="1083" t="s">
        <v>1238</v>
      </c>
      <c r="C68" s="1083"/>
      <c r="D68" s="921"/>
      <c r="E68" s="915"/>
      <c r="F68" s="915"/>
      <c r="G68" s="1875" t="s">
        <v>1222</v>
      </c>
      <c r="H68" s="1875"/>
      <c r="I68" s="1875"/>
      <c r="J68" s="1875"/>
      <c r="K68" s="1875"/>
      <c r="L68" s="1875"/>
    </row>
    <row r="69" spans="2:13" x14ac:dyDescent="0.25">
      <c r="B69" s="916" t="s">
        <v>1239</v>
      </c>
      <c r="C69" s="916"/>
      <c r="D69" s="915"/>
      <c r="E69" s="915"/>
      <c r="F69" s="923"/>
      <c r="G69" s="1874" t="s">
        <v>1224</v>
      </c>
      <c r="H69" s="1874"/>
      <c r="I69" s="1874"/>
      <c r="J69" s="1874"/>
      <c r="K69" s="1874"/>
      <c r="L69" s="1874"/>
    </row>
    <row r="73" spans="2:13" ht="30" customHeight="1" x14ac:dyDescent="0.25"/>
    <row r="77" spans="2:13" x14ac:dyDescent="0.25">
      <c r="E77" s="924"/>
      <c r="F77" s="923"/>
      <c r="G77" s="915"/>
      <c r="H77" s="1879"/>
      <c r="I77" s="1879"/>
      <c r="J77" s="1879"/>
      <c r="K77" s="1879"/>
      <c r="L77" s="1879"/>
      <c r="M77" s="1879"/>
    </row>
    <row r="78" spans="2:13" x14ac:dyDescent="0.25">
      <c r="E78" s="925"/>
      <c r="F78" s="1872"/>
      <c r="G78" s="1872"/>
      <c r="H78" s="1872"/>
      <c r="I78" s="1872"/>
      <c r="J78" s="1872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7:L67"/>
    <mergeCell ref="G68:L68"/>
    <mergeCell ref="G69:L69"/>
    <mergeCell ref="H77:M77"/>
    <mergeCell ref="F78:J78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1757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862" t="s">
        <v>1250</v>
      </c>
      <c r="H55" s="1862"/>
      <c r="I55" s="1862"/>
      <c r="J55" s="1862"/>
      <c r="K55" s="1862"/>
      <c r="L55" s="1862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808" t="s">
        <v>852</v>
      </c>
      <c r="H56" s="1808"/>
      <c r="I56" s="1808"/>
      <c r="J56" s="1808"/>
      <c r="K56" s="1808"/>
      <c r="L56" s="1808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809" t="s">
        <v>1506</v>
      </c>
      <c r="H57" s="1809"/>
      <c r="I57" s="1809"/>
      <c r="J57" s="1809"/>
      <c r="K57" s="1809"/>
      <c r="L57" s="1809"/>
      <c r="M57" s="537"/>
    </row>
    <row r="58" spans="2:13" x14ac:dyDescent="0.25">
      <c r="B58" s="546"/>
      <c r="C58" s="546"/>
      <c r="D58" s="547"/>
      <c r="E58" s="541"/>
      <c r="F58" s="540"/>
      <c r="G58" s="537"/>
      <c r="H58" s="1810"/>
      <c r="I58" s="1810"/>
      <c r="J58" s="1810"/>
      <c r="K58" s="1810"/>
      <c r="L58" s="1810"/>
      <c r="M58" s="1810"/>
    </row>
    <row r="59" spans="2:13" x14ac:dyDescent="0.25">
      <c r="B59" s="531"/>
      <c r="C59" s="531"/>
      <c r="D59" s="259"/>
      <c r="E59" s="1174"/>
      <c r="F59" s="1734"/>
      <c r="G59" s="1734"/>
      <c r="H59" s="1734"/>
      <c r="I59" s="1734"/>
      <c r="J59" s="1734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5:L55"/>
    <mergeCell ref="G56:L56"/>
    <mergeCell ref="G57:L57"/>
    <mergeCell ref="H58:M58"/>
    <mergeCell ref="F59:J59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617" t="s">
        <v>0</v>
      </c>
      <c r="B6" s="1617"/>
      <c r="C6" s="1617"/>
      <c r="D6" s="1617"/>
      <c r="E6" s="1617"/>
      <c r="F6" s="1617"/>
      <c r="G6" s="1617"/>
      <c r="H6" s="1617"/>
      <c r="I6" s="1617"/>
      <c r="J6" s="1617"/>
      <c r="K6" s="1617"/>
      <c r="L6" s="1617"/>
    </row>
    <row r="7" spans="1:12" x14ac:dyDescent="0.25">
      <c r="A7" s="1617" t="s">
        <v>1</v>
      </c>
      <c r="B7" s="1617"/>
      <c r="C7" s="1617"/>
      <c r="D7" s="1617"/>
      <c r="E7" s="1617"/>
      <c r="F7" s="1617"/>
      <c r="G7" s="1617"/>
      <c r="H7" s="1617"/>
      <c r="I7" s="1617"/>
      <c r="J7" s="1617"/>
      <c r="K7" s="1617"/>
      <c r="L7" s="1617"/>
    </row>
    <row r="8" spans="1:12" x14ac:dyDescent="0.25">
      <c r="A8" s="1617" t="s">
        <v>3</v>
      </c>
      <c r="B8" s="1617"/>
      <c r="C8" s="1617"/>
      <c r="D8" s="1617"/>
      <c r="E8" s="1617"/>
      <c r="F8" s="1617"/>
      <c r="G8" s="1617"/>
      <c r="H8" s="1617"/>
      <c r="I8" s="1617"/>
      <c r="J8" s="1617"/>
      <c r="K8" s="1617"/>
      <c r="L8" s="1617"/>
    </row>
    <row r="9" spans="1:12" x14ac:dyDescent="0.25">
      <c r="A9" s="1617" t="s">
        <v>1758</v>
      </c>
      <c r="B9" s="1617"/>
      <c r="C9" s="1617"/>
      <c r="D9" s="1617"/>
      <c r="E9" s="1617"/>
      <c r="F9" s="1617"/>
      <c r="G9" s="1617"/>
      <c r="H9" s="1617"/>
      <c r="I9" s="1617"/>
      <c r="J9" s="1617"/>
      <c r="K9" s="1617"/>
      <c r="L9" s="1617"/>
    </row>
    <row r="10" spans="1:12" x14ac:dyDescent="0.25">
      <c r="A10" s="1731" t="s">
        <v>1197</v>
      </c>
      <c r="B10" s="1731"/>
      <c r="C10" s="1731"/>
      <c r="D10" s="1731"/>
      <c r="E10" s="1731"/>
      <c r="F10" s="1731"/>
      <c r="G10" s="1731"/>
      <c r="H10" s="1731"/>
      <c r="I10" s="1731"/>
      <c r="J10" s="1731"/>
      <c r="K10" s="1731"/>
      <c r="L10" s="1731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07" t="s">
        <v>7</v>
      </c>
      <c r="B12" s="1909" t="s">
        <v>802</v>
      </c>
      <c r="C12" s="1909" t="s">
        <v>10</v>
      </c>
      <c r="D12" s="1067" t="s">
        <v>12</v>
      </c>
      <c r="E12" s="1911" t="s">
        <v>13</v>
      </c>
      <c r="F12" s="1905" t="s">
        <v>14</v>
      </c>
      <c r="G12" s="1905" t="s">
        <v>15</v>
      </c>
      <c r="H12" s="1905" t="s">
        <v>16</v>
      </c>
      <c r="I12" s="1905" t="s">
        <v>17</v>
      </c>
      <c r="J12" s="1905" t="s">
        <v>18</v>
      </c>
      <c r="K12" s="1905" t="s">
        <v>19</v>
      </c>
      <c r="L12" s="1905" t="s">
        <v>20</v>
      </c>
    </row>
    <row r="13" spans="1:12" ht="15" customHeight="1" x14ac:dyDescent="0.25">
      <c r="A13" s="1908"/>
      <c r="B13" s="1910"/>
      <c r="C13" s="1910"/>
      <c r="D13" s="1067" t="s">
        <v>21</v>
      </c>
      <c r="E13" s="1912"/>
      <c r="F13" s="1906"/>
      <c r="G13" s="1906"/>
      <c r="H13" s="1906"/>
      <c r="I13" s="1906"/>
      <c r="J13" s="1906"/>
      <c r="K13" s="1906"/>
      <c r="L13" s="1906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2" t="s">
        <v>1255</v>
      </c>
      <c r="G28" s="1862"/>
      <c r="H28" s="1862"/>
      <c r="I28" s="1862"/>
      <c r="J28" s="1862"/>
      <c r="K28" s="1862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08" t="s">
        <v>852</v>
      </c>
      <c r="G29" s="1808"/>
      <c r="H29" s="1808"/>
      <c r="I29" s="1808"/>
      <c r="J29" s="1808"/>
      <c r="K29" s="1808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809" t="s">
        <v>1506</v>
      </c>
      <c r="G30" s="1809"/>
      <c r="H30" s="1809"/>
      <c r="I30" s="1809"/>
      <c r="J30" s="1809"/>
      <c r="K30" s="1809"/>
      <c r="L30" s="537"/>
    </row>
    <row r="31" spans="1:12" x14ac:dyDescent="0.25">
      <c r="A31" s="546"/>
      <c r="B31" s="546"/>
      <c r="C31" s="547"/>
      <c r="D31" s="541"/>
      <c r="E31" s="540"/>
      <c r="F31" s="537"/>
      <c r="G31" s="1810"/>
      <c r="H31" s="1810"/>
      <c r="I31" s="1810"/>
      <c r="J31" s="1810"/>
      <c r="K31" s="1810"/>
      <c r="L31" s="1810"/>
    </row>
    <row r="32" spans="1:12" ht="15.75" x14ac:dyDescent="0.25">
      <c r="A32" s="267"/>
      <c r="B32" s="267"/>
      <c r="C32" s="268"/>
      <c r="D32" s="269"/>
      <c r="E32" s="1738"/>
      <c r="F32" s="1738"/>
      <c r="G32" s="1738"/>
      <c r="H32" s="1738"/>
      <c r="I32" s="1738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1759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>+H33+I33+J33+K33</f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1">SUM(F16:F33)</f>
        <v>0</v>
      </c>
      <c r="G34" s="1313">
        <f t="shared" si="1"/>
        <v>266000</v>
      </c>
      <c r="H34" s="1313">
        <f t="shared" si="1"/>
        <v>0</v>
      </c>
      <c r="I34" s="1313">
        <f t="shared" si="1"/>
        <v>4195.88</v>
      </c>
      <c r="J34" s="1313">
        <f t="shared" si="1"/>
        <v>0</v>
      </c>
      <c r="K34" s="1313">
        <f t="shared" si="1"/>
        <v>0</v>
      </c>
      <c r="L34" s="1313">
        <f t="shared" si="1"/>
        <v>4195.88</v>
      </c>
      <c r="M34" s="1313">
        <f t="shared" si="1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2">SUM(F37)</f>
        <v>0</v>
      </c>
      <c r="G38" s="1313">
        <f t="shared" si="2"/>
        <v>12000</v>
      </c>
      <c r="H38" s="1313">
        <f t="shared" si="2"/>
        <v>0</v>
      </c>
      <c r="I38" s="1313">
        <f t="shared" si="2"/>
        <v>0</v>
      </c>
      <c r="J38" s="1313">
        <f t="shared" si="2"/>
        <v>0</v>
      </c>
      <c r="K38" s="1313">
        <f t="shared" si="2"/>
        <v>0</v>
      </c>
      <c r="L38" s="1313">
        <f t="shared" si="2"/>
        <v>0</v>
      </c>
      <c r="M38" s="1313">
        <f t="shared" si="2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3">+E34+E38</f>
        <v>278000</v>
      </c>
      <c r="F39" s="273">
        <f t="shared" si="3"/>
        <v>0</v>
      </c>
      <c r="G39" s="273">
        <f t="shared" si="3"/>
        <v>278000</v>
      </c>
      <c r="H39" s="273">
        <f t="shared" si="3"/>
        <v>0</v>
      </c>
      <c r="I39" s="273">
        <f t="shared" si="3"/>
        <v>4195.88</v>
      </c>
      <c r="J39" s="273">
        <f t="shared" si="3"/>
        <v>0</v>
      </c>
      <c r="K39" s="273">
        <f t="shared" si="3"/>
        <v>0</v>
      </c>
      <c r="L39" s="273">
        <f t="shared" si="3"/>
        <v>4195.88</v>
      </c>
      <c r="M39" s="273">
        <f t="shared" si="3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4">+E39</f>
        <v>278000</v>
      </c>
      <c r="F40" s="1182">
        <f t="shared" si="4"/>
        <v>0</v>
      </c>
      <c r="G40" s="1182">
        <f t="shared" si="4"/>
        <v>278000</v>
      </c>
      <c r="H40" s="1182">
        <f t="shared" si="4"/>
        <v>0</v>
      </c>
      <c r="I40" s="1182">
        <f t="shared" si="4"/>
        <v>4195.88</v>
      </c>
      <c r="J40" s="1182">
        <f t="shared" si="4"/>
        <v>0</v>
      </c>
      <c r="K40" s="1182">
        <f t="shared" si="4"/>
        <v>0</v>
      </c>
      <c r="L40" s="1182">
        <f t="shared" si="4"/>
        <v>4195.88</v>
      </c>
      <c r="M40" s="1182">
        <f t="shared" si="4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870" t="s">
        <v>1269</v>
      </c>
      <c r="B65" s="1870"/>
      <c r="C65" s="753"/>
      <c r="D65" s="753"/>
      <c r="E65" s="754"/>
      <c r="F65" s="755"/>
      <c r="H65" s="1871" t="s">
        <v>852</v>
      </c>
      <c r="I65" s="1871"/>
      <c r="J65" s="1871"/>
      <c r="K65" s="1871"/>
      <c r="L65" s="1871"/>
      <c r="M65" s="1871"/>
    </row>
    <row r="66" spans="1:13" s="259" customFormat="1" ht="19.5" customHeight="1" x14ac:dyDescent="0.25">
      <c r="A66" s="1809" t="s">
        <v>1270</v>
      </c>
      <c r="B66" s="1809"/>
      <c r="C66" s="753"/>
      <c r="D66" s="753"/>
      <c r="E66" s="754"/>
      <c r="F66" s="755"/>
      <c r="H66" s="1623" t="s">
        <v>1505</v>
      </c>
      <c r="I66" s="1623"/>
      <c r="J66" s="1623"/>
      <c r="K66" s="1623"/>
      <c r="L66" s="1623"/>
      <c r="M66" s="1623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810"/>
      <c r="I78" s="1810"/>
      <c r="J78" s="1810"/>
      <c r="K78" s="1810"/>
      <c r="L78" s="1810"/>
      <c r="M78" s="1810"/>
    </row>
    <row r="79" spans="1:13" ht="15.75" x14ac:dyDescent="0.25">
      <c r="A79" s="267"/>
      <c r="B79" s="267"/>
      <c r="C79" s="268"/>
      <c r="D79" s="268"/>
      <c r="E79" s="269"/>
      <c r="F79" s="1738"/>
      <c r="G79" s="1738"/>
      <c r="H79" s="1738"/>
      <c r="I79" s="1738"/>
      <c r="J79" s="1738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864" t="s">
        <v>1502</v>
      </c>
      <c r="B12" s="1864"/>
      <c r="C12" s="1864"/>
      <c r="D12" s="1864"/>
      <c r="E12" s="1864"/>
      <c r="F12" s="1864"/>
      <c r="G12" s="1864"/>
      <c r="H12" s="1864"/>
      <c r="I12" s="1864"/>
      <c r="J12" s="1864"/>
      <c r="K12" s="1864"/>
      <c r="L12" s="1864"/>
      <c r="M12" s="1864"/>
    </row>
    <row r="13" spans="1:14" ht="0.75" customHeight="1" x14ac:dyDescent="0.25">
      <c r="A13" s="1864"/>
      <c r="B13" s="1864"/>
      <c r="C13" s="1864"/>
      <c r="D13" s="1864"/>
      <c r="E13" s="1864"/>
      <c r="F13" s="1864"/>
      <c r="G13" s="1864"/>
      <c r="H13" s="1864"/>
      <c r="I13" s="1864"/>
      <c r="J13" s="1864"/>
      <c r="K13" s="1864"/>
      <c r="L13" s="1864"/>
      <c r="M13" s="1864"/>
      <c r="N13" s="1864"/>
    </row>
    <row r="14" spans="1:14" ht="15.75" x14ac:dyDescent="0.25">
      <c r="A14" s="1864" t="s">
        <v>1460</v>
      </c>
      <c r="B14" s="1864"/>
      <c r="C14" s="1864"/>
      <c r="D14" s="1864"/>
      <c r="E14" s="1864"/>
      <c r="F14" s="1864"/>
      <c r="G14" s="1864"/>
      <c r="H14" s="1864"/>
      <c r="I14" s="1864"/>
      <c r="J14" s="1864"/>
      <c r="K14" s="1864"/>
      <c r="L14" s="1864"/>
      <c r="M14" s="1864"/>
    </row>
    <row r="15" spans="1:14" ht="15.75" x14ac:dyDescent="0.25">
      <c r="A15" s="1864" t="s">
        <v>1768</v>
      </c>
      <c r="B15" s="1864"/>
      <c r="C15" s="1864"/>
      <c r="D15" s="1864"/>
      <c r="E15" s="1864"/>
      <c r="F15" s="1864"/>
      <c r="G15" s="1864"/>
      <c r="H15" s="1864"/>
      <c r="I15" s="1864"/>
      <c r="J15" s="1864"/>
      <c r="K15" s="1864"/>
      <c r="L15" s="1864"/>
      <c r="M15" s="1864"/>
    </row>
    <row r="16" spans="1:14" ht="15.75" x14ac:dyDescent="0.25">
      <c r="A16" s="1882" t="s">
        <v>404</v>
      </c>
      <c r="B16" s="1882"/>
      <c r="C16" s="1882"/>
      <c r="D16" s="1882"/>
      <c r="E16" s="1882"/>
      <c r="F16" s="1882"/>
      <c r="G16" s="1882"/>
      <c r="H16" s="1882"/>
      <c r="I16" s="1882"/>
      <c r="J16" s="1882"/>
      <c r="K16" s="1882"/>
      <c r="L16" s="1882"/>
      <c r="M16" s="1882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928" t="s">
        <v>7</v>
      </c>
      <c r="B18" s="1930" t="s">
        <v>802</v>
      </c>
      <c r="C18" s="1930" t="s">
        <v>9</v>
      </c>
      <c r="D18" s="1930" t="s">
        <v>11</v>
      </c>
      <c r="E18" s="1390" t="s">
        <v>12</v>
      </c>
      <c r="F18" s="1932" t="s">
        <v>13</v>
      </c>
      <c r="G18" s="1924" t="s">
        <v>14</v>
      </c>
      <c r="H18" s="1924" t="s">
        <v>15</v>
      </c>
      <c r="I18" s="1926" t="s">
        <v>16</v>
      </c>
      <c r="J18" s="1926" t="s">
        <v>17</v>
      </c>
      <c r="K18" s="1926" t="s">
        <v>18</v>
      </c>
      <c r="L18" s="1926" t="s">
        <v>19</v>
      </c>
      <c r="M18" s="1922" t="s">
        <v>20</v>
      </c>
    </row>
    <row r="19" spans="1:13" ht="16.5" thickBot="1" x14ac:dyDescent="0.3">
      <c r="A19" s="1929"/>
      <c r="B19" s="1931"/>
      <c r="C19" s="1931"/>
      <c r="D19" s="1931"/>
      <c r="E19" s="1391" t="s">
        <v>21</v>
      </c>
      <c r="F19" s="1933"/>
      <c r="G19" s="1925"/>
      <c r="H19" s="1925"/>
      <c r="I19" s="1927"/>
      <c r="J19" s="1927"/>
      <c r="K19" s="1927"/>
      <c r="L19" s="1927"/>
      <c r="M19" s="1923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 t="shared" ref="E25:M25" si="0">SUM(E21:E24)</f>
        <v>660000</v>
      </c>
      <c r="F25" s="964">
        <f t="shared" si="0"/>
        <v>0</v>
      </c>
      <c r="G25" s="965">
        <f t="shared" si="0"/>
        <v>660000</v>
      </c>
      <c r="H25" s="966">
        <f t="shared" si="0"/>
        <v>18942</v>
      </c>
      <c r="I25" s="966">
        <f t="shared" si="0"/>
        <v>109841.27</v>
      </c>
      <c r="J25" s="963">
        <f t="shared" si="0"/>
        <v>18749.14</v>
      </c>
      <c r="K25" s="963">
        <f t="shared" si="0"/>
        <v>14312.46</v>
      </c>
      <c r="L25" s="963">
        <f t="shared" si="0"/>
        <v>161844.87</v>
      </c>
      <c r="M25" s="965">
        <f t="shared" si="0"/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6">
        <f>SUM(H28:H31)</f>
        <v>6299.65</v>
      </c>
      <c r="I32" s="966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6">
        <f t="shared" si="2"/>
        <v>9384.9</v>
      </c>
      <c r="I39" s="966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3">SUM(H42)</f>
        <v>2152.5</v>
      </c>
      <c r="I43" s="966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6">
        <f t="shared" si="4"/>
        <v>2109.4499999999998</v>
      </c>
      <c r="I48" s="1192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8905.9700000000012</v>
      </c>
      <c r="L57" s="1233">
        <f t="shared" si="5"/>
        <v>23899.410000000003</v>
      </c>
      <c r="M57" s="1233">
        <f t="shared" si="5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>+G62-L62</f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1116.24</v>
      </c>
      <c r="J63" s="963">
        <f t="shared" si="6"/>
        <v>3602.4</v>
      </c>
      <c r="K63" s="963">
        <f>SUM(K60:K62)</f>
        <v>1004.5</v>
      </c>
      <c r="L63" s="963">
        <f t="shared" si="6"/>
        <v>9124.09</v>
      </c>
      <c r="M63" s="963">
        <f t="shared" si="6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9">SUM(G66:G78)</f>
        <v>422000</v>
      </c>
      <c r="H79" s="963">
        <f t="shared" si="9"/>
        <v>12111.4</v>
      </c>
      <c r="I79" s="963">
        <f t="shared" si="9"/>
        <v>1873.24</v>
      </c>
      <c r="J79" s="963">
        <f t="shared" si="9"/>
        <v>12828.8</v>
      </c>
      <c r="K79" s="963">
        <f>SUM(K66:K78)</f>
        <v>11000.46</v>
      </c>
      <c r="L79" s="963">
        <f t="shared" si="9"/>
        <v>37813.9</v>
      </c>
      <c r="M79" s="963">
        <f t="shared" si="9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0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0"/>
        <v>1602.5</v>
      </c>
      <c r="M83" s="953">
        <f t="shared" ref="M83:M91" si="11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0"/>
        <v>2205.5</v>
      </c>
      <c r="M84" s="953">
        <f t="shared" si="11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0"/>
        <v>2774.2</v>
      </c>
      <c r="M85" s="953">
        <f t="shared" si="11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0"/>
        <v>1502.5</v>
      </c>
      <c r="M86" s="953">
        <f t="shared" si="11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0"/>
        <v>1502.5</v>
      </c>
      <c r="M87" s="953">
        <f t="shared" si="11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1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2">SUM(G82:G91)</f>
        <v>268500</v>
      </c>
      <c r="H92" s="966">
        <f t="shared" si="12"/>
        <v>7705.95</v>
      </c>
      <c r="I92" s="966">
        <f t="shared" si="12"/>
        <v>936.62</v>
      </c>
      <c r="J92" s="963">
        <f t="shared" si="12"/>
        <v>8162.4</v>
      </c>
      <c r="K92" s="963">
        <f>SUM(K82:K91)</f>
        <v>7653.36</v>
      </c>
      <c r="L92" s="963">
        <f t="shared" si="12"/>
        <v>24458.33</v>
      </c>
      <c r="M92" s="963">
        <f t="shared" si="12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3">SUM(F95:F95)</f>
        <v>0</v>
      </c>
      <c r="G96" s="965">
        <f t="shared" si="13"/>
        <v>55000</v>
      </c>
      <c r="H96" s="966">
        <f t="shared" si="13"/>
        <v>1578.5</v>
      </c>
      <c r="I96" s="966">
        <f t="shared" si="13"/>
        <v>2559.6799999999998</v>
      </c>
      <c r="J96" s="963">
        <f t="shared" si="13"/>
        <v>1672</v>
      </c>
      <c r="K96" s="963">
        <f>SUM(K95:K95)</f>
        <v>25</v>
      </c>
      <c r="L96" s="963">
        <f t="shared" si="13"/>
        <v>5835.18</v>
      </c>
      <c r="M96" s="965">
        <f t="shared" si="13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4">SUM(G99:G100)</f>
        <v>98500</v>
      </c>
      <c r="H101" s="966">
        <f t="shared" si="14"/>
        <v>2826.95</v>
      </c>
      <c r="I101" s="966">
        <f t="shared" si="14"/>
        <v>3496.2999999999997</v>
      </c>
      <c r="J101" s="963">
        <f t="shared" si="14"/>
        <v>2994.4</v>
      </c>
      <c r="K101" s="963">
        <f t="shared" si="14"/>
        <v>2593.4</v>
      </c>
      <c r="L101" s="963">
        <f t="shared" si="14"/>
        <v>11911.05</v>
      </c>
      <c r="M101" s="963">
        <f t="shared" si="14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M106" si="15">SUM(G104:G105)</f>
        <v>140000</v>
      </c>
      <c r="H106" s="963">
        <f t="shared" si="15"/>
        <v>4018</v>
      </c>
      <c r="I106" s="963">
        <f t="shared" si="15"/>
        <v>10050.77</v>
      </c>
      <c r="J106" s="963">
        <f t="shared" si="15"/>
        <v>4256</v>
      </c>
      <c r="K106" s="963">
        <f t="shared" si="15"/>
        <v>3580.92</v>
      </c>
      <c r="L106" s="963">
        <f t="shared" si="15"/>
        <v>21905.69</v>
      </c>
      <c r="M106" s="963">
        <f t="shared" si="15"/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>SUM(H111:K111)</f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16">SUM(G109:G111)</f>
        <v>167000</v>
      </c>
      <c r="H112" s="963">
        <f t="shared" si="16"/>
        <v>4792.8999999999996</v>
      </c>
      <c r="I112" s="963">
        <f t="shared" si="16"/>
        <v>9274.11</v>
      </c>
      <c r="J112" s="963">
        <f t="shared" si="16"/>
        <v>5076.8</v>
      </c>
      <c r="K112" s="963">
        <f>SUM(K109:K111)</f>
        <v>2184</v>
      </c>
      <c r="L112" s="963">
        <f>SUM(L109:L111)</f>
        <v>21327.81</v>
      </c>
      <c r="M112" s="963">
        <f t="shared" si="16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17">SUM(G115:G115)</f>
        <v>80000</v>
      </c>
      <c r="H116" s="965">
        <f t="shared" si="17"/>
        <v>2296</v>
      </c>
      <c r="I116" s="966">
        <f t="shared" si="17"/>
        <v>6972</v>
      </c>
      <c r="J116" s="963">
        <f t="shared" si="17"/>
        <v>2432</v>
      </c>
      <c r="K116" s="963">
        <f>SUM(K115:K115)</f>
        <v>1740.46</v>
      </c>
      <c r="L116" s="963">
        <f t="shared" si="17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>+G121-L121</f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>+G122-L122</f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>+G123-L123</f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>SUM(F119:F123)</f>
        <v>0</v>
      </c>
      <c r="G124" s="963">
        <f>SUM(G119:G123)</f>
        <v>410000</v>
      </c>
      <c r="H124" s="963">
        <f t="shared" ref="H124:M124" si="18">SUM(H119:H123)</f>
        <v>11767</v>
      </c>
      <c r="I124" s="963">
        <f t="shared" si="18"/>
        <v>45462.360000000008</v>
      </c>
      <c r="J124" s="963">
        <f t="shared" si="18"/>
        <v>12464</v>
      </c>
      <c r="K124" s="963">
        <f>SUM(K119:K123)</f>
        <v>18152.62</v>
      </c>
      <c r="L124" s="963">
        <f t="shared" si="18"/>
        <v>87845.98</v>
      </c>
      <c r="M124" s="963">
        <f t="shared" si="18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19">SUM(G127:G127)</f>
        <v>80000</v>
      </c>
      <c r="H128" s="965">
        <f t="shared" si="19"/>
        <v>2296</v>
      </c>
      <c r="I128" s="966">
        <f t="shared" si="19"/>
        <v>6972</v>
      </c>
      <c r="J128" s="963">
        <f t="shared" si="19"/>
        <v>2432</v>
      </c>
      <c r="K128" s="963">
        <f>SUM(K127:K127)</f>
        <v>5884.86</v>
      </c>
      <c r="L128" s="963">
        <f t="shared" si="19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0">SUM(F131:F131)</f>
        <v>0</v>
      </c>
      <c r="G132" s="963">
        <f t="shared" si="20"/>
        <v>50000</v>
      </c>
      <c r="H132" s="963">
        <f t="shared" si="20"/>
        <v>1435</v>
      </c>
      <c r="I132" s="966">
        <f t="shared" si="20"/>
        <v>1854</v>
      </c>
      <c r="J132" s="963">
        <f t="shared" si="20"/>
        <v>1520</v>
      </c>
      <c r="K132" s="963">
        <f>SUM(K131:K131)</f>
        <v>728</v>
      </c>
      <c r="L132" s="963">
        <f t="shared" si="20"/>
        <v>5537</v>
      </c>
      <c r="M132" s="963">
        <f t="shared" si="20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>+H137+I137+J137+K137</f>
        <v>6538.18</v>
      </c>
      <c r="M137" s="951">
        <f>+G137-L137</f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>+H138+I138+J138+K138</f>
        <v>3532.4700000000003</v>
      </c>
      <c r="M138" s="951">
        <f>+G138-L138</f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21">SUM(G135:G138)</f>
        <v>233500</v>
      </c>
      <c r="H139" s="963">
        <f t="shared" si="21"/>
        <v>6701.45</v>
      </c>
      <c r="I139" s="966">
        <f t="shared" si="21"/>
        <v>13456.85</v>
      </c>
      <c r="J139" s="963">
        <f t="shared" si="21"/>
        <v>7098.4</v>
      </c>
      <c r="K139" s="963">
        <f>SUM(K135:K138)</f>
        <v>1706</v>
      </c>
      <c r="L139" s="963">
        <f t="shared" si="2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 t="shared" ref="G146:M146" si="22">SUM(G142:G145)</f>
        <v>348500</v>
      </c>
      <c r="H146" s="965">
        <f t="shared" si="22"/>
        <v>10001.950000000001</v>
      </c>
      <c r="I146" s="966">
        <f t="shared" si="22"/>
        <v>40258.590000000004</v>
      </c>
      <c r="J146" s="963">
        <f t="shared" si="22"/>
        <v>10594.4</v>
      </c>
      <c r="K146" s="963">
        <f t="shared" si="22"/>
        <v>5446.4</v>
      </c>
      <c r="L146" s="963">
        <f t="shared" si="22"/>
        <v>66301.340000000011</v>
      </c>
      <c r="M146" s="965">
        <f t="shared" si="22"/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3">SUM(G149:G150)</f>
        <v>123500</v>
      </c>
      <c r="H151" s="966">
        <f t="shared" si="23"/>
        <v>3544.45</v>
      </c>
      <c r="I151" s="966">
        <f t="shared" si="23"/>
        <v>8080.17</v>
      </c>
      <c r="J151" s="963">
        <f t="shared" si="23"/>
        <v>3754.4</v>
      </c>
      <c r="K151" s="963">
        <f t="shared" si="23"/>
        <v>3837.66</v>
      </c>
      <c r="L151" s="963">
        <f t="shared" si="23"/>
        <v>19216.68</v>
      </c>
      <c r="M151" s="963">
        <f t="shared" si="23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K155" si="24">SUM(E154:E154)</f>
        <v>43500</v>
      </c>
      <c r="F155" s="964">
        <f t="shared" si="24"/>
        <v>0</v>
      </c>
      <c r="G155" s="965">
        <f t="shared" si="24"/>
        <v>43500</v>
      </c>
      <c r="H155" s="965">
        <f t="shared" si="24"/>
        <v>1248.45</v>
      </c>
      <c r="I155" s="1196">
        <f t="shared" si="24"/>
        <v>936.62</v>
      </c>
      <c r="J155" s="1091">
        <f t="shared" si="24"/>
        <v>1322.4</v>
      </c>
      <c r="K155" s="963">
        <f t="shared" si="24"/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>+G159-L159</f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5">SUM(G158:G160)</f>
        <v>157000</v>
      </c>
      <c r="H161" s="963">
        <f t="shared" si="25"/>
        <v>4505.8999999999996</v>
      </c>
      <c r="I161" s="966">
        <f t="shared" si="25"/>
        <v>7241.7199999999993</v>
      </c>
      <c r="J161" s="963">
        <f t="shared" si="25"/>
        <v>4772.8</v>
      </c>
      <c r="K161" s="963">
        <f>SUM(K158:K160)</f>
        <v>3346.7</v>
      </c>
      <c r="L161" s="963">
        <f t="shared" si="25"/>
        <v>19867.120000000003</v>
      </c>
      <c r="M161" s="963">
        <f t="shared" si="25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6">SUM(G164:G164)</f>
        <v>80000</v>
      </c>
      <c r="H165" s="963">
        <f t="shared" si="26"/>
        <v>2296</v>
      </c>
      <c r="I165" s="966">
        <f t="shared" si="26"/>
        <v>7400.87</v>
      </c>
      <c r="J165" s="963">
        <f t="shared" si="26"/>
        <v>2432</v>
      </c>
      <c r="K165" s="963">
        <f>SUM(K164:K164)</f>
        <v>728</v>
      </c>
      <c r="L165" s="963">
        <f t="shared" si="26"/>
        <v>12856.869999999999</v>
      </c>
      <c r="M165" s="963">
        <f t="shared" si="26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7">SUM(F168:F169)</f>
        <v>0</v>
      </c>
      <c r="G170" s="965">
        <f t="shared" si="27"/>
        <v>135000</v>
      </c>
      <c r="H170" s="965">
        <f t="shared" si="27"/>
        <v>3874.5</v>
      </c>
      <c r="I170" s="966">
        <f t="shared" si="27"/>
        <v>9960.5499999999993</v>
      </c>
      <c r="J170" s="963">
        <f t="shared" si="27"/>
        <v>4104</v>
      </c>
      <c r="K170" s="963">
        <f>SUM(K168:K169)</f>
        <v>5035.84</v>
      </c>
      <c r="L170" s="963">
        <f t="shared" si="27"/>
        <v>22974.89</v>
      </c>
      <c r="M170" s="965">
        <f t="shared" si="27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1">
        <f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>+H178+I178+J178+K178</f>
        <v>3532.4700000000003</v>
      </c>
      <c r="M178" s="951">
        <f>+G178-L178</f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>+H180+I180+J180+K180</f>
        <v>7854.75</v>
      </c>
      <c r="M180" s="951">
        <f>+G180-L180</f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28">SUM(G177:G181)</f>
        <v>217500</v>
      </c>
      <c r="H182" s="963">
        <f t="shared" si="28"/>
        <v>6242.25</v>
      </c>
      <c r="I182" s="966">
        <f t="shared" si="28"/>
        <v>4168.46</v>
      </c>
      <c r="J182" s="963">
        <f t="shared" si="28"/>
        <v>6612</v>
      </c>
      <c r="K182" s="963">
        <f>SUM(K177:K181)</f>
        <v>4961.92</v>
      </c>
      <c r="L182" s="963">
        <f t="shared" si="28"/>
        <v>21984.63</v>
      </c>
      <c r="M182" s="963">
        <f t="shared" si="28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29">SUM(G185:G189)</f>
        <v>217500</v>
      </c>
      <c r="H190" s="963">
        <f t="shared" si="29"/>
        <v>6242.25</v>
      </c>
      <c r="I190" s="963">
        <f t="shared" si="29"/>
        <v>4683.1000000000004</v>
      </c>
      <c r="J190" s="963">
        <f t="shared" si="29"/>
        <v>6612</v>
      </c>
      <c r="K190" s="963">
        <f>SUM(K185:K189)</f>
        <v>125</v>
      </c>
      <c r="L190" s="963">
        <f t="shared" si="29"/>
        <v>17662.350000000002</v>
      </c>
      <c r="M190" s="963">
        <f t="shared" si="29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30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30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30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30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30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30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30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31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1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31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1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31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31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2">SUM(G194:G207)</f>
        <v>745500</v>
      </c>
      <c r="H208" s="963">
        <f t="shared" si="32"/>
        <v>21395.850000000002</v>
      </c>
      <c r="I208" s="963">
        <f t="shared" si="32"/>
        <v>46946.140000000007</v>
      </c>
      <c r="J208" s="963">
        <f t="shared" si="32"/>
        <v>22663.200000000001</v>
      </c>
      <c r="K208" s="963">
        <f>SUM(K194:K207)</f>
        <v>7568.58</v>
      </c>
      <c r="L208" s="963">
        <f t="shared" si="32"/>
        <v>98573.77</v>
      </c>
      <c r="M208" s="963">
        <f t="shared" si="32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33">SUM(H211:H219)</f>
        <v>12613.65</v>
      </c>
      <c r="I220" s="963">
        <f t="shared" si="33"/>
        <v>25337.01</v>
      </c>
      <c r="J220" s="963">
        <f t="shared" si="33"/>
        <v>13360.8</v>
      </c>
      <c r="K220" s="963">
        <f>SUM(K211:K219)</f>
        <v>6467.92</v>
      </c>
      <c r="L220" s="963">
        <f t="shared" si="33"/>
        <v>57779.38</v>
      </c>
      <c r="M220" s="963">
        <f t="shared" si="33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34">SUM(G223:G229)</f>
        <v>239500</v>
      </c>
      <c r="H230" s="963">
        <f t="shared" si="34"/>
        <v>6873.65</v>
      </c>
      <c r="I230" s="963">
        <f t="shared" si="34"/>
        <v>1963.0500000000002</v>
      </c>
      <c r="J230" s="963">
        <f t="shared" si="34"/>
        <v>7280.8</v>
      </c>
      <c r="K230" s="963">
        <f>SUM(K223:K229)</f>
        <v>175</v>
      </c>
      <c r="L230" s="963">
        <f t="shared" si="34"/>
        <v>16292.5</v>
      </c>
      <c r="M230" s="963">
        <f t="shared" si="34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35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35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35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35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35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35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36">SUM(G233:G238)</f>
        <v>203500</v>
      </c>
      <c r="H239" s="963">
        <f t="shared" si="36"/>
        <v>5840.45</v>
      </c>
      <c r="I239" s="963">
        <f t="shared" si="36"/>
        <v>1116.24</v>
      </c>
      <c r="J239" s="963">
        <f t="shared" si="36"/>
        <v>6186.4</v>
      </c>
      <c r="K239" s="963">
        <f>SUM(K233:K238)</f>
        <v>150</v>
      </c>
      <c r="L239" s="963">
        <f t="shared" si="36"/>
        <v>13293.09</v>
      </c>
      <c r="M239" s="963">
        <f t="shared" si="36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37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37"/>
        <v>49491.200000000004</v>
      </c>
      <c r="K240" s="963">
        <f>+K208+K220+K230+K239</f>
        <v>14361.5</v>
      </c>
      <c r="L240" s="963">
        <f t="shared" si="37"/>
        <v>185938.74</v>
      </c>
      <c r="M240" s="963">
        <f t="shared" si="37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38">+G25+G32+G39+G43+G48+G57+G63+G79+G92+G96+G101+G106+G112+G116+G124+G128+G132+G139+G146+G151+G155+G161+G165+G170+G174+G182+G190+G208+G220+G230+G239</f>
        <v>6694000</v>
      </c>
      <c r="H242" s="1076">
        <f t="shared" si="38"/>
        <v>192117.8</v>
      </c>
      <c r="I242" s="1076">
        <f t="shared" si="38"/>
        <v>429465.74999999994</v>
      </c>
      <c r="J242" s="1076">
        <f t="shared" si="38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38"/>
        <v>963568.99</v>
      </c>
      <c r="M242" s="1076">
        <f t="shared" si="38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884" t="s">
        <v>1271</v>
      </c>
      <c r="B261" s="1884"/>
      <c r="C261" s="874"/>
      <c r="D261" s="874"/>
      <c r="E261" s="875"/>
      <c r="F261" s="873"/>
      <c r="G261" s="873"/>
      <c r="H261" s="1869" t="s">
        <v>852</v>
      </c>
      <c r="I261" s="1869"/>
      <c r="J261" s="1869"/>
      <c r="K261" s="1869"/>
      <c r="L261" s="1869"/>
      <c r="M261" s="1869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863" t="s">
        <v>1504</v>
      </c>
      <c r="J262" s="1863"/>
      <c r="K262" s="1863"/>
      <c r="L262" s="1863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A12:M12"/>
    <mergeCell ref="A13:N13"/>
    <mergeCell ref="A14:M14"/>
    <mergeCell ref="A15:M15"/>
    <mergeCell ref="A16:M16"/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17" t="s">
        <v>1502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1:16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1:16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1:16" x14ac:dyDescent="0.25">
      <c r="B8" s="1617" t="s">
        <v>1769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  <c r="P8" s="1617"/>
    </row>
    <row r="9" spans="1:16" x14ac:dyDescent="0.25">
      <c r="B9" s="1618" t="s">
        <v>441</v>
      </c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  <c r="P9" s="161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15" t="s">
        <v>7</v>
      </c>
      <c r="C11" s="1615" t="s">
        <v>937</v>
      </c>
      <c r="D11" s="1616" t="s">
        <v>10</v>
      </c>
      <c r="E11" s="1615" t="s">
        <v>832</v>
      </c>
      <c r="F11" s="1615" t="s">
        <v>834</v>
      </c>
      <c r="G11" s="1615" t="s">
        <v>209</v>
      </c>
      <c r="H11" s="1051" t="s">
        <v>12</v>
      </c>
      <c r="I11" s="1619" t="s">
        <v>13</v>
      </c>
      <c r="J11" s="1620" t="s">
        <v>14</v>
      </c>
      <c r="K11" s="1620" t="s">
        <v>15</v>
      </c>
      <c r="L11" s="1620" t="s">
        <v>16</v>
      </c>
      <c r="M11" s="1621" t="s">
        <v>17</v>
      </c>
      <c r="N11" s="1621" t="s">
        <v>18</v>
      </c>
      <c r="O11" s="1621" t="s">
        <v>19</v>
      </c>
      <c r="P11" s="1620" t="s">
        <v>20</v>
      </c>
    </row>
    <row r="12" spans="1:16" x14ac:dyDescent="0.25">
      <c r="A12" s="1378"/>
      <c r="B12" s="1615"/>
      <c r="C12" s="1615"/>
      <c r="D12" s="1616"/>
      <c r="E12" s="1615"/>
      <c r="F12" s="1615"/>
      <c r="G12" s="1615"/>
      <c r="H12" s="1051" t="s">
        <v>21</v>
      </c>
      <c r="I12" s="1619"/>
      <c r="J12" s="1620"/>
      <c r="K12" s="1620"/>
      <c r="L12" s="1620"/>
      <c r="M12" s="1621"/>
      <c r="N12" s="1621"/>
      <c r="O12" s="1621"/>
      <c r="P12" s="162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>SUM(I57)</f>
        <v>0</v>
      </c>
      <c r="J58" s="695">
        <f t="shared" ref="J58:P58" si="6">SUM(J56:J57)</f>
        <v>175000</v>
      </c>
      <c r="K58" s="695">
        <f t="shared" si="6"/>
        <v>5022.5</v>
      </c>
      <c r="L58" s="695">
        <f t="shared" si="6"/>
        <v>19120.419999999998</v>
      </c>
      <c r="M58" s="1145">
        <f t="shared" si="6"/>
        <v>5320</v>
      </c>
      <c r="N58" s="695">
        <f>SUM(N56:N57)</f>
        <v>2159</v>
      </c>
      <c r="O58" s="695">
        <f t="shared" si="6"/>
        <v>31621.919999999998</v>
      </c>
      <c r="P58" s="695">
        <f t="shared" si="6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7">SUM(J61)</f>
        <v>95000</v>
      </c>
      <c r="K62" s="697">
        <f t="shared" si="7"/>
        <v>2726.5</v>
      </c>
      <c r="L62" s="697">
        <f t="shared" si="7"/>
        <v>10929.24</v>
      </c>
      <c r="M62" s="1145">
        <f t="shared" si="7"/>
        <v>2888</v>
      </c>
      <c r="N62" s="697">
        <f>SUM(N61)</f>
        <v>18566.330000000002</v>
      </c>
      <c r="O62" s="697">
        <f t="shared" si="7"/>
        <v>35110.07</v>
      </c>
      <c r="P62" s="697">
        <f t="shared" si="7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>SUM(I67)</f>
        <v>0</v>
      </c>
      <c r="J68" s="697">
        <f t="shared" ref="J68:P68" si="8">SUM(J65:J67)</f>
        <v>225000</v>
      </c>
      <c r="K68" s="697">
        <f>SUM(K65:K67)</f>
        <v>6457.5</v>
      </c>
      <c r="L68" s="697">
        <f t="shared" si="8"/>
        <v>21223.55</v>
      </c>
      <c r="M68" s="1145">
        <f t="shared" si="8"/>
        <v>6840</v>
      </c>
      <c r="N68" s="697">
        <f>SUM(N65:N67)</f>
        <v>2618.4</v>
      </c>
      <c r="O68" s="697">
        <f t="shared" si="8"/>
        <v>37139.449999999997</v>
      </c>
      <c r="P68" s="697">
        <f t="shared" si="8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9">+K75+L75+M75+N75</f>
        <v>25398.49</v>
      </c>
      <c r="P75" s="498">
        <f t="shared" ref="P75:P80" si="10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9"/>
        <v>25398.49</v>
      </c>
      <c r="P76" s="498">
        <f t="shared" si="10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9"/>
        <v>25398.49</v>
      </c>
      <c r="P77" s="498">
        <f t="shared" si="10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9"/>
        <v>25398.49</v>
      </c>
      <c r="P78" s="498">
        <f t="shared" si="10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9"/>
        <v>25398.49</v>
      </c>
      <c r="P79" s="626">
        <f t="shared" si="10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9"/>
        <v>29628.34</v>
      </c>
      <c r="P80" s="626">
        <f t="shared" si="10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1">SUM(J75:J81)</f>
        <v>885000</v>
      </c>
      <c r="K82" s="697">
        <f t="shared" si="11"/>
        <v>25399.5</v>
      </c>
      <c r="L82" s="697">
        <f t="shared" si="11"/>
        <v>127825.32000000002</v>
      </c>
      <c r="M82" s="1145">
        <f t="shared" si="11"/>
        <v>26904</v>
      </c>
      <c r="N82" s="697">
        <f t="shared" si="11"/>
        <v>1890.46</v>
      </c>
      <c r="O82" s="697">
        <f t="shared" si="11"/>
        <v>182019.28</v>
      </c>
      <c r="P82" s="697">
        <f t="shared" si="11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2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2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2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2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2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2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3">SUM(J85:J90)</f>
        <v>490000</v>
      </c>
      <c r="K91" s="695">
        <f t="shared" si="13"/>
        <v>14063</v>
      </c>
      <c r="L91" s="695">
        <f t="shared" si="13"/>
        <v>48827.419999999991</v>
      </c>
      <c r="M91" s="695">
        <f t="shared" si="13"/>
        <v>14896</v>
      </c>
      <c r="N91" s="695">
        <f t="shared" si="13"/>
        <v>3193.4</v>
      </c>
      <c r="O91" s="695">
        <f t="shared" si="13"/>
        <v>80979.819999999992</v>
      </c>
      <c r="P91" s="695">
        <f t="shared" si="13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4">SUM(I94)</f>
        <v>0</v>
      </c>
      <c r="J95" s="695">
        <f t="shared" si="14"/>
        <v>185000</v>
      </c>
      <c r="K95" s="695">
        <f t="shared" si="14"/>
        <v>5309.5</v>
      </c>
      <c r="L95" s="695">
        <f t="shared" si="14"/>
        <v>32099.49</v>
      </c>
      <c r="M95" s="1145">
        <f t="shared" si="14"/>
        <v>5624</v>
      </c>
      <c r="N95" s="695">
        <f>SUM(N94)</f>
        <v>5010.4799999999996</v>
      </c>
      <c r="O95" s="695">
        <f t="shared" si="14"/>
        <v>48043.47</v>
      </c>
      <c r="P95" s="695">
        <f t="shared" si="14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5">SUM(J98:J100)</f>
        <v>200000</v>
      </c>
      <c r="K101" s="695">
        <f t="shared" si="15"/>
        <v>5740</v>
      </c>
      <c r="L101" s="695">
        <f t="shared" si="15"/>
        <v>13880.539999999999</v>
      </c>
      <c r="M101" s="1145">
        <f t="shared" si="15"/>
        <v>6080</v>
      </c>
      <c r="N101" s="695">
        <f t="shared" si="15"/>
        <v>10079.26</v>
      </c>
      <c r="O101" s="695">
        <f t="shared" si="15"/>
        <v>35779.799999999996</v>
      </c>
      <c r="P101" s="695">
        <f t="shared" si="15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6">+K108+L108+M108+N108</f>
        <v>25198.57</v>
      </c>
      <c r="P108" s="675">
        <f t="shared" ref="P108:P114" si="17"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6"/>
        <v>9530.48</v>
      </c>
      <c r="P109" s="468">
        <f t="shared" si="17"/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6"/>
        <v>9530.48</v>
      </c>
      <c r="P110" s="468">
        <f t="shared" si="17"/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6"/>
        <v>9530.48</v>
      </c>
      <c r="P111" s="468">
        <f t="shared" si="17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6"/>
        <v>9530.48</v>
      </c>
      <c r="P112" s="468">
        <f t="shared" si="17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6"/>
        <v>10902.84</v>
      </c>
      <c r="P113" s="468">
        <f t="shared" si="17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6"/>
        <v>5835.18</v>
      </c>
      <c r="P114" s="468">
        <f t="shared" si="17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>SUM(I114)</f>
        <v>0</v>
      </c>
      <c r="J115" s="695">
        <f>SUM(J108:J114)</f>
        <v>525000</v>
      </c>
      <c r="K115" s="695">
        <f t="shared" ref="K115:P115" si="18">SUM(K108:K114)</f>
        <v>15067.5</v>
      </c>
      <c r="L115" s="695">
        <f t="shared" si="18"/>
        <v>45868.849999999991</v>
      </c>
      <c r="M115" s="695">
        <f t="shared" si="18"/>
        <v>15960</v>
      </c>
      <c r="N115" s="695">
        <f t="shared" si="18"/>
        <v>3162.16</v>
      </c>
      <c r="O115" s="695">
        <f t="shared" si="18"/>
        <v>80058.50999999998</v>
      </c>
      <c r="P115" s="695">
        <f t="shared" si="18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19">SUM(J118:J118)</f>
        <v>120000</v>
      </c>
      <c r="K119" s="695">
        <f t="shared" si="19"/>
        <v>3444</v>
      </c>
      <c r="L119" s="695">
        <f t="shared" si="19"/>
        <v>16809.87</v>
      </c>
      <c r="M119" s="695">
        <f t="shared" si="19"/>
        <v>3648</v>
      </c>
      <c r="N119" s="695">
        <f t="shared" si="19"/>
        <v>4169.3999999999996</v>
      </c>
      <c r="O119" s="695">
        <f t="shared" si="19"/>
        <v>28071.269999999997</v>
      </c>
      <c r="P119" s="695">
        <f t="shared" si="19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0">SUM(J121:J122)</f>
        <v>120000</v>
      </c>
      <c r="K123" s="695">
        <f t="shared" si="20"/>
        <v>3444</v>
      </c>
      <c r="L123" s="695">
        <f t="shared" si="20"/>
        <v>16809.87</v>
      </c>
      <c r="M123" s="695">
        <f t="shared" si="20"/>
        <v>3648</v>
      </c>
      <c r="N123" s="695">
        <f>SUM(N121:N122)</f>
        <v>2568.4</v>
      </c>
      <c r="O123" s="695">
        <f t="shared" si="20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6" si="21"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 t="shared" si="21"/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si="21"/>
        <v>10902.84</v>
      </c>
      <c r="P129" s="468">
        <f t="shared" ref="P129:P136" si="22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1"/>
        <v>9530.48</v>
      </c>
      <c r="P130" s="468">
        <f t="shared" si="22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 t="shared" si="21"/>
        <v>25398.49</v>
      </c>
      <c r="P135" s="468">
        <f t="shared" si="22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si="21"/>
        <v>7293.3200000000006</v>
      </c>
      <c r="P136" s="468">
        <f t="shared" si="22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3">SUM(J127:J136)</f>
        <v>740000</v>
      </c>
      <c r="K137" s="695">
        <f t="shared" si="23"/>
        <v>21238</v>
      </c>
      <c r="L137" s="695">
        <f t="shared" si="23"/>
        <v>62206.900000000009</v>
      </c>
      <c r="M137" s="695">
        <f t="shared" si="23"/>
        <v>22496</v>
      </c>
      <c r="N137" s="695">
        <f t="shared" si="23"/>
        <v>7111.84</v>
      </c>
      <c r="O137" s="695">
        <f t="shared" si="23"/>
        <v>113052.74</v>
      </c>
      <c r="P137" s="695">
        <f t="shared" si="23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24">+K140+L140+M140+N140</f>
        <v>9530.48</v>
      </c>
      <c r="P140" s="628">
        <f t="shared" ref="P140:P147" si="25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4"/>
        <v>9530.48</v>
      </c>
      <c r="P141" s="628">
        <f t="shared" si="25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4"/>
        <v>9530.48</v>
      </c>
      <c r="P142" s="628">
        <f t="shared" si="25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4"/>
        <v>9530.48</v>
      </c>
      <c r="P143" s="628">
        <f t="shared" si="25"/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24"/>
        <v>10902.84</v>
      </c>
      <c r="P144" s="628">
        <f t="shared" si="25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24"/>
        <v>9530.48</v>
      </c>
      <c r="P145" s="628">
        <f t="shared" si="25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5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4"/>
        <v>1502.5</v>
      </c>
      <c r="P147" s="628">
        <f t="shared" si="25"/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26">SUM(J140:J147)</f>
        <v>488500</v>
      </c>
      <c r="K148" s="695">
        <f t="shared" si="26"/>
        <v>14019.95</v>
      </c>
      <c r="L148" s="695">
        <f t="shared" si="26"/>
        <v>32804.400000000001</v>
      </c>
      <c r="M148" s="695">
        <f t="shared" si="26"/>
        <v>14850.4</v>
      </c>
      <c r="N148" s="695">
        <f t="shared" si="26"/>
        <v>1915.46</v>
      </c>
      <c r="O148" s="695">
        <f t="shared" si="26"/>
        <v>63590.209999999992</v>
      </c>
      <c r="P148" s="695">
        <f t="shared" si="26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7">+K152+L152+M152+N152</f>
        <v>9530.48</v>
      </c>
      <c r="P152" s="468">
        <f t="shared" ref="P152:P157" si="28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7"/>
        <v>9530.48</v>
      </c>
      <c r="P153" s="468">
        <f t="shared" si="28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7"/>
        <v>9530.48</v>
      </c>
      <c r="P154" s="468">
        <f t="shared" si="28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7"/>
        <v>9530.48</v>
      </c>
      <c r="P155" s="468">
        <f t="shared" si="28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7"/>
        <v>9530.48</v>
      </c>
      <c r="P156" s="468">
        <f t="shared" si="28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7"/>
        <v>9530.48</v>
      </c>
      <c r="P157" s="468">
        <f t="shared" si="28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9">SUM(J151:J159)</f>
        <v>638500</v>
      </c>
      <c r="K160" s="695">
        <f t="shared" si="29"/>
        <v>18324.95</v>
      </c>
      <c r="L160" s="695">
        <f t="shared" si="29"/>
        <v>52088.179999999993</v>
      </c>
      <c r="M160" s="695">
        <f t="shared" si="29"/>
        <v>19410.400000000001</v>
      </c>
      <c r="N160" s="695">
        <f t="shared" si="29"/>
        <v>1940.46</v>
      </c>
      <c r="O160" s="695">
        <f t="shared" si="29"/>
        <v>91763.989999999991</v>
      </c>
      <c r="P160" s="695">
        <f t="shared" si="29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0">+K163+L163+M163+N163</f>
        <v>23926.87</v>
      </c>
      <c r="P163" s="468">
        <f t="shared" ref="P163:P169" si="31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0"/>
        <v>10902.84</v>
      </c>
      <c r="P164" s="468">
        <f t="shared" si="31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0"/>
        <v>12275.210000000001</v>
      </c>
      <c r="P165" s="468">
        <f t="shared" si="31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0"/>
        <v>9530.48</v>
      </c>
      <c r="P166" s="468">
        <f t="shared" si="31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0"/>
        <v>10902.84</v>
      </c>
      <c r="P167" s="468">
        <f t="shared" si="31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0"/>
        <v>9530.48</v>
      </c>
      <c r="P168" s="468">
        <f t="shared" si="31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0"/>
        <v>9530.48</v>
      </c>
      <c r="P169" s="468">
        <f t="shared" si="31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2">SUM(J163:J170)</f>
        <v>583500</v>
      </c>
      <c r="K171" s="695">
        <f t="shared" si="32"/>
        <v>16746.45</v>
      </c>
      <c r="L171" s="695">
        <f t="shared" si="32"/>
        <v>48584.98</v>
      </c>
      <c r="M171" s="695">
        <f t="shared" si="32"/>
        <v>17738.400000000001</v>
      </c>
      <c r="N171" s="695">
        <f t="shared" si="32"/>
        <v>7061.84</v>
      </c>
      <c r="O171" s="695">
        <f t="shared" si="32"/>
        <v>90131.669999999984</v>
      </c>
      <c r="P171" s="695">
        <f t="shared" si="32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33">+J171+J160+J148+J137</f>
        <v>2450500</v>
      </c>
      <c r="K172" s="695">
        <f t="shared" si="33"/>
        <v>70329.350000000006</v>
      </c>
      <c r="L172" s="695">
        <f t="shared" si="33"/>
        <v>195684.46000000002</v>
      </c>
      <c r="M172" s="695">
        <f t="shared" si="33"/>
        <v>74495.200000000012</v>
      </c>
      <c r="N172" s="695">
        <f t="shared" si="33"/>
        <v>18029.599999999999</v>
      </c>
      <c r="O172" s="695">
        <f t="shared" si="33"/>
        <v>358538.61</v>
      </c>
      <c r="P172" s="695">
        <f t="shared" si="33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22" t="s">
        <v>1375</v>
      </c>
      <c r="K194" s="1622"/>
      <c r="L194" s="1622"/>
      <c r="M194" s="1622"/>
      <c r="N194" s="1622"/>
      <c r="O194" s="1622"/>
      <c r="P194" s="1622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23" t="s">
        <v>1554</v>
      </c>
      <c r="K195" s="1623"/>
      <c r="L195" s="1623"/>
      <c r="M195" s="1623"/>
      <c r="N195" s="1623"/>
      <c r="O195" s="1623"/>
      <c r="P195" s="1623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3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3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3" x14ac:dyDescent="0.25">
      <c r="B8" s="1881" t="s">
        <v>1770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3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1"/>
      <c r="C11" s="1901" t="s">
        <v>802</v>
      </c>
      <c r="D11" s="1901" t="s">
        <v>9</v>
      </c>
      <c r="E11" s="1331" t="s">
        <v>12</v>
      </c>
      <c r="F11" s="1936" t="s">
        <v>13</v>
      </c>
      <c r="G11" s="1934" t="s">
        <v>14</v>
      </c>
      <c r="H11" s="1934" t="s">
        <v>15</v>
      </c>
      <c r="I11" s="1934" t="s">
        <v>16</v>
      </c>
      <c r="J11" s="1934" t="s">
        <v>17</v>
      </c>
      <c r="K11" s="1934" t="s">
        <v>18</v>
      </c>
      <c r="L11" s="1934" t="s">
        <v>19</v>
      </c>
      <c r="M11" s="1934" t="s">
        <v>20</v>
      </c>
    </row>
    <row r="12" spans="2:13" ht="16.5" customHeight="1" x14ac:dyDescent="0.25">
      <c r="B12" s="1902"/>
      <c r="C12" s="1902"/>
      <c r="D12" s="1902"/>
      <c r="E12" s="1331" t="s">
        <v>21</v>
      </c>
      <c r="F12" s="1937"/>
      <c r="G12" s="1935"/>
      <c r="H12" s="1935"/>
      <c r="I12" s="1935"/>
      <c r="J12" s="1935"/>
      <c r="K12" s="1935"/>
      <c r="L12" s="1935"/>
      <c r="M12" s="193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>+E22</f>
        <v>11500</v>
      </c>
      <c r="F23" s="1342">
        <v>0</v>
      </c>
      <c r="G23" s="1341">
        <f>+G22</f>
        <v>11500</v>
      </c>
      <c r="H23" s="1341">
        <f>+H22</f>
        <v>330.05</v>
      </c>
      <c r="I23" s="1341">
        <f>+I22</f>
        <v>1623.06</v>
      </c>
      <c r="J23" s="1341">
        <f>+J22</f>
        <v>349.6</v>
      </c>
      <c r="K23" s="1342">
        <v>0</v>
      </c>
      <c r="L23" s="1341">
        <f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1">+G26+G22+G18+G14</f>
        <v>116000</v>
      </c>
      <c r="H30" s="1140">
        <f t="shared" si="1"/>
        <v>3329.2</v>
      </c>
      <c r="I30" s="1140">
        <f t="shared" si="1"/>
        <v>20879.12</v>
      </c>
      <c r="J30" s="1140">
        <f t="shared" si="1"/>
        <v>3526.4</v>
      </c>
      <c r="K30" s="1355">
        <v>0</v>
      </c>
      <c r="L30" s="1140">
        <f t="shared" si="1"/>
        <v>27734.720000000001</v>
      </c>
      <c r="M30" s="1140">
        <f t="shared" si="1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877" t="s">
        <v>1372</v>
      </c>
      <c r="H48" s="1877"/>
      <c r="I48" s="1877"/>
      <c r="J48" s="1877"/>
      <c r="K48" s="1877"/>
      <c r="L48" s="1877"/>
    </row>
    <row r="49" spans="2:13" x14ac:dyDescent="0.25">
      <c r="B49" s="1083" t="s">
        <v>1238</v>
      </c>
      <c r="C49" s="1083"/>
      <c r="D49" s="921"/>
      <c r="E49" s="915"/>
      <c r="F49" s="915"/>
      <c r="G49" s="1875" t="s">
        <v>1222</v>
      </c>
      <c r="H49" s="1875"/>
      <c r="I49" s="1875"/>
      <c r="J49" s="1875"/>
      <c r="K49" s="1875"/>
      <c r="L49" s="1875"/>
    </row>
    <row r="50" spans="2:13" x14ac:dyDescent="0.25">
      <c r="B50" s="916" t="s">
        <v>1239</v>
      </c>
      <c r="C50" s="916"/>
      <c r="D50" s="915"/>
      <c r="E50" s="915"/>
      <c r="F50" s="923"/>
      <c r="G50" s="1874" t="s">
        <v>1503</v>
      </c>
      <c r="H50" s="1874"/>
      <c r="I50" s="1874"/>
      <c r="J50" s="1874"/>
      <c r="K50" s="1874"/>
      <c r="L50" s="1874"/>
    </row>
    <row r="54" spans="2:13" ht="30" customHeight="1" x14ac:dyDescent="0.25"/>
    <row r="58" spans="2:13" x14ac:dyDescent="0.25">
      <c r="E58" s="924"/>
      <c r="F58" s="923"/>
      <c r="G58" s="915"/>
      <c r="H58" s="1879"/>
      <c r="I58" s="1879"/>
      <c r="J58" s="1879"/>
      <c r="K58" s="1879"/>
      <c r="L58" s="1879"/>
      <c r="M58" s="1879"/>
    </row>
    <row r="59" spans="2:13" x14ac:dyDescent="0.25">
      <c r="E59" s="925"/>
      <c r="F59" s="1872"/>
      <c r="G59" s="1872"/>
      <c r="H59" s="1872"/>
      <c r="I59" s="1872"/>
      <c r="J59" s="1872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8:L48"/>
    <mergeCell ref="G49:L49"/>
    <mergeCell ref="G50:L50"/>
    <mergeCell ref="H58:M58"/>
    <mergeCell ref="F59:J59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1771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2" t="s">
        <v>1250</v>
      </c>
      <c r="H52" s="1862"/>
      <c r="I52" s="1862"/>
      <c r="J52" s="1862"/>
      <c r="K52" s="1862"/>
      <c r="L52" s="186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8" t="s">
        <v>852</v>
      </c>
      <c r="H53" s="1808"/>
      <c r="I53" s="1808"/>
      <c r="J53" s="1808"/>
      <c r="K53" s="1808"/>
      <c r="L53" s="180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09" t="s">
        <v>1506</v>
      </c>
      <c r="H54" s="1809"/>
      <c r="I54" s="1809"/>
      <c r="J54" s="1809"/>
      <c r="K54" s="1809"/>
      <c r="L54" s="180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0"/>
      <c r="I55" s="1810"/>
      <c r="J55" s="1810"/>
      <c r="K55" s="1810"/>
      <c r="L55" s="1810"/>
      <c r="M55" s="181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734"/>
      <c r="G68" s="1734"/>
      <c r="H68" s="1734"/>
      <c r="I68" s="1734"/>
      <c r="J68" s="1734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1803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:L39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1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1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1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1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1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2">SUM(F16:F39)</f>
        <v>0</v>
      </c>
      <c r="G40" s="1371">
        <f t="shared" si="2"/>
        <v>338000</v>
      </c>
      <c r="H40" s="1371">
        <f t="shared" si="2"/>
        <v>0</v>
      </c>
      <c r="I40" s="1371">
        <f t="shared" si="2"/>
        <v>4195.88</v>
      </c>
      <c r="J40" s="1371">
        <f t="shared" si="2"/>
        <v>0</v>
      </c>
      <c r="K40" s="1371">
        <f t="shared" si="2"/>
        <v>0</v>
      </c>
      <c r="L40" s="1371">
        <f t="shared" si="2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0" t="s">
        <v>1269</v>
      </c>
      <c r="B69" s="1870"/>
      <c r="C69" s="753"/>
      <c r="D69" s="753"/>
      <c r="E69" s="754"/>
      <c r="F69" s="755"/>
      <c r="H69" s="1871" t="s">
        <v>852</v>
      </c>
      <c r="I69" s="1871"/>
      <c r="J69" s="1871"/>
      <c r="K69" s="1871"/>
      <c r="L69" s="1871"/>
      <c r="M69" s="1871"/>
    </row>
    <row r="70" spans="1:13" s="259" customFormat="1" ht="19.5" customHeight="1" x14ac:dyDescent="0.25">
      <c r="A70" s="1809" t="s">
        <v>1270</v>
      </c>
      <c r="B70" s="1809"/>
      <c r="C70" s="753"/>
      <c r="D70" s="753"/>
      <c r="E70" s="754"/>
      <c r="F70" s="755"/>
      <c r="H70" s="1623" t="s">
        <v>1505</v>
      </c>
      <c r="I70" s="1623"/>
      <c r="J70" s="1623"/>
      <c r="K70" s="1623"/>
      <c r="L70" s="1623"/>
      <c r="M70" s="1623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0"/>
      <c r="I82" s="1810"/>
      <c r="J82" s="1810"/>
      <c r="K82" s="1810"/>
      <c r="L82" s="1810"/>
      <c r="M82" s="1810"/>
    </row>
    <row r="83" spans="1:13" ht="15.75" x14ac:dyDescent="0.25">
      <c r="A83" s="267"/>
      <c r="B83" s="267"/>
      <c r="C83" s="268"/>
      <c r="D83" s="268"/>
      <c r="E83" s="269"/>
      <c r="F83" s="1738"/>
      <c r="G83" s="1738"/>
      <c r="H83" s="1738"/>
      <c r="I83" s="1738"/>
      <c r="J83" s="1738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230" activePane="bottomLeft" state="frozen"/>
      <selection activeCell="A5" sqref="A5"/>
      <selection pane="bottomLeft" activeCell="E244" sqref="E244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64" t="s">
        <v>1502</v>
      </c>
      <c r="B11" s="1864"/>
      <c r="C11" s="1864"/>
      <c r="D11" s="1864"/>
      <c r="E11" s="1864"/>
      <c r="F11" s="1864"/>
      <c r="G11" s="1864"/>
      <c r="H11" s="1864"/>
      <c r="I11" s="1864"/>
      <c r="J11" s="1864"/>
      <c r="K11" s="1864"/>
      <c r="L11" s="1864"/>
      <c r="M11" s="1864"/>
    </row>
    <row r="12" spans="1:14" ht="0.75" customHeight="1" x14ac:dyDescent="0.25">
      <c r="A12" s="1864"/>
      <c r="B12" s="1864"/>
      <c r="C12" s="1864"/>
      <c r="D12" s="1864"/>
      <c r="E12" s="1864"/>
      <c r="F12" s="1864"/>
      <c r="G12" s="1864"/>
      <c r="H12" s="1864"/>
      <c r="I12" s="1864"/>
      <c r="J12" s="1864"/>
      <c r="K12" s="1864"/>
      <c r="L12" s="1864"/>
      <c r="M12" s="1864"/>
      <c r="N12" s="1864"/>
    </row>
    <row r="13" spans="1:14" ht="15.75" x14ac:dyDescent="0.25">
      <c r="A13" s="1864" t="s">
        <v>1460</v>
      </c>
      <c r="B13" s="1864"/>
      <c r="C13" s="1864"/>
      <c r="D13" s="1864"/>
      <c r="E13" s="1864"/>
      <c r="F13" s="1864"/>
      <c r="G13" s="1864"/>
      <c r="H13" s="1864"/>
      <c r="I13" s="1864"/>
      <c r="J13" s="1864"/>
      <c r="K13" s="1864"/>
      <c r="L13" s="1864"/>
      <c r="M13" s="1864"/>
    </row>
    <row r="14" spans="1:14" ht="15.75" x14ac:dyDescent="0.25">
      <c r="A14" s="1864" t="s">
        <v>1805</v>
      </c>
      <c r="B14" s="1864"/>
      <c r="C14" s="1864"/>
      <c r="D14" s="1864"/>
      <c r="E14" s="1864"/>
      <c r="F14" s="1864"/>
      <c r="G14" s="1864"/>
      <c r="H14" s="1864"/>
      <c r="I14" s="1864"/>
      <c r="J14" s="1864"/>
      <c r="K14" s="1864"/>
      <c r="L14" s="1864"/>
      <c r="M14" s="1864"/>
    </row>
    <row r="15" spans="1:14" ht="15.75" x14ac:dyDescent="0.25">
      <c r="A15" s="1882" t="s">
        <v>404</v>
      </c>
      <c r="B15" s="1882"/>
      <c r="C15" s="1882"/>
      <c r="D15" s="1882"/>
      <c r="E15" s="1882"/>
      <c r="F15" s="1882"/>
      <c r="G15" s="1882"/>
      <c r="H15" s="1882"/>
      <c r="I15" s="1882"/>
      <c r="J15" s="1882"/>
      <c r="K15" s="1882"/>
      <c r="L15" s="1882"/>
      <c r="M15" s="1882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28" t="s">
        <v>7</v>
      </c>
      <c r="B17" s="1930" t="s">
        <v>802</v>
      </c>
      <c r="C17" s="1930" t="s">
        <v>9</v>
      </c>
      <c r="D17" s="1930" t="s">
        <v>11</v>
      </c>
      <c r="E17" s="1390" t="s">
        <v>12</v>
      </c>
      <c r="F17" s="1932" t="s">
        <v>13</v>
      </c>
      <c r="G17" s="1924" t="s">
        <v>14</v>
      </c>
      <c r="H17" s="1926" t="s">
        <v>15</v>
      </c>
      <c r="I17" s="1926" t="s">
        <v>15</v>
      </c>
      <c r="J17" s="1926" t="s">
        <v>17</v>
      </c>
      <c r="K17" s="1926" t="s">
        <v>18</v>
      </c>
      <c r="L17" s="1926" t="s">
        <v>19</v>
      </c>
      <c r="M17" s="1922" t="s">
        <v>20</v>
      </c>
    </row>
    <row r="18" spans="1:13" ht="16.5" thickBot="1" x14ac:dyDescent="0.3">
      <c r="A18" s="1929"/>
      <c r="B18" s="1931"/>
      <c r="C18" s="1931"/>
      <c r="D18" s="1931"/>
      <c r="E18" s="1391" t="s">
        <v>21</v>
      </c>
      <c r="F18" s="1933"/>
      <c r="G18" s="1925"/>
      <c r="H18" s="1927"/>
      <c r="I18" s="1927"/>
      <c r="J18" s="1927"/>
      <c r="K18" s="1927"/>
      <c r="L18" s="1927"/>
      <c r="M18" s="1923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>+H79+I79+J79+K79</f>
        <v>1798</v>
      </c>
      <c r="M79" s="953">
        <f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>+H80+I80+J80+K80</f>
        <v>1798</v>
      </c>
      <c r="M80" s="953">
        <f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11050.46</v>
      </c>
      <c r="L81" s="963">
        <f t="shared" si="9"/>
        <v>41409.9</v>
      </c>
      <c r="M81" s="963">
        <f t="shared" si="9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0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21">SUM(G137:G140)</f>
        <v>233500</v>
      </c>
      <c r="H141" s="963">
        <f t="shared" si="21"/>
        <v>6701.45</v>
      </c>
      <c r="I141" s="963">
        <f t="shared" si="21"/>
        <v>13456.85</v>
      </c>
      <c r="J141" s="963">
        <f t="shared" si="21"/>
        <v>7098.4</v>
      </c>
      <c r="K141" s="963">
        <f>SUM(K137:K140)</f>
        <v>1706</v>
      </c>
      <c r="L141" s="963">
        <f t="shared" si="21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 t="shared" ref="G148:M148" si="22">SUM(G144:G147)</f>
        <v>348500</v>
      </c>
      <c r="H148" s="963">
        <f t="shared" si="22"/>
        <v>10001.950000000001</v>
      </c>
      <c r="I148" s="963">
        <f t="shared" si="22"/>
        <v>40258.590000000004</v>
      </c>
      <c r="J148" s="963">
        <f t="shared" si="22"/>
        <v>10594.4</v>
      </c>
      <c r="K148" s="963">
        <f t="shared" si="22"/>
        <v>5446.4</v>
      </c>
      <c r="L148" s="963">
        <f t="shared" si="22"/>
        <v>66301.340000000011</v>
      </c>
      <c r="M148" s="965">
        <f t="shared" si="22"/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M153" si="23">SUM(G151:G152)</f>
        <v>123500</v>
      </c>
      <c r="H153" s="963">
        <f t="shared" si="23"/>
        <v>3544.45</v>
      </c>
      <c r="I153" s="963">
        <f t="shared" si="23"/>
        <v>8080.17</v>
      </c>
      <c r="J153" s="963">
        <f t="shared" si="23"/>
        <v>3754.4</v>
      </c>
      <c r="K153" s="963">
        <f t="shared" si="23"/>
        <v>3837.66</v>
      </c>
      <c r="L153" s="963">
        <f t="shared" si="23"/>
        <v>19216.68</v>
      </c>
      <c r="M153" s="963">
        <f t="shared" si="23"/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 t="shared" ref="E157:K157" si="24">SUM(E156:E156)</f>
        <v>43500</v>
      </c>
      <c r="F157" s="964">
        <f t="shared" si="24"/>
        <v>0</v>
      </c>
      <c r="G157" s="965">
        <f t="shared" si="24"/>
        <v>43500</v>
      </c>
      <c r="H157" s="963">
        <f t="shared" si="24"/>
        <v>1248.45</v>
      </c>
      <c r="I157" s="1091">
        <f t="shared" si="24"/>
        <v>936.62</v>
      </c>
      <c r="J157" s="1091">
        <f t="shared" si="24"/>
        <v>1322.4</v>
      </c>
      <c r="K157" s="963">
        <f t="shared" si="24"/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>+G161-L161</f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>SUM(F162)</f>
        <v>0</v>
      </c>
      <c r="G163" s="963">
        <f t="shared" ref="G163:M163" si="25">SUM(G160:G162)</f>
        <v>157000</v>
      </c>
      <c r="H163" s="963">
        <f t="shared" si="25"/>
        <v>4505.8999999999996</v>
      </c>
      <c r="I163" s="963">
        <f t="shared" si="25"/>
        <v>7241.7199999999993</v>
      </c>
      <c r="J163" s="963">
        <f t="shared" si="25"/>
        <v>4772.8</v>
      </c>
      <c r="K163" s="963">
        <f>SUM(K160:K162)</f>
        <v>3346.7</v>
      </c>
      <c r="L163" s="963">
        <f t="shared" si="25"/>
        <v>19867.120000000003</v>
      </c>
      <c r="M163" s="963">
        <f t="shared" si="25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26">SUM(G166:G166)</f>
        <v>80000</v>
      </c>
      <c r="H167" s="963">
        <f t="shared" si="26"/>
        <v>2296</v>
      </c>
      <c r="I167" s="963">
        <f t="shared" si="26"/>
        <v>7400.87</v>
      </c>
      <c r="J167" s="963">
        <f t="shared" si="26"/>
        <v>2432</v>
      </c>
      <c r="K167" s="963">
        <f>SUM(K166:K166)</f>
        <v>728</v>
      </c>
      <c r="L167" s="963">
        <f t="shared" si="26"/>
        <v>12856.869999999999</v>
      </c>
      <c r="M167" s="963">
        <f t="shared" si="26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27">SUM(F170:F171)</f>
        <v>0</v>
      </c>
      <c r="G172" s="965">
        <f t="shared" si="27"/>
        <v>135000</v>
      </c>
      <c r="H172" s="963">
        <f t="shared" si="27"/>
        <v>3874.5</v>
      </c>
      <c r="I172" s="963">
        <f t="shared" si="27"/>
        <v>9960.5499999999993</v>
      </c>
      <c r="J172" s="963">
        <f t="shared" si="27"/>
        <v>4104</v>
      </c>
      <c r="K172" s="963">
        <f>SUM(K170:K171)</f>
        <v>5035.84</v>
      </c>
      <c r="L172" s="963">
        <f t="shared" si="27"/>
        <v>22974.89</v>
      </c>
      <c r="M172" s="965">
        <f t="shared" si="27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>+H182+I182+J182+K182</f>
        <v>7854.75</v>
      </c>
      <c r="M182" s="951">
        <f>+G182-L182</f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28">SUM(G179:G183)</f>
        <v>217500</v>
      </c>
      <c r="H184" s="963">
        <f t="shared" si="28"/>
        <v>6242.25</v>
      </c>
      <c r="I184" s="963">
        <f t="shared" si="28"/>
        <v>4168.46</v>
      </c>
      <c r="J184" s="963">
        <f t="shared" si="28"/>
        <v>6612</v>
      </c>
      <c r="K184" s="963">
        <f>SUM(K179:K183)</f>
        <v>4961.92</v>
      </c>
      <c r="L184" s="963">
        <f t="shared" si="28"/>
        <v>21984.63</v>
      </c>
      <c r="M184" s="963">
        <f t="shared" si="28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29">SUM(G187:G191)</f>
        <v>217500</v>
      </c>
      <c r="H192" s="963">
        <f t="shared" si="29"/>
        <v>6242.25</v>
      </c>
      <c r="I192" s="963">
        <f t="shared" si="29"/>
        <v>4683.1000000000004</v>
      </c>
      <c r="J192" s="963">
        <f t="shared" si="29"/>
        <v>6612</v>
      </c>
      <c r="K192" s="963">
        <f>SUM(K187:K191)</f>
        <v>125</v>
      </c>
      <c r="L192" s="963">
        <f t="shared" si="29"/>
        <v>17662.350000000002</v>
      </c>
      <c r="M192" s="963">
        <f t="shared" si="29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30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30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30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30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30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30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30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31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31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31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31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2">SUM(G196:G209)</f>
        <v>745500</v>
      </c>
      <c r="H210" s="963">
        <f t="shared" si="32"/>
        <v>21395.850000000002</v>
      </c>
      <c r="I210" s="963">
        <f t="shared" si="32"/>
        <v>46688.820000000007</v>
      </c>
      <c r="J210" s="963">
        <f t="shared" si="32"/>
        <v>22663.200000000001</v>
      </c>
      <c r="K210" s="963">
        <f>SUM(K196:K209)</f>
        <v>9284.0400000000009</v>
      </c>
      <c r="L210" s="963">
        <f t="shared" si="32"/>
        <v>100031.91</v>
      </c>
      <c r="M210" s="963">
        <f t="shared" si="32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33">SUM(H213:H221)</f>
        <v>12613.65</v>
      </c>
      <c r="I222" s="963">
        <f t="shared" si="33"/>
        <v>25337.01</v>
      </c>
      <c r="J222" s="963">
        <f t="shared" si="33"/>
        <v>13360.8</v>
      </c>
      <c r="K222" s="963">
        <f>SUM(K213:K221)</f>
        <v>6467.92</v>
      </c>
      <c r="L222" s="963">
        <f t="shared" si="33"/>
        <v>57779.38</v>
      </c>
      <c r="M222" s="963">
        <f t="shared" si="33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34">SUM(G225:G231)</f>
        <v>239500</v>
      </c>
      <c r="H232" s="963">
        <f t="shared" si="34"/>
        <v>6873.65</v>
      </c>
      <c r="I232" s="963">
        <f t="shared" si="34"/>
        <v>1963.0500000000002</v>
      </c>
      <c r="J232" s="963">
        <f t="shared" si="34"/>
        <v>7280.8</v>
      </c>
      <c r="K232" s="963">
        <f>SUM(K225:K231)</f>
        <v>175</v>
      </c>
      <c r="L232" s="963">
        <f t="shared" si="34"/>
        <v>16292.5</v>
      </c>
      <c r="M232" s="963">
        <f t="shared" si="34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35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35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35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35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35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36">SUM(G235:G240)</f>
        <v>203500</v>
      </c>
      <c r="H241" s="963">
        <f t="shared" si="36"/>
        <v>5840.45</v>
      </c>
      <c r="I241" s="963">
        <f t="shared" si="36"/>
        <v>1116.24</v>
      </c>
      <c r="J241" s="963">
        <f t="shared" si="36"/>
        <v>6186.4</v>
      </c>
      <c r="K241" s="963">
        <f>SUM(K235:K240)</f>
        <v>150</v>
      </c>
      <c r="L241" s="963">
        <f t="shared" si="36"/>
        <v>13293.09</v>
      </c>
      <c r="M241" s="963">
        <f t="shared" si="36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37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37"/>
        <v>49491.200000000004</v>
      </c>
      <c r="K242" s="963">
        <f>+K210+K222+K232+K241</f>
        <v>16076.960000000001</v>
      </c>
      <c r="L242" s="963">
        <f t="shared" si="37"/>
        <v>187396.88</v>
      </c>
      <c r="M242" s="963">
        <f t="shared" si="37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38">+G25+G32+G39+G43+G48+G57+G63+G81+G94+G98+G103+G108+G114+G118+G126+G130+G134+G141+G148+G153+G157+G163+G167+G172+G176+G184+G192+G210+G222+G232+G241</f>
        <v>6964000</v>
      </c>
      <c r="H244" s="1076">
        <f t="shared" si="38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38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38"/>
        <v>1010267.5499999999</v>
      </c>
      <c r="M244" s="1076">
        <f t="shared" si="38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884" t="s">
        <v>1271</v>
      </c>
      <c r="B263" s="1884"/>
      <c r="C263" s="874"/>
      <c r="D263" s="874"/>
      <c r="E263" s="875"/>
      <c r="F263" s="873"/>
      <c r="G263" s="873"/>
      <c r="H263" s="1869" t="s">
        <v>852</v>
      </c>
      <c r="I263" s="1869"/>
      <c r="J263" s="1869"/>
      <c r="K263" s="1869"/>
      <c r="L263" s="1869"/>
      <c r="M263" s="1869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863" t="s">
        <v>1504</v>
      </c>
      <c r="J264" s="1863"/>
      <c r="K264" s="1863"/>
      <c r="L264" s="1863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A11:M11"/>
    <mergeCell ref="A12:N12"/>
    <mergeCell ref="A13:M13"/>
    <mergeCell ref="A14:M14"/>
    <mergeCell ref="A15:M15"/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17" t="s">
        <v>1502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1:16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1:16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1:16" x14ac:dyDescent="0.25">
      <c r="B8" s="1617" t="s">
        <v>1814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  <c r="P8" s="1617"/>
    </row>
    <row r="9" spans="1:16" x14ac:dyDescent="0.25">
      <c r="B9" s="1618" t="s">
        <v>441</v>
      </c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  <c r="P9" s="161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15" t="s">
        <v>7</v>
      </c>
      <c r="C11" s="1615" t="s">
        <v>937</v>
      </c>
      <c r="D11" s="1616" t="s">
        <v>10</v>
      </c>
      <c r="E11" s="1615" t="s">
        <v>832</v>
      </c>
      <c r="F11" s="1615" t="s">
        <v>834</v>
      </c>
      <c r="G11" s="1615" t="s">
        <v>209</v>
      </c>
      <c r="H11" s="1051" t="s">
        <v>12</v>
      </c>
      <c r="I11" s="1619" t="s">
        <v>13</v>
      </c>
      <c r="J11" s="1620" t="s">
        <v>14</v>
      </c>
      <c r="K11" s="1620" t="s">
        <v>15</v>
      </c>
      <c r="L11" s="1620" t="s">
        <v>16</v>
      </c>
      <c r="M11" s="1621" t="s">
        <v>17</v>
      </c>
      <c r="N11" s="1621" t="s">
        <v>18</v>
      </c>
      <c r="O11" s="1621" t="s">
        <v>19</v>
      </c>
      <c r="P11" s="1620" t="s">
        <v>20</v>
      </c>
    </row>
    <row r="12" spans="1:16" x14ac:dyDescent="0.25">
      <c r="A12" s="1378"/>
      <c r="B12" s="1615"/>
      <c r="C12" s="1615"/>
      <c r="D12" s="1616"/>
      <c r="E12" s="1615"/>
      <c r="F12" s="1615"/>
      <c r="G12" s="1615"/>
      <c r="H12" s="1051" t="s">
        <v>21</v>
      </c>
      <c r="I12" s="1619"/>
      <c r="J12" s="1620"/>
      <c r="K12" s="1620"/>
      <c r="L12" s="1620"/>
      <c r="M12" s="1621"/>
      <c r="N12" s="1621"/>
      <c r="O12" s="1621"/>
      <c r="P12" s="162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>SUM(I59)</f>
        <v>0</v>
      </c>
      <c r="J60" s="695">
        <f t="shared" ref="J60:P60" si="5">SUM(J58:J59)</f>
        <v>175000</v>
      </c>
      <c r="K60" s="695">
        <f t="shared" si="5"/>
        <v>5022.5</v>
      </c>
      <c r="L60" s="695">
        <f t="shared" si="5"/>
        <v>19120.419999999998</v>
      </c>
      <c r="M60" s="1145">
        <f t="shared" si="5"/>
        <v>5320</v>
      </c>
      <c r="N60" s="695">
        <f>SUM(N58:N59)</f>
        <v>2159</v>
      </c>
      <c r="O60" s="695">
        <f t="shared" si="5"/>
        <v>31621.919999999998</v>
      </c>
      <c r="P60" s="695">
        <f t="shared" si="5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6">SUM(J63)</f>
        <v>95000</v>
      </c>
      <c r="K64" s="697">
        <f t="shared" si="6"/>
        <v>2726.5</v>
      </c>
      <c r="L64" s="697">
        <f t="shared" si="6"/>
        <v>10929.24</v>
      </c>
      <c r="M64" s="1145">
        <f t="shared" si="6"/>
        <v>2888</v>
      </c>
      <c r="N64" s="697">
        <f>SUM(N63)</f>
        <v>18566.330000000002</v>
      </c>
      <c r="O64" s="697">
        <f t="shared" si="6"/>
        <v>35110.07</v>
      </c>
      <c r="P64" s="697">
        <f t="shared" si="6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>SUM(I69)</f>
        <v>0</v>
      </c>
      <c r="J71" s="697">
        <f t="shared" ref="J71:P71" si="7">SUM(J67:J69)</f>
        <v>225000</v>
      </c>
      <c r="K71" s="697">
        <f>SUM(K67:K69)</f>
        <v>6457.5</v>
      </c>
      <c r="L71" s="697">
        <f t="shared" si="7"/>
        <v>21223.55</v>
      </c>
      <c r="M71" s="1145">
        <f t="shared" si="7"/>
        <v>6840</v>
      </c>
      <c r="N71" s="697">
        <f>SUM(N67:N69)</f>
        <v>2618.4</v>
      </c>
      <c r="O71" s="697">
        <f t="shared" si="7"/>
        <v>37139.449999999997</v>
      </c>
      <c r="P71" s="697">
        <f t="shared" si="7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8">+K78+L78+M78+N78</f>
        <v>25398.49</v>
      </c>
      <c r="P78" s="498">
        <f t="shared" ref="P78:P83" si="9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8"/>
        <v>25398.49</v>
      </c>
      <c r="P79" s="498">
        <f t="shared" si="9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8"/>
        <v>25398.49</v>
      </c>
      <c r="P80" s="498">
        <f t="shared" si="9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626">
        <f t="shared" si="9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8"/>
        <v>29628.34</v>
      </c>
      <c r="P83" s="626">
        <f t="shared" si="9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0">SUM(J78:J84)</f>
        <v>885000</v>
      </c>
      <c r="K85" s="697">
        <f t="shared" si="10"/>
        <v>25399.5</v>
      </c>
      <c r="L85" s="697">
        <f t="shared" si="10"/>
        <v>127825.32000000002</v>
      </c>
      <c r="M85" s="1145">
        <f t="shared" si="10"/>
        <v>26904</v>
      </c>
      <c r="N85" s="697">
        <f t="shared" si="10"/>
        <v>1890.46</v>
      </c>
      <c r="O85" s="697">
        <f t="shared" si="10"/>
        <v>182019.28</v>
      </c>
      <c r="P85" s="697">
        <f t="shared" si="10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1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1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1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1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1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1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2">SUM(J88:J93)</f>
        <v>490000</v>
      </c>
      <c r="K94" s="695">
        <f t="shared" si="12"/>
        <v>14063</v>
      </c>
      <c r="L94" s="695">
        <f t="shared" si="12"/>
        <v>48827.219999999994</v>
      </c>
      <c r="M94" s="695">
        <f t="shared" si="12"/>
        <v>14896</v>
      </c>
      <c r="N94" s="695">
        <f t="shared" si="12"/>
        <v>2693.4</v>
      </c>
      <c r="O94" s="695">
        <f t="shared" si="12"/>
        <v>80479.62</v>
      </c>
      <c r="P94" s="695">
        <f t="shared" si="12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3">SUM(I97)</f>
        <v>0</v>
      </c>
      <c r="J98" s="695">
        <f t="shared" si="13"/>
        <v>185000</v>
      </c>
      <c r="K98" s="695">
        <f t="shared" si="13"/>
        <v>5309.5</v>
      </c>
      <c r="L98" s="695">
        <f t="shared" si="13"/>
        <v>32099.49</v>
      </c>
      <c r="M98" s="1145">
        <f t="shared" si="13"/>
        <v>5624</v>
      </c>
      <c r="N98" s="695">
        <f>SUM(N97)</f>
        <v>5010.4799999999996</v>
      </c>
      <c r="O98" s="695">
        <f t="shared" si="13"/>
        <v>48043.47</v>
      </c>
      <c r="P98" s="695">
        <f t="shared" si="13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4">SUM(J101:J103)</f>
        <v>200000</v>
      </c>
      <c r="K104" s="695">
        <f t="shared" si="14"/>
        <v>5740</v>
      </c>
      <c r="L104" s="695">
        <f t="shared" si="14"/>
        <v>14223.64</v>
      </c>
      <c r="M104" s="1145">
        <f t="shared" si="14"/>
        <v>6080</v>
      </c>
      <c r="N104" s="695">
        <f t="shared" si="14"/>
        <v>8363.7999999999993</v>
      </c>
      <c r="O104" s="695">
        <f t="shared" si="14"/>
        <v>34407.439999999995</v>
      </c>
      <c r="P104" s="695">
        <f t="shared" si="14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5">+K111+L111+M111+N111</f>
        <v>25198.57</v>
      </c>
      <c r="P111" s="675">
        <f t="shared" ref="P111:P117" si="16"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5"/>
        <v>9530.48</v>
      </c>
      <c r="P112" s="468">
        <f t="shared" si="16"/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5"/>
        <v>9530.48</v>
      </c>
      <c r="P113" s="468">
        <f t="shared" si="16"/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5"/>
        <v>10902.84</v>
      </c>
      <c r="P116" s="468">
        <f t="shared" si="16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5"/>
        <v>5835.18</v>
      </c>
      <c r="P117" s="468">
        <f t="shared" si="16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>SUM(I117)</f>
        <v>0</v>
      </c>
      <c r="J118" s="695">
        <f>SUM(J111:J117)</f>
        <v>525000</v>
      </c>
      <c r="K118" s="695">
        <f t="shared" ref="K118:P118" si="17">SUM(K111:K117)</f>
        <v>15067.5</v>
      </c>
      <c r="L118" s="695">
        <f t="shared" si="17"/>
        <v>45868.849999999991</v>
      </c>
      <c r="M118" s="695">
        <f t="shared" si="17"/>
        <v>15960</v>
      </c>
      <c r="N118" s="695">
        <f t="shared" si="17"/>
        <v>3162.16</v>
      </c>
      <c r="O118" s="695">
        <f t="shared" si="17"/>
        <v>80058.50999999998</v>
      </c>
      <c r="P118" s="695">
        <f t="shared" si="17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18">SUM(J120:J121)</f>
        <v>120000</v>
      </c>
      <c r="K122" s="695">
        <f t="shared" si="18"/>
        <v>3444</v>
      </c>
      <c r="L122" s="695">
        <f t="shared" si="18"/>
        <v>16809.87</v>
      </c>
      <c r="M122" s="695">
        <f t="shared" si="18"/>
        <v>3648</v>
      </c>
      <c r="N122" s="695">
        <f>SUM(N120:N121)</f>
        <v>2568.4</v>
      </c>
      <c r="O122" s="695">
        <f t="shared" si="18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19">+K128+L128+M128+N128</f>
        <v>10902.84</v>
      </c>
      <c r="P128" s="468">
        <f t="shared" ref="P128:P135" si="20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19"/>
        <v>9530.48</v>
      </c>
      <c r="P129" s="468">
        <f t="shared" si="20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19"/>
        <v>9530.48</v>
      </c>
      <c r="P130" s="468">
        <f t="shared" si="20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0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>+K135+L135+M135+N135</f>
        <v>7293.3200000000006</v>
      </c>
      <c r="P135" s="468">
        <f t="shared" si="20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1">SUM(J126:J135)</f>
        <v>740000</v>
      </c>
      <c r="K136" s="695">
        <f t="shared" si="21"/>
        <v>21238</v>
      </c>
      <c r="L136" s="695">
        <f t="shared" si="21"/>
        <v>62206.900000000009</v>
      </c>
      <c r="M136" s="695">
        <f t="shared" si="21"/>
        <v>22496</v>
      </c>
      <c r="N136" s="695">
        <f t="shared" si="21"/>
        <v>7111.84</v>
      </c>
      <c r="O136" s="695">
        <f t="shared" si="21"/>
        <v>113052.74</v>
      </c>
      <c r="P136" s="695">
        <f t="shared" si="21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2">+K139+L139+M139+N139</f>
        <v>9530.48</v>
      </c>
      <c r="P139" s="628">
        <f t="shared" ref="P139:P145" si="23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2"/>
        <v>9530.48</v>
      </c>
      <c r="P140" s="628">
        <f t="shared" si="23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2"/>
        <v>9530.48</v>
      </c>
      <c r="P141" s="628">
        <f t="shared" si="23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2"/>
        <v>10902.84</v>
      </c>
      <c r="P143" s="628">
        <f t="shared" si="23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 t="shared" si="23"/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2"/>
        <v>1502.5</v>
      </c>
      <c r="P145" s="628">
        <f t="shared" si="23"/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4">SUM(J139:J145)</f>
        <v>418500</v>
      </c>
      <c r="K146" s="695">
        <f t="shared" si="24"/>
        <v>12010.95</v>
      </c>
      <c r="L146" s="695">
        <f t="shared" si="24"/>
        <v>27435.919999999998</v>
      </c>
      <c r="M146" s="695">
        <f t="shared" si="24"/>
        <v>12722.4</v>
      </c>
      <c r="N146" s="695">
        <f t="shared" si="24"/>
        <v>1890.46</v>
      </c>
      <c r="O146" s="695">
        <f t="shared" si="24"/>
        <v>54059.729999999996</v>
      </c>
      <c r="P146" s="695">
        <f t="shared" si="24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5">+K150+L150+M150+N150</f>
        <v>9530.48</v>
      </c>
      <c r="P150" s="468">
        <f t="shared" ref="P150:P155" si="26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5"/>
        <v>9530.48</v>
      </c>
      <c r="P151" s="468">
        <f t="shared" si="26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5"/>
        <v>9530.48</v>
      </c>
      <c r="P152" s="468">
        <f t="shared" si="26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27">SUM(J149:J157)</f>
        <v>638500</v>
      </c>
      <c r="K158" s="695">
        <f t="shared" si="27"/>
        <v>18324.95</v>
      </c>
      <c r="L158" s="695">
        <f t="shared" si="27"/>
        <v>52088.179999999993</v>
      </c>
      <c r="M158" s="695">
        <f t="shared" si="27"/>
        <v>19410.400000000001</v>
      </c>
      <c r="N158" s="695">
        <f t="shared" si="27"/>
        <v>1940.46</v>
      </c>
      <c r="O158" s="695">
        <f t="shared" si="27"/>
        <v>91763.989999999991</v>
      </c>
      <c r="P158" s="695">
        <f t="shared" si="27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28">+K161+L161+M161+N161</f>
        <v>23926.87</v>
      </c>
      <c r="P161" s="468">
        <f t="shared" ref="P161:P167" si="29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28"/>
        <v>10902.84</v>
      </c>
      <c r="P162" s="468">
        <f t="shared" si="29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28"/>
        <v>12275.210000000001</v>
      </c>
      <c r="P163" s="468">
        <f t="shared" si="29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28"/>
        <v>10902.84</v>
      </c>
      <c r="P165" s="468">
        <f t="shared" si="29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8"/>
        <v>9530.48</v>
      </c>
      <c r="P166" s="468">
        <f t="shared" si="29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28"/>
        <v>9530.48</v>
      </c>
      <c r="P167" s="468">
        <f t="shared" si="29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0">SUM(J161:J168)</f>
        <v>583500</v>
      </c>
      <c r="K169" s="695">
        <f t="shared" si="30"/>
        <v>16746.45</v>
      </c>
      <c r="L169" s="695">
        <f t="shared" si="30"/>
        <v>48241.88</v>
      </c>
      <c r="M169" s="695">
        <f t="shared" si="30"/>
        <v>17738.400000000001</v>
      </c>
      <c r="N169" s="695">
        <f t="shared" si="30"/>
        <v>8777.2999999999993</v>
      </c>
      <c r="O169" s="695">
        <f t="shared" si="30"/>
        <v>91504.029999999984</v>
      </c>
      <c r="P169" s="695">
        <f t="shared" si="30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1">+J169+J158+J146+J136</f>
        <v>2380500</v>
      </c>
      <c r="K170" s="695">
        <f t="shared" si="31"/>
        <v>68320.350000000006</v>
      </c>
      <c r="L170" s="695">
        <f t="shared" si="31"/>
        <v>189972.88</v>
      </c>
      <c r="M170" s="695">
        <f t="shared" si="31"/>
        <v>72367.200000000012</v>
      </c>
      <c r="N170" s="695">
        <f t="shared" si="31"/>
        <v>19720.059999999998</v>
      </c>
      <c r="O170" s="695">
        <f t="shared" si="31"/>
        <v>350380.48999999993</v>
      </c>
      <c r="P170" s="695">
        <f t="shared" si="31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2">+J16+J20+J29+J33+J39+J44+J48+J52+J60+J64+J71+J85+J94+J98+J104+J108+J118+J122+J136+J146+J158+J169+J75</f>
        <v>6630500</v>
      </c>
      <c r="K172" s="1126">
        <f t="shared" si="32"/>
        <v>190295.35000000003</v>
      </c>
      <c r="L172" s="1126">
        <f t="shared" si="32"/>
        <v>678403.33000000007</v>
      </c>
      <c r="M172" s="1126">
        <f t="shared" si="32"/>
        <v>201567.19999999998</v>
      </c>
      <c r="N172" s="1126">
        <f t="shared" si="32"/>
        <v>107226.00000000003</v>
      </c>
      <c r="O172" s="1126">
        <f t="shared" si="32"/>
        <v>1177491.8800000001</v>
      </c>
      <c r="P172" s="1126">
        <f t="shared" si="32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622" t="s">
        <v>1375</v>
      </c>
      <c r="K192" s="1622"/>
      <c r="L192" s="1622"/>
      <c r="M192" s="1622"/>
      <c r="N192" s="1622"/>
      <c r="O192" s="1622"/>
      <c r="P192" s="1622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623" t="s">
        <v>1554</v>
      </c>
      <c r="K193" s="1623"/>
      <c r="L193" s="1623"/>
      <c r="M193" s="1623"/>
      <c r="N193" s="1623"/>
      <c r="O193" s="1623"/>
      <c r="P193" s="1623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2:P192"/>
    <mergeCell ref="J193:P193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3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3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3" x14ac:dyDescent="0.25">
      <c r="B8" s="1881" t="s">
        <v>1810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3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1"/>
      <c r="C11" s="1901" t="s">
        <v>802</v>
      </c>
      <c r="D11" s="1901" t="s">
        <v>9</v>
      </c>
      <c r="E11" s="1331" t="s">
        <v>12</v>
      </c>
      <c r="F11" s="1936" t="s">
        <v>13</v>
      </c>
      <c r="G11" s="1934" t="s">
        <v>14</v>
      </c>
      <c r="H11" s="1934" t="s">
        <v>15</v>
      </c>
      <c r="I11" s="1934" t="s">
        <v>16</v>
      </c>
      <c r="J11" s="1934" t="s">
        <v>17</v>
      </c>
      <c r="K11" s="1934" t="s">
        <v>18</v>
      </c>
      <c r="L11" s="1934" t="s">
        <v>19</v>
      </c>
      <c r="M11" s="1934" t="s">
        <v>20</v>
      </c>
    </row>
    <row r="12" spans="2:13" ht="16.5" customHeight="1" x14ac:dyDescent="0.25">
      <c r="B12" s="1902"/>
      <c r="C12" s="1902"/>
      <c r="D12" s="1902"/>
      <c r="E12" s="1331" t="s">
        <v>21</v>
      </c>
      <c r="F12" s="1937"/>
      <c r="G12" s="1935"/>
      <c r="H12" s="1935"/>
      <c r="I12" s="1935"/>
      <c r="J12" s="1935"/>
      <c r="K12" s="1935"/>
      <c r="L12" s="1935"/>
      <c r="M12" s="193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77" t="s">
        <v>1372</v>
      </c>
      <c r="H38" s="1877"/>
      <c r="I38" s="1877"/>
      <c r="J38" s="1877"/>
      <c r="K38" s="1877"/>
      <c r="L38" s="1877"/>
    </row>
    <row r="39" spans="2:13" x14ac:dyDescent="0.25">
      <c r="B39" s="1083" t="s">
        <v>1238</v>
      </c>
      <c r="C39" s="1083"/>
      <c r="D39" s="921"/>
      <c r="E39" s="915"/>
      <c r="F39" s="915"/>
      <c r="G39" s="1875" t="s">
        <v>1222</v>
      </c>
      <c r="H39" s="1875"/>
      <c r="I39" s="1875"/>
      <c r="J39" s="1875"/>
      <c r="K39" s="1875"/>
      <c r="L39" s="1875"/>
    </row>
    <row r="40" spans="2:13" x14ac:dyDescent="0.25">
      <c r="B40" s="916" t="s">
        <v>1239</v>
      </c>
      <c r="C40" s="916"/>
      <c r="D40" s="915"/>
      <c r="E40" s="915"/>
      <c r="F40" s="923"/>
      <c r="G40" s="1874" t="s">
        <v>1503</v>
      </c>
      <c r="H40" s="1874"/>
      <c r="I40" s="1874"/>
      <c r="J40" s="1874"/>
      <c r="K40" s="1874"/>
      <c r="L40" s="1874"/>
    </row>
    <row r="44" spans="2:13" ht="30" customHeight="1" x14ac:dyDescent="0.25"/>
    <row r="48" spans="2:13" x14ac:dyDescent="0.25">
      <c r="E48" s="924"/>
      <c r="F48" s="923"/>
      <c r="G48" s="915"/>
      <c r="H48" s="1879"/>
      <c r="I48" s="1879"/>
      <c r="J48" s="1879"/>
      <c r="K48" s="1879"/>
      <c r="L48" s="1879"/>
      <c r="M48" s="1879"/>
    </row>
    <row r="49" spans="5:13" x14ac:dyDescent="0.25">
      <c r="E49" s="925"/>
      <c r="F49" s="1872"/>
      <c r="G49" s="1872"/>
      <c r="H49" s="1872"/>
      <c r="I49" s="1872"/>
      <c r="J49" s="1872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1811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2" t="s">
        <v>1250</v>
      </c>
      <c r="H52" s="1862"/>
      <c r="I52" s="1862"/>
      <c r="J52" s="1862"/>
      <c r="K52" s="1862"/>
      <c r="L52" s="186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8" t="s">
        <v>852</v>
      </c>
      <c r="H53" s="1808"/>
      <c r="I53" s="1808"/>
      <c r="J53" s="1808"/>
      <c r="K53" s="1808"/>
      <c r="L53" s="180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09" t="s">
        <v>1506</v>
      </c>
      <c r="H54" s="1809"/>
      <c r="I54" s="1809"/>
      <c r="J54" s="1809"/>
      <c r="K54" s="1809"/>
      <c r="L54" s="180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0"/>
      <c r="I55" s="1810"/>
      <c r="J55" s="1810"/>
      <c r="K55" s="1810"/>
      <c r="L55" s="1810"/>
      <c r="M55" s="181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734"/>
      <c r="G68" s="1734"/>
      <c r="H68" s="1734"/>
      <c r="I68" s="1734"/>
      <c r="J68" s="1734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1812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0" t="s">
        <v>1269</v>
      </c>
      <c r="B69" s="1870"/>
      <c r="C69" s="753"/>
      <c r="D69" s="753"/>
      <c r="E69" s="754"/>
      <c r="F69" s="755"/>
      <c r="H69" s="1871" t="s">
        <v>852</v>
      </c>
      <c r="I69" s="1871"/>
      <c r="J69" s="1871"/>
      <c r="K69" s="1871"/>
      <c r="L69" s="1871"/>
      <c r="M69" s="1871"/>
    </row>
    <row r="70" spans="1:13" s="259" customFormat="1" ht="19.5" customHeight="1" x14ac:dyDescent="0.25">
      <c r="A70" s="1809" t="s">
        <v>1813</v>
      </c>
      <c r="B70" s="1809"/>
      <c r="C70" s="753"/>
      <c r="D70" s="753"/>
      <c r="E70" s="754"/>
      <c r="F70" s="755"/>
      <c r="H70" s="1623" t="s">
        <v>1505</v>
      </c>
      <c r="I70" s="1623"/>
      <c r="J70" s="1623"/>
      <c r="K70" s="1623"/>
      <c r="L70" s="1623"/>
      <c r="M70" s="1623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0"/>
      <c r="I82" s="1810"/>
      <c r="J82" s="1810"/>
      <c r="K82" s="1810"/>
      <c r="L82" s="1810"/>
      <c r="M82" s="1810"/>
    </row>
    <row r="83" spans="1:13" ht="15.75" x14ac:dyDescent="0.25">
      <c r="A83" s="267"/>
      <c r="B83" s="267"/>
      <c r="C83" s="268"/>
      <c r="D83" s="268"/>
      <c r="E83" s="269"/>
      <c r="F83" s="1738"/>
      <c r="G83" s="1738"/>
      <c r="H83" s="1738"/>
      <c r="I83" s="1738"/>
      <c r="J83" s="1738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64" t="s">
        <v>1502</v>
      </c>
      <c r="B11" s="1864"/>
      <c r="C11" s="1864"/>
      <c r="D11" s="1864"/>
      <c r="E11" s="1864"/>
      <c r="F11" s="1864"/>
      <c r="G11" s="1864"/>
      <c r="H11" s="1864"/>
      <c r="I11" s="1864"/>
      <c r="J11" s="1864"/>
      <c r="K11" s="1864"/>
      <c r="L11" s="1864"/>
      <c r="M11" s="1864"/>
    </row>
    <row r="12" spans="1:14" ht="0.75" customHeight="1" x14ac:dyDescent="0.25">
      <c r="A12" s="1864"/>
      <c r="B12" s="1864"/>
      <c r="C12" s="1864"/>
      <c r="D12" s="1864"/>
      <c r="E12" s="1864"/>
      <c r="F12" s="1864"/>
      <c r="G12" s="1864"/>
      <c r="H12" s="1864"/>
      <c r="I12" s="1864"/>
      <c r="J12" s="1864"/>
      <c r="K12" s="1864"/>
      <c r="L12" s="1864"/>
      <c r="M12" s="1864"/>
      <c r="N12" s="1864"/>
    </row>
    <row r="13" spans="1:14" ht="15.75" x14ac:dyDescent="0.25">
      <c r="A13" s="1864" t="s">
        <v>1460</v>
      </c>
      <c r="B13" s="1864"/>
      <c r="C13" s="1864"/>
      <c r="D13" s="1864"/>
      <c r="E13" s="1864"/>
      <c r="F13" s="1864"/>
      <c r="G13" s="1864"/>
      <c r="H13" s="1864"/>
      <c r="I13" s="1864"/>
      <c r="J13" s="1864"/>
      <c r="K13" s="1864"/>
      <c r="L13" s="1864"/>
      <c r="M13" s="1864"/>
    </row>
    <row r="14" spans="1:14" ht="15.75" x14ac:dyDescent="0.25">
      <c r="A14" s="1864" t="s">
        <v>1815</v>
      </c>
      <c r="B14" s="1864"/>
      <c r="C14" s="1864"/>
      <c r="D14" s="1864"/>
      <c r="E14" s="1864"/>
      <c r="F14" s="1864"/>
      <c r="G14" s="1864"/>
      <c r="H14" s="1864"/>
      <c r="I14" s="1864"/>
      <c r="J14" s="1864"/>
      <c r="K14" s="1864"/>
      <c r="L14" s="1864"/>
      <c r="M14" s="1864"/>
    </row>
    <row r="15" spans="1:14" ht="15.75" x14ac:dyDescent="0.25">
      <c r="A15" s="1882" t="s">
        <v>404</v>
      </c>
      <c r="B15" s="1882"/>
      <c r="C15" s="1882"/>
      <c r="D15" s="1882"/>
      <c r="E15" s="1882"/>
      <c r="F15" s="1882"/>
      <c r="G15" s="1882"/>
      <c r="H15" s="1882"/>
      <c r="I15" s="1882"/>
      <c r="J15" s="1882"/>
      <c r="K15" s="1882"/>
      <c r="L15" s="1882"/>
      <c r="M15" s="1882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28" t="s">
        <v>7</v>
      </c>
      <c r="B17" s="1930" t="s">
        <v>802</v>
      </c>
      <c r="C17" s="1930" t="s">
        <v>9</v>
      </c>
      <c r="D17" s="1930" t="s">
        <v>11</v>
      </c>
      <c r="E17" s="1390" t="s">
        <v>12</v>
      </c>
      <c r="F17" s="1932" t="s">
        <v>13</v>
      </c>
      <c r="G17" s="1924" t="s">
        <v>14</v>
      </c>
      <c r="H17" s="1926" t="s">
        <v>15</v>
      </c>
      <c r="I17" s="1926" t="s">
        <v>15</v>
      </c>
      <c r="J17" s="1926" t="s">
        <v>17</v>
      </c>
      <c r="K17" s="1926" t="s">
        <v>18</v>
      </c>
      <c r="L17" s="1926" t="s">
        <v>19</v>
      </c>
      <c r="M17" s="1922" t="s">
        <v>20</v>
      </c>
    </row>
    <row r="18" spans="1:13" ht="16.5" thickBot="1" x14ac:dyDescent="0.3">
      <c r="A18" s="1929"/>
      <c r="B18" s="1931"/>
      <c r="C18" s="1931"/>
      <c r="D18" s="1931"/>
      <c r="E18" s="1391" t="s">
        <v>21</v>
      </c>
      <c r="F18" s="1933"/>
      <c r="G18" s="1925"/>
      <c r="H18" s="1927"/>
      <c r="I18" s="1927"/>
      <c r="J18" s="1927"/>
      <c r="K18" s="1927"/>
      <c r="L18" s="1927"/>
      <c r="M18" s="1923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0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3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3">
        <f t="shared" si="22"/>
        <v>6718.1</v>
      </c>
      <c r="L149" s="963">
        <f t="shared" si="22"/>
        <v>67573.040000000008</v>
      </c>
      <c r="M149" s="965">
        <f t="shared" si="22"/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3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3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3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3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3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3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3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3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3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3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3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3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38"/>
        <v>1016787.18</v>
      </c>
      <c r="M245" s="1076">
        <f t="shared" si="38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884" t="s">
        <v>1271</v>
      </c>
      <c r="B265" s="1884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2" t="s">
        <v>1504</v>
      </c>
      <c r="J266" s="1792"/>
      <c r="K266" s="1792"/>
      <c r="L266" s="1792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17" t="s">
        <v>1502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1:16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1:16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1:16" x14ac:dyDescent="0.25">
      <c r="B8" s="1617" t="s">
        <v>1816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  <c r="P8" s="1617"/>
    </row>
    <row r="9" spans="1:16" x14ac:dyDescent="0.25">
      <c r="B9" s="1618" t="s">
        <v>441</v>
      </c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  <c r="P9" s="161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15" t="s">
        <v>7</v>
      </c>
      <c r="C11" s="1615" t="s">
        <v>937</v>
      </c>
      <c r="D11" s="1616" t="s">
        <v>10</v>
      </c>
      <c r="E11" s="1615" t="s">
        <v>832</v>
      </c>
      <c r="F11" s="1615" t="s">
        <v>834</v>
      </c>
      <c r="G11" s="1615" t="s">
        <v>209</v>
      </c>
      <c r="H11" s="1051" t="s">
        <v>12</v>
      </c>
      <c r="I11" s="1619" t="s">
        <v>13</v>
      </c>
      <c r="J11" s="1620" t="s">
        <v>14</v>
      </c>
      <c r="K11" s="1620" t="s">
        <v>15</v>
      </c>
      <c r="L11" s="1620" t="s">
        <v>16</v>
      </c>
      <c r="M11" s="1621" t="s">
        <v>17</v>
      </c>
      <c r="N11" s="1621" t="s">
        <v>18</v>
      </c>
      <c r="O11" s="1621" t="s">
        <v>19</v>
      </c>
      <c r="P11" s="1620" t="s">
        <v>20</v>
      </c>
    </row>
    <row r="12" spans="1:16" x14ac:dyDescent="0.25">
      <c r="A12" s="1378"/>
      <c r="B12" s="1615"/>
      <c r="C12" s="1615"/>
      <c r="D12" s="1616"/>
      <c r="E12" s="1615"/>
      <c r="F12" s="1615"/>
      <c r="G12" s="1615"/>
      <c r="H12" s="1051" t="s">
        <v>21</v>
      </c>
      <c r="I12" s="1619"/>
      <c r="J12" s="1620"/>
      <c r="K12" s="1620"/>
      <c r="L12" s="1620"/>
      <c r="M12" s="1621"/>
      <c r="N12" s="1621"/>
      <c r="O12" s="1621"/>
      <c r="P12" s="162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>SUM(J113:J119)</f>
        <v>525000</v>
      </c>
      <c r="K120" s="695">
        <f t="shared" ref="K120:P120" si="17">SUM(K113:K119)</f>
        <v>15067.5</v>
      </c>
      <c r="L120" s="695">
        <f t="shared" si="17"/>
        <v>45868.849999999991</v>
      </c>
      <c r="M120" s="695">
        <f t="shared" si="17"/>
        <v>15960</v>
      </c>
      <c r="N120" s="695">
        <f t="shared" si="17"/>
        <v>3162.16</v>
      </c>
      <c r="O120" s="695">
        <f t="shared" si="17"/>
        <v>80058.50999999998</v>
      </c>
      <c r="P120" s="695">
        <f t="shared" si="17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28">+K163+L163+M163+N163</f>
        <v>23926.87</v>
      </c>
      <c r="P163" s="468">
        <f t="shared" ref="P163:P169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28"/>
        <v>10902.84</v>
      </c>
      <c r="P166" s="468">
        <f t="shared" si="29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28"/>
        <v>9530.48</v>
      </c>
      <c r="P168" s="468">
        <f t="shared" si="29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0">SUM(J163:J170)</f>
        <v>583500</v>
      </c>
      <c r="K171" s="695">
        <f t="shared" si="30"/>
        <v>16746.45</v>
      </c>
      <c r="L171" s="695">
        <f t="shared" si="30"/>
        <v>48241.88</v>
      </c>
      <c r="M171" s="695">
        <f t="shared" si="30"/>
        <v>17738.400000000001</v>
      </c>
      <c r="N171" s="695">
        <f t="shared" si="30"/>
        <v>8777.2999999999993</v>
      </c>
      <c r="O171" s="695">
        <f t="shared" si="30"/>
        <v>91504.029999999984</v>
      </c>
      <c r="P171" s="695">
        <f t="shared" si="30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1">+J171+J160+J148+J138</f>
        <v>2380500</v>
      </c>
      <c r="K172" s="695">
        <f t="shared" si="31"/>
        <v>68320.350000000006</v>
      </c>
      <c r="L172" s="695">
        <f t="shared" si="31"/>
        <v>189972.88</v>
      </c>
      <c r="M172" s="695">
        <f t="shared" si="31"/>
        <v>72367.200000000012</v>
      </c>
      <c r="N172" s="695">
        <f t="shared" si="31"/>
        <v>19720.059999999998</v>
      </c>
      <c r="O172" s="695">
        <f t="shared" si="31"/>
        <v>350380.48999999993</v>
      </c>
      <c r="P172" s="695">
        <f t="shared" si="31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2">+J16+J20+J29+J33+J38+J43+J47+J51+J59+J66+J73+J87+J96+J100+J106+J110+J120+J124+J138+J148+J160+J171+J77+J63+J55+J24</f>
        <v>6910500</v>
      </c>
      <c r="K174" s="1126">
        <f t="shared" si="32"/>
        <v>198331.35000000003</v>
      </c>
      <c r="L174" s="1126">
        <f t="shared" si="32"/>
        <v>699684.74000000011</v>
      </c>
      <c r="M174" s="1126">
        <f t="shared" si="32"/>
        <v>210079.19999999998</v>
      </c>
      <c r="N174" s="1126">
        <f t="shared" si="32"/>
        <v>111534.20000000003</v>
      </c>
      <c r="O174" s="1126">
        <f t="shared" si="32"/>
        <v>1219629.49</v>
      </c>
      <c r="P174" s="1126">
        <f t="shared" si="32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22" t="s">
        <v>1375</v>
      </c>
      <c r="K194" s="1622"/>
      <c r="L194" s="1622"/>
      <c r="M194" s="1622"/>
      <c r="N194" s="1622"/>
      <c r="O194" s="1622"/>
      <c r="P194" s="1622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23" t="s">
        <v>1554</v>
      </c>
      <c r="K195" s="1623"/>
      <c r="L195" s="1623"/>
      <c r="M195" s="1623"/>
      <c r="N195" s="1623"/>
      <c r="O195" s="1623"/>
      <c r="P195" s="1623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3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3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3" x14ac:dyDescent="0.25">
      <c r="B8" s="1881" t="s">
        <v>1817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3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1"/>
      <c r="C11" s="1901" t="s">
        <v>802</v>
      </c>
      <c r="D11" s="1901" t="s">
        <v>9</v>
      </c>
      <c r="E11" s="1331" t="s">
        <v>12</v>
      </c>
      <c r="F11" s="1936" t="s">
        <v>13</v>
      </c>
      <c r="G11" s="1934" t="s">
        <v>14</v>
      </c>
      <c r="H11" s="1934" t="s">
        <v>15</v>
      </c>
      <c r="I11" s="1934" t="s">
        <v>16</v>
      </c>
      <c r="J11" s="1934" t="s">
        <v>17</v>
      </c>
      <c r="K11" s="1934" t="s">
        <v>18</v>
      </c>
      <c r="L11" s="1934" t="s">
        <v>19</v>
      </c>
      <c r="M11" s="1934" t="s">
        <v>20</v>
      </c>
    </row>
    <row r="12" spans="2:13" ht="16.5" customHeight="1" x14ac:dyDescent="0.25">
      <c r="B12" s="1902"/>
      <c r="C12" s="1902"/>
      <c r="D12" s="1902"/>
      <c r="E12" s="1331" t="s">
        <v>21</v>
      </c>
      <c r="F12" s="1937"/>
      <c r="G12" s="1935"/>
      <c r="H12" s="1935"/>
      <c r="I12" s="1935"/>
      <c r="J12" s="1935"/>
      <c r="K12" s="1935"/>
      <c r="L12" s="1935"/>
      <c r="M12" s="193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77" t="s">
        <v>1372</v>
      </c>
      <c r="H38" s="1877"/>
      <c r="I38" s="1877"/>
      <c r="J38" s="1877"/>
      <c r="K38" s="1877"/>
      <c r="L38" s="1877"/>
    </row>
    <row r="39" spans="2:13" x14ac:dyDescent="0.25">
      <c r="B39" s="1083" t="s">
        <v>1238</v>
      </c>
      <c r="C39" s="1083"/>
      <c r="D39" s="921"/>
      <c r="E39" s="915"/>
      <c r="F39" s="915"/>
      <c r="G39" s="1875" t="s">
        <v>1222</v>
      </c>
      <c r="H39" s="1875"/>
      <c r="I39" s="1875"/>
      <c r="J39" s="1875"/>
      <c r="K39" s="1875"/>
      <c r="L39" s="1875"/>
    </row>
    <row r="40" spans="2:13" x14ac:dyDescent="0.25">
      <c r="B40" s="916" t="s">
        <v>1239</v>
      </c>
      <c r="C40" s="916"/>
      <c r="D40" s="915"/>
      <c r="E40" s="915"/>
      <c r="F40" s="923"/>
      <c r="G40" s="1874" t="s">
        <v>1503</v>
      </c>
      <c r="H40" s="1874"/>
      <c r="I40" s="1874"/>
      <c r="J40" s="1874"/>
      <c r="K40" s="1874"/>
      <c r="L40" s="1874"/>
    </row>
    <row r="44" spans="2:13" ht="30" customHeight="1" x14ac:dyDescent="0.25"/>
    <row r="48" spans="2:13" x14ac:dyDescent="0.25">
      <c r="E48" s="924"/>
      <c r="F48" s="923"/>
      <c r="G48" s="915"/>
      <c r="H48" s="1879"/>
      <c r="I48" s="1879"/>
      <c r="J48" s="1879"/>
      <c r="K48" s="1879"/>
      <c r="L48" s="1879"/>
      <c r="M48" s="1879"/>
    </row>
    <row r="49" spans="5:13" x14ac:dyDescent="0.25">
      <c r="E49" s="925"/>
      <c r="F49" s="1872"/>
      <c r="G49" s="1872"/>
      <c r="H49" s="1872"/>
      <c r="I49" s="1872"/>
      <c r="J49" s="1872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1818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2" t="s">
        <v>1250</v>
      </c>
      <c r="H52" s="1862"/>
      <c r="I52" s="1862"/>
      <c r="J52" s="1862"/>
      <c r="K52" s="1862"/>
      <c r="L52" s="186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8" t="s">
        <v>852</v>
      </c>
      <c r="H53" s="1808"/>
      <c r="I53" s="1808"/>
      <c r="J53" s="1808"/>
      <c r="K53" s="1808"/>
      <c r="L53" s="180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09" t="s">
        <v>1506</v>
      </c>
      <c r="H54" s="1809"/>
      <c r="I54" s="1809"/>
      <c r="J54" s="1809"/>
      <c r="K54" s="1809"/>
      <c r="L54" s="180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0"/>
      <c r="I55" s="1810"/>
      <c r="J55" s="1810"/>
      <c r="K55" s="1810"/>
      <c r="L55" s="1810"/>
      <c r="M55" s="181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734"/>
      <c r="G68" s="1734"/>
      <c r="H68" s="1734"/>
      <c r="I68" s="1734"/>
      <c r="J68" s="1734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1819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0" t="s">
        <v>1269</v>
      </c>
      <c r="B69" s="1870"/>
      <c r="C69" s="753"/>
      <c r="D69" s="753"/>
      <c r="E69" s="754"/>
      <c r="F69" s="755"/>
      <c r="H69" s="1871" t="s">
        <v>852</v>
      </c>
      <c r="I69" s="1871"/>
      <c r="J69" s="1871"/>
      <c r="K69" s="1871"/>
      <c r="L69" s="1871"/>
      <c r="M69" s="1871"/>
    </row>
    <row r="70" spans="1:13" s="259" customFormat="1" ht="19.5" customHeight="1" x14ac:dyDescent="0.25">
      <c r="A70" s="1809" t="s">
        <v>1813</v>
      </c>
      <c r="B70" s="1809"/>
      <c r="C70" s="753"/>
      <c r="D70" s="753"/>
      <c r="E70" s="754"/>
      <c r="F70" s="755"/>
      <c r="H70" s="1623" t="s">
        <v>1505</v>
      </c>
      <c r="I70" s="1623"/>
      <c r="J70" s="1623"/>
      <c r="K70" s="1623"/>
      <c r="L70" s="1623"/>
      <c r="M70" s="1623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0"/>
      <c r="I82" s="1810"/>
      <c r="J82" s="1810"/>
      <c r="K82" s="1810"/>
      <c r="L82" s="1810"/>
      <c r="M82" s="1810"/>
    </row>
    <row r="83" spans="1:13" ht="15.75" x14ac:dyDescent="0.25">
      <c r="A83" s="267"/>
      <c r="B83" s="267"/>
      <c r="C83" s="268"/>
      <c r="D83" s="268"/>
      <c r="E83" s="269"/>
      <c r="F83" s="1738"/>
      <c r="G83" s="1738"/>
      <c r="H83" s="1738"/>
      <c r="I83" s="1738"/>
      <c r="J83" s="1738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864" t="s">
        <v>1502</v>
      </c>
      <c r="B11" s="1864"/>
      <c r="C11" s="1864"/>
      <c r="D11" s="1864"/>
      <c r="E11" s="1864"/>
      <c r="F11" s="1864"/>
      <c r="G11" s="1864"/>
      <c r="H11" s="1864"/>
      <c r="I11" s="1864"/>
      <c r="J11" s="1864"/>
      <c r="K11" s="1864"/>
      <c r="L11" s="1864"/>
      <c r="M11" s="1864"/>
    </row>
    <row r="12" spans="1:14" ht="0.75" customHeight="1" x14ac:dyDescent="0.25">
      <c r="A12" s="1864"/>
      <c r="B12" s="1864"/>
      <c r="C12" s="1864"/>
      <c r="D12" s="1864"/>
      <c r="E12" s="1864"/>
      <c r="F12" s="1864"/>
      <c r="G12" s="1864"/>
      <c r="H12" s="1864"/>
      <c r="I12" s="1864"/>
      <c r="J12" s="1864"/>
      <c r="K12" s="1864"/>
      <c r="L12" s="1864"/>
      <c r="M12" s="1864"/>
      <c r="N12" s="1864"/>
    </row>
    <row r="13" spans="1:14" ht="15.75" x14ac:dyDescent="0.25">
      <c r="A13" s="1864" t="s">
        <v>1460</v>
      </c>
      <c r="B13" s="1864"/>
      <c r="C13" s="1864"/>
      <c r="D13" s="1864"/>
      <c r="E13" s="1864"/>
      <c r="F13" s="1864"/>
      <c r="G13" s="1864"/>
      <c r="H13" s="1864"/>
      <c r="I13" s="1864"/>
      <c r="J13" s="1864"/>
      <c r="K13" s="1864"/>
      <c r="L13" s="1864"/>
      <c r="M13" s="1864"/>
    </row>
    <row r="14" spans="1:14" ht="15.75" x14ac:dyDescent="0.25">
      <c r="A14" s="1864" t="s">
        <v>1828</v>
      </c>
      <c r="B14" s="1864"/>
      <c r="C14" s="1864"/>
      <c r="D14" s="1864"/>
      <c r="E14" s="1864"/>
      <c r="F14" s="1864"/>
      <c r="G14" s="1864"/>
      <c r="H14" s="1864"/>
      <c r="I14" s="1864"/>
      <c r="J14" s="1864"/>
      <c r="K14" s="1864"/>
      <c r="L14" s="1864"/>
      <c r="M14" s="1864"/>
    </row>
    <row r="15" spans="1:14" ht="15.75" x14ac:dyDescent="0.25">
      <c r="A15" s="1882" t="s">
        <v>404</v>
      </c>
      <c r="B15" s="1882"/>
      <c r="C15" s="1882"/>
      <c r="D15" s="1882"/>
      <c r="E15" s="1882"/>
      <c r="F15" s="1882"/>
      <c r="G15" s="1882"/>
      <c r="H15" s="1882"/>
      <c r="I15" s="1882"/>
      <c r="J15" s="1882"/>
      <c r="K15" s="1882"/>
      <c r="L15" s="1882"/>
      <c r="M15" s="1882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928" t="s">
        <v>7</v>
      </c>
      <c r="B17" s="1930" t="s">
        <v>802</v>
      </c>
      <c r="C17" s="1930" t="s">
        <v>9</v>
      </c>
      <c r="D17" s="1930" t="s">
        <v>11</v>
      </c>
      <c r="E17" s="1390" t="s">
        <v>12</v>
      </c>
      <c r="F17" s="1932" t="s">
        <v>13</v>
      </c>
      <c r="G17" s="1924" t="s">
        <v>14</v>
      </c>
      <c r="H17" s="1926" t="s">
        <v>15</v>
      </c>
      <c r="I17" s="1620" t="s">
        <v>16</v>
      </c>
      <c r="J17" s="1926" t="s">
        <v>17</v>
      </c>
      <c r="K17" s="1926" t="s">
        <v>18</v>
      </c>
      <c r="L17" s="1926" t="s">
        <v>19</v>
      </c>
      <c r="M17" s="1922" t="s">
        <v>20</v>
      </c>
    </row>
    <row r="18" spans="1:13" ht="16.5" thickBot="1" x14ac:dyDescent="0.3">
      <c r="A18" s="1929"/>
      <c r="B18" s="1931"/>
      <c r="C18" s="1931"/>
      <c r="D18" s="1931"/>
      <c r="E18" s="1391" t="s">
        <v>21</v>
      </c>
      <c r="F18" s="1933"/>
      <c r="G18" s="1925"/>
      <c r="H18" s="1927"/>
      <c r="I18" s="1620"/>
      <c r="J18" s="1927"/>
      <c r="K18" s="1927"/>
      <c r="L18" s="1927"/>
      <c r="M18" s="1923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6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6">
        <f>SUM(K28:K31)</f>
        <v>13685.37</v>
      </c>
      <c r="L32" s="963">
        <f t="shared" si="1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6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6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6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395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6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6">
        <f>SUM(K66:K80)</f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0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0"/>
        <v>2305.5</v>
      </c>
      <c r="M86" s="953">
        <f t="shared" si="11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0"/>
        <v>1502.5</v>
      </c>
      <c r="M92" s="953">
        <f t="shared" si="11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1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6">
        <f>SUM(K84:K93)</f>
        <v>8576.36</v>
      </c>
      <c r="L94" s="963">
        <f t="shared" si="12"/>
        <v>25381.33</v>
      </c>
      <c r="M94" s="963">
        <f t="shared" si="12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6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6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6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6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6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 t="shared" ref="E126:M126" si="18">SUM(E121:E125)</f>
        <v>410000</v>
      </c>
      <c r="F126" s="964">
        <f t="shared" si="18"/>
        <v>0</v>
      </c>
      <c r="G126" s="963">
        <f t="shared" si="18"/>
        <v>410000</v>
      </c>
      <c r="H126" s="963">
        <f t="shared" si="18"/>
        <v>11767</v>
      </c>
      <c r="I126" s="963">
        <f t="shared" si="18"/>
        <v>45805.460000000006</v>
      </c>
      <c r="J126" s="963">
        <f t="shared" si="18"/>
        <v>12464</v>
      </c>
      <c r="K126" s="966">
        <f t="shared" si="18"/>
        <v>225</v>
      </c>
      <c r="L126" s="963">
        <f t="shared" si="18"/>
        <v>70261.459999999992</v>
      </c>
      <c r="M126" s="963">
        <f t="shared" si="18"/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6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6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6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6">
        <f t="shared" si="22"/>
        <v>9365.4699999999993</v>
      </c>
      <c r="L149" s="963">
        <f t="shared" si="22"/>
        <v>70220.41</v>
      </c>
      <c r="M149" s="965">
        <f t="shared" si="22"/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6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6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6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6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6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6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6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6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6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6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6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6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38"/>
        <v>1019085.1900000001</v>
      </c>
      <c r="M245" s="1076">
        <f t="shared" si="38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4" t="s">
        <v>1271</v>
      </c>
      <c r="B265" s="1884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2" t="s">
        <v>1504</v>
      </c>
      <c r="J266" s="1792"/>
      <c r="K266" s="1863"/>
      <c r="L266" s="1792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62" activePane="bottomLeft" state="frozen"/>
      <selection pane="bottomLeft" activeCell="B166" sqref="B166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617" t="s">
        <v>1502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1:16" x14ac:dyDescent="0.25">
      <c r="B6" s="1617" t="s">
        <v>1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1:16" x14ac:dyDescent="0.25">
      <c r="B7" s="1617" t="s">
        <v>3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1:16" x14ac:dyDescent="0.25">
      <c r="B8" s="1617" t="s">
        <v>1829</v>
      </c>
      <c r="C8" s="1617"/>
      <c r="D8" s="1617"/>
      <c r="E8" s="1617"/>
      <c r="F8" s="1617"/>
      <c r="G8" s="1617"/>
      <c r="H8" s="1617"/>
      <c r="I8" s="1617"/>
      <c r="J8" s="1617"/>
      <c r="K8" s="1617"/>
      <c r="L8" s="1617"/>
      <c r="M8" s="1617"/>
      <c r="N8" s="1617"/>
      <c r="O8" s="1617"/>
      <c r="P8" s="1617"/>
    </row>
    <row r="9" spans="1:16" x14ac:dyDescent="0.25">
      <c r="B9" s="1618" t="s">
        <v>441</v>
      </c>
      <c r="C9" s="1618"/>
      <c r="D9" s="1618"/>
      <c r="E9" s="1618"/>
      <c r="F9" s="1618"/>
      <c r="G9" s="1618"/>
      <c r="H9" s="1618"/>
      <c r="I9" s="1618"/>
      <c r="J9" s="1618"/>
      <c r="K9" s="1618"/>
      <c r="L9" s="1618"/>
      <c r="M9" s="1618"/>
      <c r="N9" s="1618"/>
      <c r="O9" s="1618"/>
      <c r="P9" s="1618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15" t="s">
        <v>7</v>
      </c>
      <c r="C11" s="1615" t="s">
        <v>937</v>
      </c>
      <c r="D11" s="1616" t="s">
        <v>10</v>
      </c>
      <c r="E11" s="1615" t="s">
        <v>832</v>
      </c>
      <c r="F11" s="1615" t="s">
        <v>834</v>
      </c>
      <c r="G11" s="1615" t="s">
        <v>209</v>
      </c>
      <c r="H11" s="1051" t="s">
        <v>12</v>
      </c>
      <c r="I11" s="1619" t="s">
        <v>13</v>
      </c>
      <c r="J11" s="1620" t="s">
        <v>14</v>
      </c>
      <c r="K11" s="1620" t="s">
        <v>15</v>
      </c>
      <c r="L11" s="1620" t="s">
        <v>16</v>
      </c>
      <c r="M11" s="1621" t="s">
        <v>17</v>
      </c>
      <c r="N11" s="1621" t="s">
        <v>18</v>
      </c>
      <c r="O11" s="1621" t="s">
        <v>19</v>
      </c>
      <c r="P11" s="1620" t="s">
        <v>20</v>
      </c>
    </row>
    <row r="12" spans="1:16" x14ac:dyDescent="0.25">
      <c r="A12" s="1378"/>
      <c r="B12" s="1615"/>
      <c r="C12" s="1615"/>
      <c r="D12" s="1616"/>
      <c r="E12" s="1615"/>
      <c r="F12" s="1615"/>
      <c r="G12" s="1615"/>
      <c r="H12" s="1051" t="s">
        <v>21</v>
      </c>
      <c r="I12" s="1619"/>
      <c r="J12" s="1620"/>
      <c r="K12" s="1620"/>
      <c r="L12" s="1620"/>
      <c r="M12" s="1621"/>
      <c r="N12" s="1621"/>
      <c r="O12" s="1621"/>
      <c r="P12" s="162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5"/>
        <v>10902.84</v>
      </c>
      <c r="P115" s="468">
        <f t="shared" si="16"/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 t="shared" ref="J120:P120" si="17">SUM(J113:J119)</f>
        <v>525000</v>
      </c>
      <c r="K120" s="695">
        <f t="shared" si="17"/>
        <v>15067.5</v>
      </c>
      <c r="L120" s="695">
        <f t="shared" si="17"/>
        <v>45525.75</v>
      </c>
      <c r="M120" s="695">
        <f t="shared" si="17"/>
        <v>15960</v>
      </c>
      <c r="N120" s="695">
        <f t="shared" si="17"/>
        <v>4877.62</v>
      </c>
      <c r="O120" s="695">
        <f t="shared" si="17"/>
        <v>81430.87</v>
      </c>
      <c r="P120" s="695">
        <f t="shared" si="17"/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28">+K163+L163+M163+N163</f>
        <v>23926.87</v>
      </c>
      <c r="P163" s="468">
        <f t="shared" ref="P163:P170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>+K166+L166+M166+N166</f>
        <v>9530.48</v>
      </c>
      <c r="P166" s="468">
        <f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28"/>
        <v>10902.84</v>
      </c>
      <c r="P168" s="468">
        <f t="shared" si="29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28"/>
        <v>9530.48</v>
      </c>
      <c r="P170" s="468">
        <f t="shared" si="29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0">SUM(J163:J171)</f>
        <v>653500</v>
      </c>
      <c r="K172" s="695">
        <f t="shared" si="30"/>
        <v>18755.45</v>
      </c>
      <c r="L172" s="695">
        <f t="shared" si="30"/>
        <v>53610.359999999993</v>
      </c>
      <c r="M172" s="695">
        <f t="shared" si="30"/>
        <v>19866.400000000001</v>
      </c>
      <c r="N172" s="695">
        <f t="shared" si="30"/>
        <v>8802.2999999999993</v>
      </c>
      <c r="O172" s="695">
        <f t="shared" si="30"/>
        <v>101034.50999999998</v>
      </c>
      <c r="P172" s="695">
        <f t="shared" si="30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1">+J172+J160+J148+J138</f>
        <v>2450500</v>
      </c>
      <c r="K173" s="695">
        <f t="shared" si="31"/>
        <v>70329.350000000006</v>
      </c>
      <c r="L173" s="695">
        <f t="shared" si="31"/>
        <v>195341.36</v>
      </c>
      <c r="M173" s="695">
        <f t="shared" si="31"/>
        <v>74495.200000000012</v>
      </c>
      <c r="N173" s="695">
        <f t="shared" si="31"/>
        <v>19745.059999999998</v>
      </c>
      <c r="O173" s="695">
        <f t="shared" si="31"/>
        <v>359910.97</v>
      </c>
      <c r="P173" s="695">
        <f t="shared" si="31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2">+J16+J20+J29+J33+J38+J43+J47+J51+J59+J66+J73+J87+J96+J100+J106+J110+J120+J124+J138+J148+J160+J172+J77+J63+J55+J24</f>
        <v>6980500</v>
      </c>
      <c r="K175" s="1126">
        <f t="shared" si="32"/>
        <v>200340.35000000003</v>
      </c>
      <c r="L175" s="1126">
        <f t="shared" si="32"/>
        <v>704710.12</v>
      </c>
      <c r="M175" s="1126">
        <f t="shared" si="32"/>
        <v>212207.19999999998</v>
      </c>
      <c r="N175" s="1126">
        <f t="shared" si="32"/>
        <v>113274.66000000002</v>
      </c>
      <c r="O175" s="1126">
        <f t="shared" si="32"/>
        <v>1230532.33</v>
      </c>
      <c r="P175" s="1126">
        <f t="shared" si="32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622" t="s">
        <v>1375</v>
      </c>
      <c r="K195" s="1622"/>
      <c r="L195" s="1622"/>
      <c r="M195" s="1622"/>
      <c r="N195" s="1622"/>
      <c r="O195" s="1622"/>
      <c r="P195" s="1622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623" t="s">
        <v>1554</v>
      </c>
      <c r="K196" s="1623"/>
      <c r="L196" s="1623"/>
      <c r="M196" s="1623"/>
      <c r="N196" s="1623"/>
      <c r="O196" s="1623"/>
      <c r="P196" s="1623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N11:N12"/>
    <mergeCell ref="O11:O12"/>
    <mergeCell ref="P11:P12"/>
    <mergeCell ref="J195:P195"/>
    <mergeCell ref="J196:P196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81" t="s">
        <v>0</v>
      </c>
      <c r="C5" s="1881"/>
      <c r="D5" s="1881"/>
      <c r="E5" s="1881"/>
      <c r="F5" s="1881"/>
      <c r="G5" s="1881"/>
      <c r="H5" s="1881"/>
      <c r="I5" s="1881"/>
      <c r="J5" s="1881"/>
      <c r="K5" s="1881"/>
      <c r="L5" s="1881"/>
      <c r="M5" s="1881"/>
    </row>
    <row r="6" spans="2:13" ht="13.5" customHeight="1" x14ac:dyDescent="0.25">
      <c r="B6" s="1881" t="s">
        <v>1</v>
      </c>
      <c r="C6" s="1881"/>
      <c r="D6" s="1881"/>
      <c r="E6" s="1881"/>
      <c r="F6" s="1881"/>
      <c r="G6" s="1881"/>
      <c r="H6" s="1881"/>
      <c r="I6" s="1881"/>
      <c r="J6" s="1881"/>
      <c r="K6" s="1881"/>
      <c r="L6" s="1881"/>
      <c r="M6" s="1881"/>
    </row>
    <row r="7" spans="2:13" ht="12" customHeight="1" x14ac:dyDescent="0.25">
      <c r="B7" s="1881" t="s">
        <v>3</v>
      </c>
      <c r="C7" s="1881"/>
      <c r="D7" s="1881"/>
      <c r="E7" s="1881"/>
      <c r="F7" s="1881"/>
      <c r="G7" s="1881"/>
      <c r="H7" s="1881"/>
      <c r="I7" s="1881"/>
      <c r="J7" s="1881"/>
      <c r="K7" s="1881"/>
      <c r="L7" s="1881"/>
      <c r="M7" s="1881"/>
    </row>
    <row r="8" spans="2:13" x14ac:dyDescent="0.25">
      <c r="B8" s="1881" t="s">
        <v>1830</v>
      </c>
      <c r="C8" s="1881"/>
      <c r="D8" s="1881"/>
      <c r="E8" s="1881"/>
      <c r="F8" s="1881"/>
      <c r="G8" s="1881"/>
      <c r="H8" s="1881"/>
      <c r="I8" s="1881"/>
      <c r="J8" s="1881"/>
      <c r="K8" s="1881"/>
      <c r="L8" s="1881"/>
      <c r="M8" s="1881"/>
    </row>
    <row r="9" spans="2:13" x14ac:dyDescent="0.25">
      <c r="B9" s="1872" t="s">
        <v>886</v>
      </c>
      <c r="C9" s="1872"/>
      <c r="D9" s="1872"/>
      <c r="E9" s="1872"/>
      <c r="F9" s="1872"/>
      <c r="G9" s="1872"/>
      <c r="H9" s="1872"/>
      <c r="I9" s="1872"/>
      <c r="J9" s="1872"/>
      <c r="K9" s="1872"/>
      <c r="L9" s="1872"/>
      <c r="M9" s="1872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1"/>
      <c r="C11" s="1901" t="s">
        <v>802</v>
      </c>
      <c r="D11" s="1901" t="s">
        <v>9</v>
      </c>
      <c r="E11" s="1331" t="s">
        <v>12</v>
      </c>
      <c r="F11" s="1936" t="s">
        <v>13</v>
      </c>
      <c r="G11" s="1934" t="s">
        <v>14</v>
      </c>
      <c r="H11" s="1934" t="s">
        <v>15</v>
      </c>
      <c r="I11" s="1934" t="s">
        <v>16</v>
      </c>
      <c r="J11" s="1934" t="s">
        <v>17</v>
      </c>
      <c r="K11" s="1934" t="s">
        <v>18</v>
      </c>
      <c r="L11" s="1934" t="s">
        <v>19</v>
      </c>
      <c r="M11" s="1934" t="s">
        <v>20</v>
      </c>
    </row>
    <row r="12" spans="2:13" ht="16.5" customHeight="1" x14ac:dyDescent="0.25">
      <c r="B12" s="1902"/>
      <c r="C12" s="1902"/>
      <c r="D12" s="1902"/>
      <c r="E12" s="1331" t="s">
        <v>21</v>
      </c>
      <c r="F12" s="1937"/>
      <c r="G12" s="1935"/>
      <c r="H12" s="1935"/>
      <c r="I12" s="1935"/>
      <c r="J12" s="1935"/>
      <c r="K12" s="1935"/>
      <c r="L12" s="1935"/>
      <c r="M12" s="1935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77" t="s">
        <v>1372</v>
      </c>
      <c r="H38" s="1877"/>
      <c r="I38" s="1877"/>
      <c r="J38" s="1877"/>
      <c r="K38" s="1877"/>
      <c r="L38" s="1877"/>
    </row>
    <row r="39" spans="2:13" x14ac:dyDescent="0.25">
      <c r="B39" s="1083" t="s">
        <v>1238</v>
      </c>
      <c r="C39" s="1083"/>
      <c r="D39" s="921"/>
      <c r="E39" s="915"/>
      <c r="F39" s="915"/>
      <c r="G39" s="1875" t="s">
        <v>1222</v>
      </c>
      <c r="H39" s="1875"/>
      <c r="I39" s="1875"/>
      <c r="J39" s="1875"/>
      <c r="K39" s="1875"/>
      <c r="L39" s="1875"/>
    </row>
    <row r="40" spans="2:13" x14ac:dyDescent="0.25">
      <c r="B40" s="916" t="s">
        <v>1239</v>
      </c>
      <c r="C40" s="916"/>
      <c r="D40" s="915"/>
      <c r="E40" s="915"/>
      <c r="F40" s="923"/>
      <c r="G40" s="1874" t="s">
        <v>1503</v>
      </c>
      <c r="H40" s="1874"/>
      <c r="I40" s="1874"/>
      <c r="J40" s="1874"/>
      <c r="K40" s="1874"/>
      <c r="L40" s="1874"/>
    </row>
    <row r="44" spans="2:13" ht="30" customHeight="1" x14ac:dyDescent="0.25"/>
    <row r="48" spans="2:13" x14ac:dyDescent="0.25">
      <c r="E48" s="924"/>
      <c r="F48" s="923"/>
      <c r="G48" s="915"/>
      <c r="H48" s="1879"/>
      <c r="I48" s="1879"/>
      <c r="J48" s="1879"/>
      <c r="K48" s="1879"/>
      <c r="L48" s="1879"/>
      <c r="M48" s="1879"/>
    </row>
    <row r="49" spans="5:13" x14ac:dyDescent="0.25">
      <c r="E49" s="925"/>
      <c r="F49" s="1872"/>
      <c r="G49" s="1872"/>
      <c r="H49" s="1872"/>
      <c r="I49" s="1872"/>
      <c r="J49" s="1872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x14ac:dyDescent="0.25">
      <c r="B9" s="1732" t="s">
        <v>1831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16" t="s">
        <v>7</v>
      </c>
      <c r="C12" s="1615" t="s">
        <v>802</v>
      </c>
      <c r="D12" s="1615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616"/>
      <c r="C13" s="1615"/>
      <c r="D13" s="1615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2" t="s">
        <v>1250</v>
      </c>
      <c r="H52" s="1862"/>
      <c r="I52" s="1862"/>
      <c r="J52" s="1862"/>
      <c r="K52" s="1862"/>
      <c r="L52" s="186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8" t="s">
        <v>852</v>
      </c>
      <c r="H53" s="1808"/>
      <c r="I53" s="1808"/>
      <c r="J53" s="1808"/>
      <c r="K53" s="1808"/>
      <c r="L53" s="180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809" t="s">
        <v>1506</v>
      </c>
      <c r="H54" s="1809"/>
      <c r="I54" s="1809"/>
      <c r="J54" s="1809"/>
      <c r="K54" s="1809"/>
      <c r="L54" s="180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810"/>
      <c r="I55" s="1810"/>
      <c r="J55" s="1810"/>
      <c r="K55" s="1810"/>
      <c r="L55" s="1810"/>
      <c r="M55" s="181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734"/>
      <c r="G68" s="1734"/>
      <c r="H68" s="1734"/>
      <c r="I68" s="1734"/>
      <c r="J68" s="1734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732" t="s">
        <v>0</v>
      </c>
      <c r="B7" s="1732"/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1832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870" t="s">
        <v>1269</v>
      </c>
      <c r="B69" s="1870"/>
      <c r="C69" s="753"/>
      <c r="D69" s="753"/>
      <c r="E69" s="754"/>
      <c r="F69" s="755"/>
      <c r="H69" s="1871" t="s">
        <v>852</v>
      </c>
      <c r="I69" s="1871"/>
      <c r="J69" s="1871"/>
      <c r="K69" s="1871"/>
      <c r="L69" s="1871"/>
      <c r="M69" s="1871"/>
    </row>
    <row r="70" spans="1:13" s="259" customFormat="1" ht="19.5" customHeight="1" x14ac:dyDescent="0.25">
      <c r="A70" s="1809" t="s">
        <v>1813</v>
      </c>
      <c r="B70" s="1809"/>
      <c r="C70" s="753"/>
      <c r="D70" s="753"/>
      <c r="E70" s="754"/>
      <c r="F70" s="755"/>
      <c r="H70" s="1623" t="s">
        <v>1505</v>
      </c>
      <c r="I70" s="1623"/>
      <c r="J70" s="1623"/>
      <c r="K70" s="1623"/>
      <c r="L70" s="1623"/>
      <c r="M70" s="1623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810"/>
      <c r="I82" s="1810"/>
      <c r="J82" s="1810"/>
      <c r="K82" s="1810"/>
      <c r="L82" s="1810"/>
      <c r="M82" s="1810"/>
    </row>
    <row r="83" spans="1:13" ht="15.75" x14ac:dyDescent="0.25">
      <c r="A83" s="267"/>
      <c r="B83" s="267"/>
      <c r="C83" s="268"/>
      <c r="D83" s="268"/>
      <c r="E83" s="269"/>
      <c r="F83" s="1738"/>
      <c r="G83" s="1738"/>
      <c r="H83" s="1738"/>
      <c r="I83" s="1738"/>
      <c r="J83" s="1738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47208-674D-4554-8B25-E4F1FA740255}">
  <sheetPr>
    <pageSetUpPr fitToPage="1"/>
  </sheetPr>
  <dimension ref="A1:N280"/>
  <sheetViews>
    <sheetView showGridLines="0" topLeftCell="A5" zoomScale="84" zoomScaleNormal="84" workbookViewId="0">
      <pane ySplit="13" topLeftCell="A220" activePane="bottomLeft" state="frozen"/>
      <selection activeCell="A5" sqref="A5"/>
      <selection pane="bottomLeft" activeCell="C248" sqref="C248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64" t="s">
        <v>1502</v>
      </c>
      <c r="B10" s="1864"/>
      <c r="C10" s="1864"/>
      <c r="D10" s="1864"/>
      <c r="E10" s="1864"/>
      <c r="F10" s="1864"/>
      <c r="G10" s="1864"/>
      <c r="H10" s="1864"/>
      <c r="I10" s="1864"/>
      <c r="J10" s="1864"/>
      <c r="K10" s="1864"/>
      <c r="L10" s="1864"/>
      <c r="M10" s="1864"/>
    </row>
    <row r="11" spans="1:14" ht="0.75" customHeight="1" x14ac:dyDescent="0.25">
      <c r="A11" s="1864"/>
      <c r="B11" s="1864"/>
      <c r="C11" s="1864"/>
      <c r="D11" s="1864"/>
      <c r="E11" s="1864"/>
      <c r="F11" s="1864"/>
      <c r="G11" s="1864"/>
      <c r="H11" s="1864"/>
      <c r="I11" s="1864"/>
      <c r="J11" s="1864"/>
      <c r="K11" s="1864"/>
      <c r="L11" s="1864"/>
      <c r="M11" s="1864"/>
      <c r="N11" s="1864"/>
    </row>
    <row r="12" spans="1:14" ht="15.75" x14ac:dyDescent="0.25">
      <c r="A12" s="1864" t="s">
        <v>1460</v>
      </c>
      <c r="B12" s="1864"/>
      <c r="C12" s="1864"/>
      <c r="D12" s="1864"/>
      <c r="E12" s="1864"/>
      <c r="F12" s="1864"/>
      <c r="G12" s="1864"/>
      <c r="H12" s="1864"/>
      <c r="I12" s="1864"/>
      <c r="J12" s="1864"/>
      <c r="K12" s="1864"/>
      <c r="L12" s="1864"/>
      <c r="M12" s="1864"/>
    </row>
    <row r="13" spans="1:14" ht="15.75" x14ac:dyDescent="0.25">
      <c r="A13" s="1864" t="s">
        <v>1841</v>
      </c>
      <c r="B13" s="1864"/>
      <c r="C13" s="1864"/>
      <c r="D13" s="1864"/>
      <c r="E13" s="1864"/>
      <c r="F13" s="1864"/>
      <c r="G13" s="1864"/>
      <c r="H13" s="1864"/>
      <c r="I13" s="1864"/>
      <c r="J13" s="1864"/>
      <c r="K13" s="1864"/>
      <c r="L13" s="1864"/>
      <c r="M13" s="1864"/>
    </row>
    <row r="14" spans="1:14" ht="15.75" x14ac:dyDescent="0.25">
      <c r="A14" s="1882" t="s">
        <v>404</v>
      </c>
      <c r="B14" s="1882"/>
      <c r="C14" s="1882"/>
      <c r="D14" s="1882"/>
      <c r="E14" s="1882"/>
      <c r="F14" s="1882"/>
      <c r="G14" s="1882"/>
      <c r="H14" s="1882"/>
      <c r="I14" s="1882"/>
      <c r="J14" s="1882"/>
      <c r="K14" s="1882"/>
      <c r="L14" s="1882"/>
      <c r="M14" s="1882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28" t="s">
        <v>7</v>
      </c>
      <c r="B16" s="1930" t="s">
        <v>802</v>
      </c>
      <c r="C16" s="1930" t="s">
        <v>9</v>
      </c>
      <c r="D16" s="1930" t="s">
        <v>11</v>
      </c>
      <c r="E16" s="1390" t="s">
        <v>12</v>
      </c>
      <c r="F16" s="1932" t="s">
        <v>13</v>
      </c>
      <c r="G16" s="1924" t="s">
        <v>14</v>
      </c>
      <c r="H16" s="1926" t="s">
        <v>15</v>
      </c>
      <c r="I16" s="1620" t="s">
        <v>16</v>
      </c>
      <c r="J16" s="1926" t="s">
        <v>17</v>
      </c>
      <c r="K16" s="1926" t="s">
        <v>18</v>
      </c>
      <c r="L16" s="1926" t="s">
        <v>19</v>
      </c>
      <c r="M16" s="1922" t="s">
        <v>20</v>
      </c>
    </row>
    <row r="17" spans="1:13" ht="16.5" thickBot="1" x14ac:dyDescent="0.3">
      <c r="A17" s="1929"/>
      <c r="B17" s="1931"/>
      <c r="C17" s="1931"/>
      <c r="D17" s="1931"/>
      <c r="E17" s="1391" t="s">
        <v>21</v>
      </c>
      <c r="F17" s="1933"/>
      <c r="G17" s="1925"/>
      <c r="H17" s="1927"/>
      <c r="I17" s="1620"/>
      <c r="J17" s="1927"/>
      <c r="K17" s="1927"/>
      <c r="L17" s="1927"/>
      <c r="M17" s="1923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31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31">
        <v>936.62</v>
      </c>
      <c r="J36" s="1425">
        <v>1322.4</v>
      </c>
      <c r="K36" s="1426">
        <v>1125</v>
      </c>
      <c r="L36" s="1425">
        <f>+H36+I36+J36+K36</f>
        <v>4632.47</v>
      </c>
      <c r="M36" s="1427">
        <f>+G36-L36</f>
        <v>38867.53</v>
      </c>
    </row>
    <row r="37" spans="1:13" ht="15.75" x14ac:dyDescent="0.25">
      <c r="A37" s="1420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31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0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31">
        <v>0</v>
      </c>
      <c r="G38" s="1425">
        <v>55000</v>
      </c>
      <c r="H38" s="1425">
        <v>1578.5</v>
      </c>
      <c r="I38" s="1425">
        <v>2559.6799999999998</v>
      </c>
      <c r="J38" s="1425">
        <v>1672</v>
      </c>
      <c r="K38" s="1426">
        <v>3352.86</v>
      </c>
      <c r="L38" s="1425">
        <f>+H38+I38+J38+K38</f>
        <v>9163.0400000000009</v>
      </c>
      <c r="M38" s="1427">
        <f>+G38-L38</f>
        <v>45836.959999999999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12231.98</v>
      </c>
      <c r="L39" s="1434">
        <f t="shared" si="2"/>
        <v>68668.36</v>
      </c>
      <c r="M39" s="1434">
        <f t="shared" si="2"/>
        <v>295831.64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46" t="s">
        <v>1779</v>
      </c>
      <c r="B52" s="1447" t="s">
        <v>806</v>
      </c>
      <c r="C52" s="1448" t="s">
        <v>912</v>
      </c>
      <c r="D52" s="1430" t="s">
        <v>1067</v>
      </c>
      <c r="E52" s="1449">
        <v>30000</v>
      </c>
      <c r="F52" s="1423">
        <v>0</v>
      </c>
      <c r="G52" s="1450">
        <v>30000</v>
      </c>
      <c r="H52" s="1449">
        <v>861</v>
      </c>
      <c r="I52" s="1451">
        <v>0</v>
      </c>
      <c r="J52" s="1449">
        <v>912</v>
      </c>
      <c r="K52" s="1452">
        <v>25</v>
      </c>
      <c r="L52" s="1449">
        <f>SUM(H52:K52)</f>
        <v>1798</v>
      </c>
      <c r="M52" s="1450">
        <f>+E52-L52</f>
        <v>28202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7821.54</v>
      </c>
      <c r="L56" s="1460">
        <f t="shared" si="5"/>
        <v>19307.510000000002</v>
      </c>
      <c r="M56" s="1460">
        <f t="shared" si="5"/>
        <v>159192.49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31">
        <v>0</v>
      </c>
      <c r="G72" s="1425">
        <v>30000</v>
      </c>
      <c r="H72" s="1425">
        <v>861</v>
      </c>
      <c r="I72" s="1431">
        <v>0</v>
      </c>
      <c r="J72" s="1425">
        <v>912</v>
      </c>
      <c r="K72" s="1426">
        <v>2317.4</v>
      </c>
      <c r="L72" s="1425">
        <f t="shared" si="7"/>
        <v>4090.4</v>
      </c>
      <c r="M72" s="1427">
        <f t="shared" si="8"/>
        <v>25909.599999999999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31">
        <v>0</v>
      </c>
      <c r="G78" s="1425">
        <v>30000</v>
      </c>
      <c r="H78" s="1425">
        <v>861</v>
      </c>
      <c r="I78" s="1431">
        <v>0</v>
      </c>
      <c r="J78" s="1425">
        <v>912</v>
      </c>
      <c r="K78" s="1426">
        <v>3025</v>
      </c>
      <c r="L78" s="1425">
        <f>+H78+I78+J78+K78</f>
        <v>4798</v>
      </c>
      <c r="M78" s="1427">
        <f>+G78-L78</f>
        <v>25202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16547.18</v>
      </c>
      <c r="L79" s="1434">
        <f t="shared" si="9"/>
        <v>46906.62</v>
      </c>
      <c r="M79" s="1434">
        <f t="shared" si="9"/>
        <v>435093.38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0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31">
        <v>0</v>
      </c>
      <c r="G85" s="1425">
        <v>25000</v>
      </c>
      <c r="H85" s="1425">
        <v>717.5</v>
      </c>
      <c r="I85" s="1431">
        <v>0</v>
      </c>
      <c r="J85" s="1425">
        <v>760</v>
      </c>
      <c r="K85" s="1426">
        <v>2309.75</v>
      </c>
      <c r="L85" s="1425">
        <f t="shared" si="10"/>
        <v>3787.25</v>
      </c>
      <c r="M85" s="1427">
        <f t="shared" si="11"/>
        <v>21212.75</v>
      </c>
    </row>
    <row r="86" spans="1:13" ht="21" customHeight="1" x14ac:dyDescent="0.25">
      <c r="A86" s="1420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31">
        <v>0</v>
      </c>
      <c r="G86" s="1425">
        <v>25000</v>
      </c>
      <c r="H86" s="1425">
        <v>717.5</v>
      </c>
      <c r="I86" s="1431">
        <v>0</v>
      </c>
      <c r="J86" s="1425">
        <v>760</v>
      </c>
      <c r="K86" s="1426">
        <v>1025</v>
      </c>
      <c r="L86" s="1425">
        <f t="shared" si="10"/>
        <v>2502.5</v>
      </c>
      <c r="M86" s="1427">
        <f t="shared" si="11"/>
        <v>22497.5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9864.41</v>
      </c>
      <c r="L91" s="1434">
        <f t="shared" si="12"/>
        <v>25191.88</v>
      </c>
      <c r="M91" s="1434">
        <f t="shared" si="12"/>
        <v>218308.12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31">
        <v>0</v>
      </c>
      <c r="G159" s="1425">
        <v>70000</v>
      </c>
      <c r="H159" s="1425">
        <v>2009</v>
      </c>
      <c r="I159" s="1425">
        <v>5368.48</v>
      </c>
      <c r="J159" s="1425">
        <v>2128</v>
      </c>
      <c r="K159" s="1426">
        <v>4296.7</v>
      </c>
      <c r="L159" s="1425">
        <f>+H159+I159+J159+K159</f>
        <v>13802.18</v>
      </c>
      <c r="M159" s="1427">
        <f>+G159-L159</f>
        <v>56197.82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6346.7</v>
      </c>
      <c r="L162" s="1434">
        <f t="shared" si="24"/>
        <v>22867.120000000003</v>
      </c>
      <c r="M162" s="1434">
        <f t="shared" si="24"/>
        <v>134132.88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98" t="s">
        <v>1722</v>
      </c>
      <c r="B207" s="1421" t="s">
        <v>1151</v>
      </c>
      <c r="C207" s="1493" t="s">
        <v>105</v>
      </c>
      <c r="D207" s="1430" t="s">
        <v>1067</v>
      </c>
      <c r="E207" s="1425">
        <v>25000</v>
      </c>
      <c r="F207" s="1431">
        <v>0</v>
      </c>
      <c r="G207" s="1495">
        <v>25000</v>
      </c>
      <c r="H207" s="1425">
        <v>717.5</v>
      </c>
      <c r="I207" s="1496">
        <v>0</v>
      </c>
      <c r="J207" s="1425">
        <v>760</v>
      </c>
      <c r="K207" s="1426">
        <v>25</v>
      </c>
      <c r="L207" s="1495">
        <f>+H207+I207+J207+K207</f>
        <v>1502.5</v>
      </c>
      <c r="M207" s="1495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151938.28999999998</v>
      </c>
      <c r="L245" s="1513">
        <f t="shared" si="37"/>
        <v>1034996.0900000001</v>
      </c>
      <c r="M245" s="1513">
        <f t="shared" si="37"/>
        <v>6021003.9099999992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4" t="s">
        <v>1271</v>
      </c>
      <c r="B265" s="1884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2" t="s">
        <v>1504</v>
      </c>
      <c r="J266" s="1792"/>
      <c r="K266" s="1863"/>
      <c r="L266" s="1792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59A7A-D284-471E-B9C2-22A63B1D2125}">
  <dimension ref="A1:Q206"/>
  <sheetViews>
    <sheetView topLeftCell="B1" zoomScaleNormal="100" zoomScaleSheetLayoutView="89" workbookViewId="0">
      <pane ySplit="11" topLeftCell="A167" activePane="bottomLeft" state="frozen"/>
      <selection pane="bottomLeft" activeCell="B174" sqref="B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617" t="s">
        <v>1502</v>
      </c>
      <c r="C4" s="1617"/>
      <c r="D4" s="1617"/>
      <c r="E4" s="1617"/>
      <c r="F4" s="1617"/>
      <c r="G4" s="1617"/>
      <c r="H4" s="1617"/>
      <c r="I4" s="1617"/>
      <c r="J4" s="1617"/>
      <c r="K4" s="1617"/>
      <c r="L4" s="1617"/>
      <c r="M4" s="1617"/>
      <c r="N4" s="1617"/>
      <c r="O4" s="1617"/>
      <c r="P4" s="1617"/>
    </row>
    <row r="5" spans="1:16" x14ac:dyDescent="0.25">
      <c r="B5" s="1617" t="s">
        <v>1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1:16" x14ac:dyDescent="0.25">
      <c r="B6" s="1617" t="s">
        <v>3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1:16" x14ac:dyDescent="0.25">
      <c r="B7" s="1617" t="s">
        <v>1848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1:16" x14ac:dyDescent="0.25">
      <c r="B8" s="1618" t="s">
        <v>441</v>
      </c>
      <c r="C8" s="1618"/>
      <c r="D8" s="1618"/>
      <c r="E8" s="1618"/>
      <c r="F8" s="1618"/>
      <c r="G8" s="1618"/>
      <c r="H8" s="1618"/>
      <c r="I8" s="1618"/>
      <c r="J8" s="1618"/>
      <c r="K8" s="1618"/>
      <c r="L8" s="1618"/>
      <c r="M8" s="1618"/>
      <c r="N8" s="1618"/>
      <c r="O8" s="1618"/>
      <c r="P8" s="1618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615" t="s">
        <v>7</v>
      </c>
      <c r="C10" s="1615" t="s">
        <v>937</v>
      </c>
      <c r="D10" s="1616" t="s">
        <v>10</v>
      </c>
      <c r="E10" s="1615" t="s">
        <v>832</v>
      </c>
      <c r="F10" s="1615" t="s">
        <v>834</v>
      </c>
      <c r="G10" s="1615" t="s">
        <v>209</v>
      </c>
      <c r="H10" s="1051" t="s">
        <v>12</v>
      </c>
      <c r="I10" s="1619" t="s">
        <v>13</v>
      </c>
      <c r="J10" s="1620" t="s">
        <v>14</v>
      </c>
      <c r="K10" s="1620" t="s">
        <v>15</v>
      </c>
      <c r="L10" s="1620" t="s">
        <v>16</v>
      </c>
      <c r="M10" s="1621" t="s">
        <v>17</v>
      </c>
      <c r="N10" s="1621" t="s">
        <v>18</v>
      </c>
      <c r="O10" s="1621" t="s">
        <v>19</v>
      </c>
      <c r="P10" s="1620" t="s">
        <v>20</v>
      </c>
    </row>
    <row r="11" spans="1:16" x14ac:dyDescent="0.25">
      <c r="A11" s="1378"/>
      <c r="B11" s="1615"/>
      <c r="C11" s="1615"/>
      <c r="D11" s="1616"/>
      <c r="E11" s="1615"/>
      <c r="F11" s="1615"/>
      <c r="G11" s="1615"/>
      <c r="H11" s="1051" t="s">
        <v>21</v>
      </c>
      <c r="I11" s="1619"/>
      <c r="J11" s="1620"/>
      <c r="K11" s="1620"/>
      <c r="L11" s="1620"/>
      <c r="M11" s="1621"/>
      <c r="N11" s="1621"/>
      <c r="O11" s="1621"/>
      <c r="P11" s="1620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45870</v>
      </c>
      <c r="G22" s="1084">
        <v>46023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75" t="s">
        <v>1654</v>
      </c>
      <c r="C39" s="1245" t="s">
        <v>807</v>
      </c>
      <c r="D39" s="124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2104.56</v>
      </c>
      <c r="O39" s="626">
        <f>SUM(K39:N39)</f>
        <v>11610.039999999999</v>
      </c>
      <c r="P39" s="626">
        <f>+H39-O39</f>
        <v>58389.96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4049.34</v>
      </c>
      <c r="O41" s="695">
        <f t="shared" si="3"/>
        <v>22676.34</v>
      </c>
      <c r="P41" s="695">
        <f t="shared" si="3"/>
        <v>117323.66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45870</v>
      </c>
      <c r="G72" s="1084">
        <v>46023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5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69">
        <v>0</v>
      </c>
      <c r="J100" s="468">
        <v>70000</v>
      </c>
      <c r="K100" s="468">
        <v>2009</v>
      </c>
      <c r="L100" s="468">
        <v>5368.48</v>
      </c>
      <c r="M100" s="1149">
        <v>2128</v>
      </c>
      <c r="N100" s="468">
        <v>2025</v>
      </c>
      <c r="O100" s="468">
        <f t="shared" si="12"/>
        <v>11530.48</v>
      </c>
      <c r="P100" s="468">
        <f t="shared" si="11"/>
        <v>58469.520000000004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4718.3999999999996</v>
      </c>
      <c r="O104" s="695">
        <f t="shared" si="13"/>
        <v>94633.489999999991</v>
      </c>
      <c r="P104" s="695">
        <f t="shared" si="13"/>
        <v>475366.51000000007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45870</v>
      </c>
      <c r="G127" s="1084">
        <v>46023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52037.099999999991</v>
      </c>
      <c r="M168" s="695">
        <f t="shared" si="28"/>
        <v>19410.400000000001</v>
      </c>
      <c r="N168" s="695">
        <f t="shared" si="28"/>
        <v>2144.7799999999997</v>
      </c>
      <c r="O168" s="695">
        <f t="shared" si="28"/>
        <v>91917.229999999981</v>
      </c>
      <c r="P168" s="695">
        <f t="shared" si="28"/>
        <v>546582.77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45870</v>
      </c>
      <c r="G177" s="1084">
        <v>46023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45870</v>
      </c>
      <c r="G178" s="1084">
        <v>46023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45870</v>
      </c>
      <c r="G179" s="1084">
        <v>46023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194507.91999999998</v>
      </c>
      <c r="M181" s="695">
        <f t="shared" si="32"/>
        <v>74495.200000000012</v>
      </c>
      <c r="N181" s="695">
        <f t="shared" si="32"/>
        <v>23912.36</v>
      </c>
      <c r="O181" s="695">
        <f t="shared" si="32"/>
        <v>363244.82999999996</v>
      </c>
      <c r="P181" s="695">
        <f t="shared" si="32"/>
        <v>2087255.1700000004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413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737099.02999999991</v>
      </c>
      <c r="M183" s="1126">
        <f t="shared" si="33"/>
        <v>221023.19999999998</v>
      </c>
      <c r="N183" s="1126">
        <f t="shared" si="33"/>
        <v>128742.76999999996</v>
      </c>
      <c r="O183" s="1126">
        <f t="shared" si="33"/>
        <v>1295528.3500000003</v>
      </c>
      <c r="P183" s="1126">
        <f t="shared" si="33"/>
        <v>5974971.6500000004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>
        <f>88-D180-D168-D156-D146</f>
        <v>53</v>
      </c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622" t="s">
        <v>1375</v>
      </c>
      <c r="K201" s="1622"/>
      <c r="L201" s="1622"/>
      <c r="M201" s="1622"/>
      <c r="N201" s="1622"/>
      <c r="O201" s="1622"/>
      <c r="P201" s="1622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623" t="s">
        <v>1554</v>
      </c>
      <c r="K202" s="1623"/>
      <c r="L202" s="1623"/>
      <c r="M202" s="1623"/>
      <c r="N202" s="1623"/>
      <c r="O202" s="1623"/>
      <c r="P202" s="1623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0209D-507F-44DC-9CC1-A83F5A7DC53E}">
  <sheetPr>
    <pageSetUpPr fitToPage="1"/>
  </sheetPr>
  <dimension ref="A1:M83"/>
  <sheetViews>
    <sheetView showGridLines="0" topLeftCell="B37" zoomScale="110" zoomScaleNormal="110" workbookViewId="0">
      <selection activeCell="D51" sqref="D51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3.1406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39" t="s">
        <v>0</v>
      </c>
      <c r="C6" s="1939"/>
      <c r="D6" s="1939"/>
      <c r="E6" s="1939"/>
      <c r="F6" s="1939"/>
      <c r="G6" s="1939"/>
      <c r="H6" s="1939"/>
      <c r="I6" s="1939"/>
      <c r="J6" s="1939"/>
      <c r="K6" s="1939"/>
      <c r="L6" s="1939"/>
      <c r="M6" s="1939"/>
    </row>
    <row r="7" spans="2:13" s="1412" customFormat="1" ht="12.75" customHeight="1" x14ac:dyDescent="0.2">
      <c r="B7" s="1939" t="s">
        <v>1</v>
      </c>
      <c r="C7" s="1939"/>
      <c r="D7" s="1939"/>
      <c r="E7" s="1939"/>
      <c r="F7" s="1939"/>
      <c r="G7" s="1939"/>
      <c r="H7" s="1939"/>
      <c r="I7" s="1939"/>
      <c r="J7" s="1939"/>
      <c r="K7" s="1939"/>
      <c r="L7" s="1939"/>
      <c r="M7" s="1939"/>
    </row>
    <row r="8" spans="2:13" s="1412" customFormat="1" ht="12.75" customHeight="1" x14ac:dyDescent="0.2">
      <c r="B8" s="1939" t="s">
        <v>3</v>
      </c>
      <c r="C8" s="1939"/>
      <c r="D8" s="1939"/>
      <c r="E8" s="1939"/>
      <c r="F8" s="1939"/>
      <c r="G8" s="1939"/>
      <c r="H8" s="1939"/>
      <c r="I8" s="1939"/>
      <c r="J8" s="1939"/>
      <c r="K8" s="1939"/>
      <c r="L8" s="1939"/>
      <c r="M8" s="1939"/>
    </row>
    <row r="9" spans="2:13" s="1412" customFormat="1" ht="12.75" customHeight="1" x14ac:dyDescent="0.2">
      <c r="B9" s="1939" t="s">
        <v>1857</v>
      </c>
      <c r="C9" s="1939"/>
      <c r="D9" s="1939"/>
      <c r="E9" s="1939"/>
      <c r="F9" s="1939"/>
      <c r="G9" s="1939"/>
      <c r="H9" s="1939"/>
      <c r="I9" s="1939"/>
      <c r="J9" s="1939"/>
      <c r="K9" s="1939"/>
      <c r="L9" s="1939"/>
      <c r="M9" s="1939"/>
    </row>
    <row r="10" spans="2:13" s="1412" customFormat="1" ht="12.75" customHeight="1" x14ac:dyDescent="0.2">
      <c r="B10" s="1819" t="s">
        <v>1197</v>
      </c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40" t="s">
        <v>7</v>
      </c>
      <c r="C12" s="1941" t="s">
        <v>802</v>
      </c>
      <c r="D12" s="1941" t="s">
        <v>9</v>
      </c>
      <c r="E12" s="1541" t="s">
        <v>12</v>
      </c>
      <c r="F12" s="1942" t="s">
        <v>13</v>
      </c>
      <c r="G12" s="1938" t="s">
        <v>14</v>
      </c>
      <c r="H12" s="1938" t="s">
        <v>15</v>
      </c>
      <c r="I12" s="1938" t="s">
        <v>16</v>
      </c>
      <c r="J12" s="1938" t="s">
        <v>17</v>
      </c>
      <c r="K12" s="1938" t="s">
        <v>18</v>
      </c>
      <c r="L12" s="1938" t="s">
        <v>19</v>
      </c>
      <c r="M12" s="1938" t="s">
        <v>20</v>
      </c>
    </row>
    <row r="13" spans="2:13" s="205" customFormat="1" ht="15" customHeight="1" x14ac:dyDescent="0.25">
      <c r="B13" s="1940"/>
      <c r="C13" s="1941"/>
      <c r="D13" s="1941"/>
      <c r="E13" s="1541" t="s">
        <v>21</v>
      </c>
      <c r="F13" s="1942"/>
      <c r="G13" s="1938"/>
      <c r="H13" s="1938"/>
      <c r="I13" s="1938"/>
      <c r="J13" s="1938"/>
      <c r="K13" s="1938"/>
      <c r="L13" s="1938"/>
      <c r="M13" s="1938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43" t="s">
        <v>1250</v>
      </c>
      <c r="H57" s="1943"/>
      <c r="I57" s="1943"/>
      <c r="J57" s="1943"/>
      <c r="K57" s="1943"/>
      <c r="L57" s="1943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44" t="s">
        <v>852</v>
      </c>
      <c r="H58" s="1944"/>
      <c r="I58" s="1944"/>
      <c r="J58" s="1944"/>
      <c r="K58" s="1944"/>
      <c r="L58" s="1944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45" t="s">
        <v>1506</v>
      </c>
      <c r="H59" s="1945"/>
      <c r="I59" s="1945"/>
      <c r="J59" s="1945"/>
      <c r="K59" s="1945"/>
      <c r="L59" s="1945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46"/>
      <c r="I60" s="1946"/>
      <c r="J60" s="1946"/>
      <c r="K60" s="1946"/>
      <c r="L60" s="1946"/>
      <c r="M60" s="1946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734"/>
      <c r="G73" s="1734"/>
      <c r="H73" s="1734"/>
      <c r="I73" s="1734"/>
      <c r="J73" s="1734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CF484-B882-4154-B2D5-E365088E3610}">
  <sheetPr>
    <pageSetUpPr fitToPage="1"/>
  </sheetPr>
  <dimension ref="A1:M84"/>
  <sheetViews>
    <sheetView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5" t="s">
        <v>0</v>
      </c>
      <c r="B7" s="1765"/>
      <c r="C7" s="1765"/>
      <c r="D7" s="1765"/>
      <c r="E7" s="1765"/>
      <c r="F7" s="1765"/>
      <c r="G7" s="1765"/>
      <c r="H7" s="1765"/>
      <c r="I7" s="1765"/>
      <c r="J7" s="1765"/>
      <c r="K7" s="1765"/>
      <c r="L7" s="1765"/>
      <c r="M7" s="1765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1856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7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1046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1246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1247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1631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1632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1633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1834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1766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1827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1796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1797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1799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1800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1801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1850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ref="L38:L43" si="1">+H38+I38+J38+K38</f>
        <v>0</v>
      </c>
      <c r="M38" s="1524">
        <v>12000</v>
      </c>
    </row>
    <row r="39" spans="1:13" s="259" customFormat="1" ht="31.5" customHeight="1" x14ac:dyDescent="0.25">
      <c r="A39" s="1527" t="s">
        <v>1851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1"/>
        <v>0</v>
      </c>
      <c r="M39" s="1524">
        <v>12000</v>
      </c>
    </row>
    <row r="40" spans="1:13" s="259" customFormat="1" ht="31.5" customHeight="1" x14ac:dyDescent="0.25">
      <c r="A40" s="1527" t="s">
        <v>1852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1"/>
        <v>0</v>
      </c>
      <c r="M40" s="1524">
        <v>12000</v>
      </c>
    </row>
    <row r="41" spans="1:13" s="259" customFormat="1" ht="31.5" customHeight="1" x14ac:dyDescent="0.25">
      <c r="A41" s="1527" t="s">
        <v>1853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1"/>
        <v>0</v>
      </c>
      <c r="M41" s="1524">
        <v>12000</v>
      </c>
    </row>
    <row r="42" spans="1:13" s="259" customFormat="1" ht="31.5" customHeight="1" x14ac:dyDescent="0.25">
      <c r="A42" s="1527" t="s">
        <v>1854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si="1"/>
        <v>0</v>
      </c>
      <c r="M42" s="1524">
        <v>12000</v>
      </c>
    </row>
    <row r="43" spans="1:13" s="259" customFormat="1" ht="31.5" customHeight="1" x14ac:dyDescent="0.25">
      <c r="A43" s="1527" t="s">
        <v>1855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 t="shared" ref="F44:M44" si="2">SUM(F16:F43)</f>
        <v>0</v>
      </c>
      <c r="G44" s="1533">
        <f t="shared" si="2"/>
        <v>384000</v>
      </c>
      <c r="H44" s="1533">
        <f t="shared" si="2"/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H47" s="1536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M51" si="4">+F44+F49</f>
        <v>0</v>
      </c>
      <c r="G51" s="1376">
        <f t="shared" si="4"/>
        <v>396000</v>
      </c>
      <c r="H51" s="1376">
        <f t="shared" si="4"/>
        <v>0</v>
      </c>
      <c r="I51" s="1376">
        <f t="shared" si="4"/>
        <v>4195.88</v>
      </c>
      <c r="J51" s="1376">
        <f t="shared" si="4"/>
        <v>0</v>
      </c>
      <c r="K51" s="1376">
        <f t="shared" si="4"/>
        <v>0</v>
      </c>
      <c r="L51" s="1376">
        <f t="shared" si="4"/>
        <v>4195.88</v>
      </c>
      <c r="M51" s="1376">
        <f t="shared" si="4"/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70" t="s">
        <v>1269</v>
      </c>
      <c r="B68" s="1870"/>
      <c r="C68" s="753"/>
      <c r="D68" s="753"/>
      <c r="E68" s="754"/>
      <c r="F68" s="755"/>
      <c r="H68" s="1871" t="s">
        <v>852</v>
      </c>
      <c r="I68" s="1871"/>
      <c r="J68" s="1871"/>
      <c r="K68" s="1871"/>
      <c r="L68" s="1871"/>
      <c r="M68" s="1871"/>
    </row>
    <row r="69" spans="1:13" s="259" customFormat="1" ht="19.5" customHeight="1" x14ac:dyDescent="0.25">
      <c r="A69" s="1809" t="s">
        <v>1813</v>
      </c>
      <c r="B69" s="1809"/>
      <c r="C69" s="753"/>
      <c r="D69" s="753"/>
      <c r="E69" s="754"/>
      <c r="F69" s="755"/>
      <c r="H69" s="1623" t="s">
        <v>1505</v>
      </c>
      <c r="I69" s="1623"/>
      <c r="J69" s="1623"/>
      <c r="K69" s="1623"/>
      <c r="L69" s="1623"/>
      <c r="M69" s="1623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810"/>
      <c r="I81" s="1810"/>
      <c r="J81" s="1810"/>
      <c r="K81" s="1810"/>
      <c r="L81" s="1810"/>
      <c r="M81" s="1810"/>
    </row>
    <row r="82" spans="1:13" ht="15.75" x14ac:dyDescent="0.25">
      <c r="A82" s="267"/>
      <c r="B82" s="267"/>
      <c r="C82" s="268"/>
      <c r="D82" s="268"/>
      <c r="E82" s="269"/>
      <c r="F82" s="1738"/>
      <c r="G82" s="1738"/>
      <c r="H82" s="1738"/>
      <c r="I82" s="1738"/>
      <c r="J82" s="1738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0" orientation="landscape" r:id="rId1"/>
  <drawing r:id="rId2"/>
</worksheet>
</file>

<file path=xl/worksheets/sheet3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7E91B-5297-41CE-BABB-AE0C57AA904D}">
  <sheetPr>
    <pageSetUpPr fitToPage="1"/>
  </sheetPr>
  <dimension ref="A1:N280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A191" sqref="A191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64" t="s">
        <v>1502</v>
      </c>
      <c r="B10" s="1864"/>
      <c r="C10" s="1864"/>
      <c r="D10" s="1864"/>
      <c r="E10" s="1864"/>
      <c r="F10" s="1864"/>
      <c r="G10" s="1864"/>
      <c r="H10" s="1864"/>
      <c r="I10" s="1864"/>
      <c r="J10" s="1864"/>
      <c r="K10" s="1864"/>
      <c r="L10" s="1864"/>
      <c r="M10" s="1864"/>
    </row>
    <row r="11" spans="1:14" ht="0.75" customHeight="1" x14ac:dyDescent="0.25">
      <c r="A11" s="1864"/>
      <c r="B11" s="1864"/>
      <c r="C11" s="1864"/>
      <c r="D11" s="1864"/>
      <c r="E11" s="1864"/>
      <c r="F11" s="1864"/>
      <c r="G11" s="1864"/>
      <c r="H11" s="1864"/>
      <c r="I11" s="1864"/>
      <c r="J11" s="1864"/>
      <c r="K11" s="1864"/>
      <c r="L11" s="1864"/>
      <c r="M11" s="1864"/>
      <c r="N11" s="1864"/>
    </row>
    <row r="12" spans="1:14" ht="15.75" x14ac:dyDescent="0.25">
      <c r="A12" s="1864" t="s">
        <v>1460</v>
      </c>
      <c r="B12" s="1864"/>
      <c r="C12" s="1864"/>
      <c r="D12" s="1864"/>
      <c r="E12" s="1864"/>
      <c r="F12" s="1864"/>
      <c r="G12" s="1864"/>
      <c r="H12" s="1864"/>
      <c r="I12" s="1864"/>
      <c r="J12" s="1864"/>
      <c r="K12" s="1864"/>
      <c r="L12" s="1864"/>
      <c r="M12" s="1864"/>
    </row>
    <row r="13" spans="1:14" ht="15.75" x14ac:dyDescent="0.25">
      <c r="A13" s="1864" t="s">
        <v>1858</v>
      </c>
      <c r="B13" s="1864"/>
      <c r="C13" s="1864"/>
      <c r="D13" s="1864"/>
      <c r="E13" s="1864"/>
      <c r="F13" s="1864"/>
      <c r="G13" s="1864"/>
      <c r="H13" s="1864"/>
      <c r="I13" s="1864"/>
      <c r="J13" s="1864"/>
      <c r="K13" s="1864"/>
      <c r="L13" s="1864"/>
      <c r="M13" s="1864"/>
    </row>
    <row r="14" spans="1:14" ht="15.75" x14ac:dyDescent="0.25">
      <c r="A14" s="1882" t="s">
        <v>404</v>
      </c>
      <c r="B14" s="1882"/>
      <c r="C14" s="1882"/>
      <c r="D14" s="1882"/>
      <c r="E14" s="1882"/>
      <c r="F14" s="1882"/>
      <c r="G14" s="1882"/>
      <c r="H14" s="1882"/>
      <c r="I14" s="1882"/>
      <c r="J14" s="1882"/>
      <c r="K14" s="1882"/>
      <c r="L14" s="1882"/>
      <c r="M14" s="1882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28" t="s">
        <v>7</v>
      </c>
      <c r="B16" s="1930" t="s">
        <v>802</v>
      </c>
      <c r="C16" s="1930" t="s">
        <v>9</v>
      </c>
      <c r="D16" s="1930" t="s">
        <v>11</v>
      </c>
      <c r="E16" s="1390" t="s">
        <v>12</v>
      </c>
      <c r="F16" s="1932" t="s">
        <v>13</v>
      </c>
      <c r="G16" s="1924" t="s">
        <v>14</v>
      </c>
      <c r="H16" s="1926" t="s">
        <v>15</v>
      </c>
      <c r="I16" s="1620" t="s">
        <v>16</v>
      </c>
      <c r="J16" s="1926" t="s">
        <v>17</v>
      </c>
      <c r="K16" s="1926" t="s">
        <v>18</v>
      </c>
      <c r="L16" s="1926" t="s">
        <v>19</v>
      </c>
      <c r="M16" s="1922" t="s">
        <v>20</v>
      </c>
    </row>
    <row r="17" spans="1:13" ht="16.5" thickBot="1" x14ac:dyDescent="0.3">
      <c r="A17" s="1929"/>
      <c r="B17" s="1931"/>
      <c r="C17" s="1931"/>
      <c r="D17" s="1931"/>
      <c r="E17" s="1391" t="s">
        <v>21</v>
      </c>
      <c r="F17" s="1933"/>
      <c r="G17" s="1925"/>
      <c r="H17" s="1927"/>
      <c r="I17" s="1620"/>
      <c r="J17" s="1927"/>
      <c r="K17" s="1927"/>
      <c r="L17" s="1927"/>
      <c r="M17" s="1923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25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25">
        <v>936.62</v>
      </c>
      <c r="J36" s="1425">
        <v>1322.4</v>
      </c>
      <c r="K36" s="1426">
        <v>1111.95</v>
      </c>
      <c r="L36" s="1425">
        <f>+H36+I36+J36+K36</f>
        <v>4619.42</v>
      </c>
      <c r="M36" s="1427">
        <f>+G36-L36</f>
        <v>38880.58</v>
      </c>
    </row>
    <row r="37" spans="1:13" ht="15.75" x14ac:dyDescent="0.25">
      <c r="A37" s="1428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25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8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23">
        <v>0</v>
      </c>
      <c r="G38" s="1427">
        <v>55000</v>
      </c>
      <c r="H38" s="1425">
        <v>1578.5</v>
      </c>
      <c r="I38" s="1425">
        <v>2559.6799999999998</v>
      </c>
      <c r="J38" s="1425">
        <v>1672</v>
      </c>
      <c r="K38" s="1426">
        <v>3339.81</v>
      </c>
      <c r="L38" s="1425">
        <f>+H38+I38+J38+K38</f>
        <v>9149.99</v>
      </c>
      <c r="M38" s="1427">
        <f>+G38-L38</f>
        <v>45850.01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12205.88</v>
      </c>
      <c r="L39" s="1434">
        <f t="shared" si="2"/>
        <v>68642.259999999995</v>
      </c>
      <c r="M39" s="1434">
        <f t="shared" si="2"/>
        <v>295857.74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28" t="s">
        <v>1779</v>
      </c>
      <c r="B52" s="1421" t="s">
        <v>806</v>
      </c>
      <c r="C52" s="1430" t="s">
        <v>912</v>
      </c>
      <c r="D52" s="1430" t="s">
        <v>1067</v>
      </c>
      <c r="E52" s="1425">
        <v>30000</v>
      </c>
      <c r="F52" s="1423">
        <v>0</v>
      </c>
      <c r="G52" s="1427">
        <v>30000</v>
      </c>
      <c r="H52" s="1425">
        <v>861</v>
      </c>
      <c r="I52" s="1425">
        <v>0</v>
      </c>
      <c r="J52" s="1425">
        <v>912</v>
      </c>
      <c r="K52" s="1426">
        <v>5025</v>
      </c>
      <c r="L52" s="1425">
        <f>SUM(H52:K52)</f>
        <v>6798</v>
      </c>
      <c r="M52" s="1427">
        <f>+E52-L52</f>
        <v>23202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12821.54</v>
      </c>
      <c r="L56" s="1460">
        <f t="shared" si="5"/>
        <v>24307.510000000002</v>
      </c>
      <c r="M56" s="1460">
        <f t="shared" si="5"/>
        <v>154192.49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23">
        <v>0</v>
      </c>
      <c r="G72" s="1427">
        <v>30000</v>
      </c>
      <c r="H72" s="1425">
        <v>861</v>
      </c>
      <c r="I72" s="1425">
        <v>0</v>
      </c>
      <c r="J72" s="1425">
        <v>912</v>
      </c>
      <c r="K72" s="1426">
        <v>2304.35</v>
      </c>
      <c r="L72" s="1425">
        <f t="shared" si="7"/>
        <v>4077.35</v>
      </c>
      <c r="M72" s="1427">
        <f t="shared" si="8"/>
        <v>25922.65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23">
        <v>0</v>
      </c>
      <c r="G78" s="1427">
        <v>30000</v>
      </c>
      <c r="H78" s="1425">
        <v>861</v>
      </c>
      <c r="I78" s="1425">
        <v>0</v>
      </c>
      <c r="J78" s="1425">
        <v>912</v>
      </c>
      <c r="K78" s="1426">
        <v>3011.95</v>
      </c>
      <c r="L78" s="1425">
        <f>+H78+I78+J78+K78</f>
        <v>4784.95</v>
      </c>
      <c r="M78" s="1427">
        <f>+G78-L78</f>
        <v>25215.05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16521.080000000002</v>
      </c>
      <c r="L79" s="1434">
        <f t="shared" si="9"/>
        <v>46880.52</v>
      </c>
      <c r="M79" s="1434">
        <f t="shared" si="9"/>
        <v>435119.48000000004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8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23">
        <v>0</v>
      </c>
      <c r="G85" s="1427">
        <v>25000</v>
      </c>
      <c r="H85" s="1425">
        <v>717.5</v>
      </c>
      <c r="I85" s="1425">
        <v>0</v>
      </c>
      <c r="J85" s="1425">
        <v>760</v>
      </c>
      <c r="K85" s="1426">
        <v>2296.6999999999998</v>
      </c>
      <c r="L85" s="1425">
        <f t="shared" si="10"/>
        <v>3774.2</v>
      </c>
      <c r="M85" s="1427">
        <f t="shared" si="11"/>
        <v>21225.8</v>
      </c>
    </row>
    <row r="86" spans="1:13" ht="15.75" x14ac:dyDescent="0.25">
      <c r="A86" s="1428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23">
        <v>0</v>
      </c>
      <c r="G86" s="1427">
        <v>25000</v>
      </c>
      <c r="H86" s="1425">
        <v>717.5</v>
      </c>
      <c r="I86" s="1425">
        <v>0</v>
      </c>
      <c r="J86" s="1425">
        <v>760</v>
      </c>
      <c r="K86" s="1426">
        <v>1011.95</v>
      </c>
      <c r="L86" s="1425">
        <f t="shared" si="10"/>
        <v>2489.4499999999998</v>
      </c>
      <c r="M86" s="1427">
        <f t="shared" si="11"/>
        <v>22510.55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9838.31</v>
      </c>
      <c r="L91" s="1434">
        <f t="shared" si="12"/>
        <v>25165.78</v>
      </c>
      <c r="M91" s="1434">
        <f t="shared" si="12"/>
        <v>218334.22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23">
        <v>0</v>
      </c>
      <c r="G159" s="1427">
        <v>70000</v>
      </c>
      <c r="H159" s="1425">
        <v>2009</v>
      </c>
      <c r="I159" s="1431">
        <v>5368.48</v>
      </c>
      <c r="J159" s="1425">
        <v>2128</v>
      </c>
      <c r="K159" s="1426">
        <v>3283.65</v>
      </c>
      <c r="L159" s="1425">
        <f>+H159+I159+J159+K159</f>
        <v>12789.13</v>
      </c>
      <c r="M159" s="1427">
        <f>+G159-L159</f>
        <v>57210.87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5333.65</v>
      </c>
      <c r="L162" s="1434">
        <f t="shared" si="24"/>
        <v>21854.07</v>
      </c>
      <c r="M162" s="1434">
        <f t="shared" si="24"/>
        <v>135145.93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20" t="s">
        <v>1722</v>
      </c>
      <c r="B207" s="1421" t="s">
        <v>1151</v>
      </c>
      <c r="C207" s="1430" t="s">
        <v>105</v>
      </c>
      <c r="D207" s="1430" t="s">
        <v>1067</v>
      </c>
      <c r="E207" s="1425">
        <v>25000</v>
      </c>
      <c r="F207" s="1423">
        <v>0</v>
      </c>
      <c r="G207" s="1427">
        <v>25000</v>
      </c>
      <c r="H207" s="1425">
        <v>717.5</v>
      </c>
      <c r="I207" s="1431">
        <v>0</v>
      </c>
      <c r="J207" s="1425">
        <v>760</v>
      </c>
      <c r="K207" s="1426">
        <v>25</v>
      </c>
      <c r="L207" s="1425">
        <f>+H207+I207+J207+K207</f>
        <v>1502.5</v>
      </c>
      <c r="M207" s="1427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155846.93999999997</v>
      </c>
      <c r="L245" s="1513">
        <f t="shared" si="37"/>
        <v>1038904.74</v>
      </c>
      <c r="M245" s="1513">
        <f t="shared" si="37"/>
        <v>6017095.2599999998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4" t="s">
        <v>1271</v>
      </c>
      <c r="B265" s="1884"/>
      <c r="C265" s="874"/>
      <c r="D265" s="874"/>
      <c r="E265" s="875"/>
      <c r="F265" s="873"/>
      <c r="G265" s="873"/>
      <c r="H265" s="1869" t="s">
        <v>852</v>
      </c>
      <c r="I265" s="1869"/>
      <c r="J265" s="1869"/>
      <c r="K265" s="1869"/>
      <c r="L265" s="1869"/>
      <c r="M265" s="186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2" t="s">
        <v>1504</v>
      </c>
      <c r="J266" s="1792"/>
      <c r="K266" s="1863"/>
      <c r="L266" s="1792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6A20CF-0C89-4EB0-BA4F-AA81A540737C}">
  <dimension ref="A1:Q206"/>
  <sheetViews>
    <sheetView topLeftCell="B1" zoomScaleNormal="100" zoomScaleSheetLayoutView="89" workbookViewId="0">
      <pane ySplit="11" topLeftCell="A166" activePane="bottomLeft" state="frozen"/>
      <selection pane="bottomLeft" activeCell="B174" sqref="A174:XFD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617" t="s">
        <v>1502</v>
      </c>
      <c r="C4" s="1617"/>
      <c r="D4" s="1617"/>
      <c r="E4" s="1617"/>
      <c r="F4" s="1617"/>
      <c r="G4" s="1617"/>
      <c r="H4" s="1617"/>
      <c r="I4" s="1617"/>
      <c r="J4" s="1617"/>
      <c r="K4" s="1617"/>
      <c r="L4" s="1617"/>
      <c r="M4" s="1617"/>
      <c r="N4" s="1617"/>
      <c r="O4" s="1617"/>
      <c r="P4" s="1617"/>
    </row>
    <row r="5" spans="1:16" x14ac:dyDescent="0.25">
      <c r="B5" s="1617" t="s">
        <v>1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1:16" x14ac:dyDescent="0.25">
      <c r="B6" s="1617" t="s">
        <v>3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1:16" x14ac:dyDescent="0.25">
      <c r="B7" s="1617" t="s">
        <v>1859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1:16" x14ac:dyDescent="0.25">
      <c r="B8" s="1618" t="s">
        <v>441</v>
      </c>
      <c r="C8" s="1618"/>
      <c r="D8" s="1618"/>
      <c r="E8" s="1618"/>
      <c r="F8" s="1618"/>
      <c r="G8" s="1618"/>
      <c r="H8" s="1618"/>
      <c r="I8" s="1618"/>
      <c r="J8" s="1618"/>
      <c r="K8" s="1618"/>
      <c r="L8" s="1618"/>
      <c r="M8" s="1618"/>
      <c r="N8" s="1618"/>
      <c r="O8" s="1618"/>
      <c r="P8" s="1618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615" t="s">
        <v>7</v>
      </c>
      <c r="C10" s="1615" t="s">
        <v>937</v>
      </c>
      <c r="D10" s="1616" t="s">
        <v>10</v>
      </c>
      <c r="E10" s="1615" t="s">
        <v>832</v>
      </c>
      <c r="F10" s="1615" t="s">
        <v>834</v>
      </c>
      <c r="G10" s="1615" t="s">
        <v>209</v>
      </c>
      <c r="H10" s="1051" t="s">
        <v>12</v>
      </c>
      <c r="I10" s="1619" t="s">
        <v>13</v>
      </c>
      <c r="J10" s="1620" t="s">
        <v>14</v>
      </c>
      <c r="K10" s="1620" t="s">
        <v>15</v>
      </c>
      <c r="L10" s="1620" t="s">
        <v>16</v>
      </c>
      <c r="M10" s="1621" t="s">
        <v>17</v>
      </c>
      <c r="N10" s="1621" t="s">
        <v>18</v>
      </c>
      <c r="O10" s="1621" t="s">
        <v>19</v>
      </c>
      <c r="P10" s="1620" t="s">
        <v>20</v>
      </c>
    </row>
    <row r="11" spans="1:16" x14ac:dyDescent="0.25">
      <c r="A11" s="1378"/>
      <c r="B11" s="1615"/>
      <c r="C11" s="1615"/>
      <c r="D11" s="1616"/>
      <c r="E11" s="1615"/>
      <c r="F11" s="1615"/>
      <c r="G11" s="1615"/>
      <c r="H11" s="1051" t="s">
        <v>21</v>
      </c>
      <c r="I11" s="1619"/>
      <c r="J11" s="1620"/>
      <c r="K11" s="1620"/>
      <c r="L11" s="1620"/>
      <c r="M11" s="1621"/>
      <c r="N11" s="1621"/>
      <c r="O11" s="1621"/>
      <c r="P11" s="1620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46023</v>
      </c>
      <c r="G72" s="1084">
        <v>46174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4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2011.95</v>
      </c>
      <c r="O100" s="468">
        <f t="shared" si="12"/>
        <v>11517.43</v>
      </c>
      <c r="P100" s="457">
        <f t="shared" si="11"/>
        <v>58482.57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4705.3500000000004</v>
      </c>
      <c r="O104" s="695">
        <f t="shared" si="13"/>
        <v>94620.44</v>
      </c>
      <c r="P104" s="695">
        <f t="shared" si="13"/>
        <v>475379.56000000006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4984.5200000000004</v>
      </c>
      <c r="M163" s="1149">
        <v>2128</v>
      </c>
      <c r="N163" s="468">
        <v>1944.78</v>
      </c>
      <c r="O163" s="468">
        <f t="shared" si="26"/>
        <v>11066.300000000001</v>
      </c>
      <c r="P163" s="468">
        <f t="shared" si="27"/>
        <v>58933.7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51653.14</v>
      </c>
      <c r="M168" s="695">
        <f t="shared" si="28"/>
        <v>19410.400000000001</v>
      </c>
      <c r="N168" s="695">
        <f t="shared" si="28"/>
        <v>4064.56</v>
      </c>
      <c r="O168" s="695">
        <f t="shared" si="28"/>
        <v>93453.049999999988</v>
      </c>
      <c r="P168" s="695">
        <f t="shared" si="28"/>
        <v>545046.95000000007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46023</v>
      </c>
      <c r="G179" s="1084">
        <v>46174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194123.96</v>
      </c>
      <c r="M181" s="695">
        <f t="shared" si="32"/>
        <v>74495.200000000012</v>
      </c>
      <c r="N181" s="695">
        <f t="shared" si="32"/>
        <v>25832.14</v>
      </c>
      <c r="O181" s="695">
        <f t="shared" si="32"/>
        <v>364780.64999999997</v>
      </c>
      <c r="P181" s="695">
        <f t="shared" si="32"/>
        <v>2085719.3500000003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126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736715.07</v>
      </c>
      <c r="M183" s="1126">
        <f t="shared" si="33"/>
        <v>221023.19999999998</v>
      </c>
      <c r="N183" s="1126">
        <f t="shared" si="33"/>
        <v>130636.44999999997</v>
      </c>
      <c r="O183" s="1126">
        <f t="shared" si="33"/>
        <v>1297038.0700000003</v>
      </c>
      <c r="P183" s="1126">
        <f t="shared" si="33"/>
        <v>5973461.9300000006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622" t="s">
        <v>1375</v>
      </c>
      <c r="K201" s="1622"/>
      <c r="L201" s="1622"/>
      <c r="M201" s="1622"/>
      <c r="N201" s="1622"/>
      <c r="O201" s="1622"/>
      <c r="P201" s="1622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623" t="s">
        <v>1554</v>
      </c>
      <c r="K202" s="1623"/>
      <c r="L202" s="1623"/>
      <c r="M202" s="1623"/>
      <c r="N202" s="1623"/>
      <c r="O202" s="1623"/>
      <c r="P202" s="1623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032BB-F45B-4AF0-8E19-C9F719CB877C}">
  <sheetPr>
    <pageSetUpPr fitToPage="1"/>
  </sheetPr>
  <dimension ref="A1:M83"/>
  <sheetViews>
    <sheetView showGridLines="0" topLeftCell="B1" zoomScale="80" zoomScaleNormal="8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39" t="s">
        <v>0</v>
      </c>
      <c r="C6" s="1939"/>
      <c r="D6" s="1939"/>
      <c r="E6" s="1939"/>
      <c r="F6" s="1939"/>
      <c r="G6" s="1939"/>
      <c r="H6" s="1939"/>
      <c r="I6" s="1939"/>
      <c r="J6" s="1939"/>
      <c r="K6" s="1939"/>
      <c r="L6" s="1939"/>
      <c r="M6" s="1939"/>
    </row>
    <row r="7" spans="2:13" s="1412" customFormat="1" ht="12.75" customHeight="1" x14ac:dyDescent="0.2">
      <c r="B7" s="1939" t="s">
        <v>1</v>
      </c>
      <c r="C7" s="1939"/>
      <c r="D7" s="1939"/>
      <c r="E7" s="1939"/>
      <c r="F7" s="1939"/>
      <c r="G7" s="1939"/>
      <c r="H7" s="1939"/>
      <c r="I7" s="1939"/>
      <c r="J7" s="1939"/>
      <c r="K7" s="1939"/>
      <c r="L7" s="1939"/>
      <c r="M7" s="1939"/>
    </row>
    <row r="8" spans="2:13" s="1412" customFormat="1" ht="12.75" customHeight="1" x14ac:dyDescent="0.2">
      <c r="B8" s="1939" t="s">
        <v>3</v>
      </c>
      <c r="C8" s="1939"/>
      <c r="D8" s="1939"/>
      <c r="E8" s="1939"/>
      <c r="F8" s="1939"/>
      <c r="G8" s="1939"/>
      <c r="H8" s="1939"/>
      <c r="I8" s="1939"/>
      <c r="J8" s="1939"/>
      <c r="K8" s="1939"/>
      <c r="L8" s="1939"/>
      <c r="M8" s="1939"/>
    </row>
    <row r="9" spans="2:13" s="1412" customFormat="1" ht="12.75" customHeight="1" x14ac:dyDescent="0.2">
      <c r="B9" s="1939" t="s">
        <v>1860</v>
      </c>
      <c r="C9" s="1939"/>
      <c r="D9" s="1939"/>
      <c r="E9" s="1939"/>
      <c r="F9" s="1939"/>
      <c r="G9" s="1939"/>
      <c r="H9" s="1939"/>
      <c r="I9" s="1939"/>
      <c r="J9" s="1939"/>
      <c r="K9" s="1939"/>
      <c r="L9" s="1939"/>
      <c r="M9" s="1939"/>
    </row>
    <row r="10" spans="2:13" s="1412" customFormat="1" ht="12.75" customHeight="1" x14ac:dyDescent="0.2">
      <c r="B10" s="1819" t="s">
        <v>1197</v>
      </c>
      <c r="C10" s="1819"/>
      <c r="D10" s="1819"/>
      <c r="E10" s="1819"/>
      <c r="F10" s="1819"/>
      <c r="G10" s="1819"/>
      <c r="H10" s="1819"/>
      <c r="I10" s="1819"/>
      <c r="J10" s="1819"/>
      <c r="K10" s="1819"/>
      <c r="L10" s="1819"/>
      <c r="M10" s="1819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40" t="s">
        <v>7</v>
      </c>
      <c r="C12" s="1941" t="s">
        <v>802</v>
      </c>
      <c r="D12" s="1941" t="s">
        <v>9</v>
      </c>
      <c r="E12" s="1541" t="s">
        <v>12</v>
      </c>
      <c r="F12" s="1942" t="s">
        <v>13</v>
      </c>
      <c r="G12" s="1938" t="s">
        <v>14</v>
      </c>
      <c r="H12" s="1938" t="s">
        <v>15</v>
      </c>
      <c r="I12" s="1938" t="s">
        <v>16</v>
      </c>
      <c r="J12" s="1938" t="s">
        <v>17</v>
      </c>
      <c r="K12" s="1938" t="s">
        <v>18</v>
      </c>
      <c r="L12" s="1938" t="s">
        <v>19</v>
      </c>
      <c r="M12" s="1938" t="s">
        <v>20</v>
      </c>
    </row>
    <row r="13" spans="2:13" s="205" customFormat="1" ht="15" customHeight="1" x14ac:dyDescent="0.25">
      <c r="B13" s="1940"/>
      <c r="C13" s="1941"/>
      <c r="D13" s="1941"/>
      <c r="E13" s="1541" t="s">
        <v>21</v>
      </c>
      <c r="F13" s="1942"/>
      <c r="G13" s="1938"/>
      <c r="H13" s="1938"/>
      <c r="I13" s="1938"/>
      <c r="J13" s="1938"/>
      <c r="K13" s="1938"/>
      <c r="L13" s="1938"/>
      <c r="M13" s="1938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43" t="s">
        <v>1250</v>
      </c>
      <c r="H57" s="1943"/>
      <c r="I57" s="1943"/>
      <c r="J57" s="1943"/>
      <c r="K57" s="1943"/>
      <c r="L57" s="1943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44" t="s">
        <v>852</v>
      </c>
      <c r="H58" s="1944"/>
      <c r="I58" s="1944"/>
      <c r="J58" s="1944"/>
      <c r="K58" s="1944"/>
      <c r="L58" s="1944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45" t="s">
        <v>1506</v>
      </c>
      <c r="H59" s="1945"/>
      <c r="I59" s="1945"/>
      <c r="J59" s="1945"/>
      <c r="K59" s="1945"/>
      <c r="L59" s="1945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46"/>
      <c r="I60" s="1946"/>
      <c r="J60" s="1946"/>
      <c r="K60" s="1946"/>
      <c r="L60" s="1946"/>
      <c r="M60" s="1946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734"/>
      <c r="G73" s="1734"/>
      <c r="H73" s="1734"/>
      <c r="I73" s="1734"/>
      <c r="J73" s="1734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5E2F36-A36F-4C93-A620-B485582DF1F5}">
  <sheetPr>
    <pageSetUpPr fitToPage="1"/>
  </sheetPr>
  <dimension ref="A1:M84"/>
  <sheetViews>
    <sheetView topLeftCell="A15" zoomScale="80" zoomScaleNormal="80" zoomScaleSheetLayoutView="80" workbookViewId="0">
      <selection activeCell="E26" sqref="E26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5" t="s">
        <v>0</v>
      </c>
      <c r="B7" s="1765"/>
      <c r="C7" s="1765"/>
      <c r="D7" s="1765"/>
      <c r="E7" s="1765"/>
      <c r="F7" s="1765"/>
      <c r="G7" s="1765"/>
      <c r="H7" s="1765"/>
      <c r="I7" s="1765"/>
      <c r="J7" s="1765"/>
      <c r="K7" s="1765"/>
      <c r="L7" s="1765"/>
      <c r="M7" s="1765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1861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41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1766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1827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1799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1800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1801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1853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s="259" customFormat="1" ht="31.5" customHeight="1" x14ac:dyDescent="0.25">
      <c r="A40" s="1527" t="s">
        <v>1854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0"/>
        <v>0</v>
      </c>
      <c r="M40" s="1524">
        <v>12000</v>
      </c>
    </row>
    <row r="41" spans="1:13" s="259" customFormat="1" ht="31.5" customHeight="1" x14ac:dyDescent="0.25">
      <c r="A41" s="1527" t="s">
        <v>1855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0"/>
        <v>0</v>
      </c>
      <c r="M41" s="1524">
        <v>12000</v>
      </c>
    </row>
    <row r="42" spans="1:13" s="259" customFormat="1" ht="31.5" customHeight="1" x14ac:dyDescent="0.25">
      <c r="A42" s="1527" t="s">
        <v>1862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ref="L42:L43" si="1">+H42+I42+J42+K42</f>
        <v>0</v>
      </c>
      <c r="M42" s="1524">
        <v>12000</v>
      </c>
    </row>
    <row r="43" spans="1:13" s="259" customFormat="1" ht="31.5" customHeight="1" x14ac:dyDescent="0.25">
      <c r="A43" s="1527" t="s">
        <v>1863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>SUM(F16:F43)</f>
        <v>0</v>
      </c>
      <c r="G44" s="1533">
        <f>SUM(G16:G43)</f>
        <v>384000</v>
      </c>
      <c r="H44" s="1533">
        <f t="shared" ref="H44:M44" si="2">SUM(H16:H43)</f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K51" si="4">+F44+F49</f>
        <v>0</v>
      </c>
      <c r="G51" s="1376">
        <f>+G44+G49</f>
        <v>396000</v>
      </c>
      <c r="H51" s="1376">
        <f t="shared" si="4"/>
        <v>0</v>
      </c>
      <c r="I51" s="1376">
        <f>+I44+I49</f>
        <v>4195.88</v>
      </c>
      <c r="J51" s="1376">
        <f t="shared" si="4"/>
        <v>0</v>
      </c>
      <c r="K51" s="1376">
        <f t="shared" si="4"/>
        <v>0</v>
      </c>
      <c r="L51" s="1376">
        <f>+L44+L49</f>
        <v>4195.88</v>
      </c>
      <c r="M51" s="1376">
        <f>+M44+M49</f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870" t="s">
        <v>1269</v>
      </c>
      <c r="B68" s="1870"/>
      <c r="C68" s="753"/>
      <c r="D68" s="753"/>
      <c r="E68" s="754"/>
      <c r="F68" s="755"/>
      <c r="H68" s="1871" t="s">
        <v>852</v>
      </c>
      <c r="I68" s="1871"/>
      <c r="J68" s="1871"/>
      <c r="K68" s="1871"/>
      <c r="L68" s="1871"/>
      <c r="M68" s="1871"/>
    </row>
    <row r="69" spans="1:13" s="259" customFormat="1" ht="19.5" customHeight="1" x14ac:dyDescent="0.25">
      <c r="A69" s="1809" t="s">
        <v>1813</v>
      </c>
      <c r="B69" s="1809"/>
      <c r="C69" s="753"/>
      <c r="D69" s="753"/>
      <c r="E69" s="754"/>
      <c r="F69" s="755"/>
      <c r="H69" s="1623" t="s">
        <v>1505</v>
      </c>
      <c r="I69" s="1623"/>
      <c r="J69" s="1623"/>
      <c r="K69" s="1623"/>
      <c r="L69" s="1623"/>
      <c r="M69" s="1623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810"/>
      <c r="I81" s="1810"/>
      <c r="J81" s="1810"/>
      <c r="K81" s="1810"/>
      <c r="L81" s="1810"/>
      <c r="M81" s="1810"/>
    </row>
    <row r="82" spans="1:13" ht="15.75" x14ac:dyDescent="0.25">
      <c r="A82" s="267"/>
      <c r="B82" s="267"/>
      <c r="C82" s="268"/>
      <c r="D82" s="268"/>
      <c r="E82" s="269"/>
      <c r="F82" s="1738"/>
      <c r="G82" s="1738"/>
      <c r="H82" s="1738"/>
      <c r="I82" s="1738"/>
      <c r="J82" s="1738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0" orientation="landscape" r:id="rId1"/>
  <drawing r:id="rId2"/>
</worksheet>
</file>

<file path=xl/worksheets/sheet3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F3F303-D5CE-4F49-932A-8A522CD65CD3}">
  <sheetPr>
    <pageSetUpPr fitToPage="1"/>
  </sheetPr>
  <dimension ref="A1:N279"/>
  <sheetViews>
    <sheetView showGridLines="0" topLeftCell="A5" zoomScale="84" zoomScaleNormal="84" workbookViewId="0">
      <pane ySplit="13" topLeftCell="A130" activePane="bottomLeft" state="frozen"/>
      <selection activeCell="A5" sqref="A5"/>
      <selection pane="bottomLeft" activeCell="E268" sqref="E268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64" t="s">
        <v>1502</v>
      </c>
      <c r="B10" s="1864"/>
      <c r="C10" s="1864"/>
      <c r="D10" s="1864"/>
      <c r="E10" s="1864"/>
      <c r="F10" s="1864"/>
      <c r="G10" s="1864"/>
      <c r="H10" s="1864"/>
      <c r="I10" s="1864"/>
      <c r="J10" s="1864"/>
      <c r="K10" s="1864"/>
      <c r="L10" s="1864"/>
      <c r="M10" s="1864"/>
    </row>
    <row r="11" spans="1:14" ht="0.75" customHeight="1" x14ac:dyDescent="0.25">
      <c r="A11" s="1864"/>
      <c r="B11" s="1864"/>
      <c r="C11" s="1864"/>
      <c r="D11" s="1864"/>
      <c r="E11" s="1864"/>
      <c r="F11" s="1864"/>
      <c r="G11" s="1864"/>
      <c r="H11" s="1864"/>
      <c r="I11" s="1864"/>
      <c r="J11" s="1864"/>
      <c r="K11" s="1864"/>
      <c r="L11" s="1864"/>
      <c r="M11" s="1864"/>
      <c r="N11" s="1864"/>
    </row>
    <row r="12" spans="1:14" ht="15.75" x14ac:dyDescent="0.25">
      <c r="A12" s="1864" t="s">
        <v>1460</v>
      </c>
      <c r="B12" s="1864"/>
      <c r="C12" s="1864"/>
      <c r="D12" s="1864"/>
      <c r="E12" s="1864"/>
      <c r="F12" s="1864"/>
      <c r="G12" s="1864"/>
      <c r="H12" s="1864"/>
      <c r="I12" s="1864"/>
      <c r="J12" s="1864"/>
      <c r="K12" s="1864"/>
      <c r="L12" s="1864"/>
      <c r="M12" s="1864"/>
    </row>
    <row r="13" spans="1:14" ht="15.75" x14ac:dyDescent="0.25">
      <c r="A13" s="1864" t="s">
        <v>1864</v>
      </c>
      <c r="B13" s="1864"/>
      <c r="C13" s="1864"/>
      <c r="D13" s="1864"/>
      <c r="E13" s="1864"/>
      <c r="F13" s="1864"/>
      <c r="G13" s="1864"/>
      <c r="H13" s="1864"/>
      <c r="I13" s="1864"/>
      <c r="J13" s="1864"/>
      <c r="K13" s="1864"/>
      <c r="L13" s="1864"/>
      <c r="M13" s="1864"/>
    </row>
    <row r="14" spans="1:14" ht="15.75" x14ac:dyDescent="0.25">
      <c r="A14" s="1882" t="s">
        <v>404</v>
      </c>
      <c r="B14" s="1882"/>
      <c r="C14" s="1882"/>
      <c r="D14" s="1882"/>
      <c r="E14" s="1882"/>
      <c r="F14" s="1882"/>
      <c r="G14" s="1882"/>
      <c r="H14" s="1882"/>
      <c r="I14" s="1882"/>
      <c r="J14" s="1882"/>
      <c r="K14" s="1882"/>
      <c r="L14" s="1882"/>
      <c r="M14" s="1882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83" t="s">
        <v>7</v>
      </c>
      <c r="B16" s="1883" t="s">
        <v>802</v>
      </c>
      <c r="C16" s="1883" t="s">
        <v>9</v>
      </c>
      <c r="D16" s="1883" t="s">
        <v>11</v>
      </c>
      <c r="E16" s="1057" t="s">
        <v>12</v>
      </c>
      <c r="F16" s="1885" t="s">
        <v>13</v>
      </c>
      <c r="G16" s="1886" t="s">
        <v>14</v>
      </c>
      <c r="H16" s="1896" t="s">
        <v>15</v>
      </c>
      <c r="I16" s="1620" t="s">
        <v>16</v>
      </c>
      <c r="J16" s="1896" t="s">
        <v>17</v>
      </c>
      <c r="K16" s="1896" t="s">
        <v>18</v>
      </c>
      <c r="L16" s="1896" t="s">
        <v>19</v>
      </c>
      <c r="M16" s="1886" t="s">
        <v>20</v>
      </c>
    </row>
    <row r="17" spans="1:13" ht="15.75" x14ac:dyDescent="0.25">
      <c r="A17" s="1883"/>
      <c r="B17" s="1883"/>
      <c r="C17" s="1883"/>
      <c r="D17" s="1883"/>
      <c r="E17" s="1057" t="s">
        <v>21</v>
      </c>
      <c r="F17" s="1885"/>
      <c r="G17" s="1886"/>
      <c r="H17" s="1896"/>
      <c r="I17" s="1620"/>
      <c r="J17" s="1896"/>
      <c r="K17" s="1896"/>
      <c r="L17" s="1896"/>
      <c r="M17" s="1886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3">
        <f t="shared" ref="E23:M23" si="0">SUM(E19:E22)</f>
        <v>660000</v>
      </c>
      <c r="F23" s="964">
        <f t="shared" si="0"/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307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1643</v>
      </c>
      <c r="B28" s="968" t="s">
        <v>807</v>
      </c>
      <c r="C28" s="960" t="s">
        <v>276</v>
      </c>
      <c r="D28" s="960" t="s">
        <v>1069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4">
        <v>1322.4</v>
      </c>
      <c r="K28" s="954">
        <v>25</v>
      </c>
      <c r="L28" s="951">
        <f>+H28+I28+J28+K28</f>
        <v>3532.4700000000003</v>
      </c>
      <c r="M28" s="953">
        <f>+G28-L28</f>
        <v>39967.53</v>
      </c>
    </row>
    <row r="29" spans="1:13" s="1577" customFormat="1" ht="18.75" x14ac:dyDescent="0.3">
      <c r="A29" s="955" t="s">
        <v>1651</v>
      </c>
      <c r="B29" s="968" t="s">
        <v>806</v>
      </c>
      <c r="C29" s="960" t="s">
        <v>276</v>
      </c>
      <c r="D29" s="960" t="s">
        <v>307</v>
      </c>
      <c r="E29" s="951">
        <v>37500</v>
      </c>
      <c r="F29" s="974">
        <v>0</v>
      </c>
      <c r="G29" s="951">
        <v>37500</v>
      </c>
      <c r="H29" s="951">
        <v>1076.25</v>
      </c>
      <c r="I29" s="974">
        <v>89.81</v>
      </c>
      <c r="J29" s="954">
        <v>1140</v>
      </c>
      <c r="K29" s="954">
        <v>25</v>
      </c>
      <c r="L29" s="951">
        <f>+H29+I29+J29+K29</f>
        <v>2331.06</v>
      </c>
      <c r="M29" s="953">
        <f>+G29-L29</f>
        <v>35168.94</v>
      </c>
    </row>
    <row r="30" spans="1:13" s="1577" customFormat="1" ht="18.75" x14ac:dyDescent="0.3">
      <c r="A30" s="961" t="s">
        <v>752</v>
      </c>
      <c r="B30" s="950"/>
      <c r="C30" s="962">
        <v>4</v>
      </c>
      <c r="D30" s="962"/>
      <c r="E30" s="963">
        <f>SUM(E26:E29)</f>
        <v>219500</v>
      </c>
      <c r="F30" s="1071">
        <v>0</v>
      </c>
      <c r="G30" s="963">
        <f t="shared" ref="G30:L30" si="1">SUM(G26:G29)</f>
        <v>219500</v>
      </c>
      <c r="H30" s="963">
        <f>SUM(H26:H29)</f>
        <v>6299.65</v>
      </c>
      <c r="I30" s="963">
        <f t="shared" si="1"/>
        <v>12412.35</v>
      </c>
      <c r="J30" s="966">
        <f t="shared" si="1"/>
        <v>6672.7999999999993</v>
      </c>
      <c r="K30" s="966">
        <f>SUM(K26:K29)</f>
        <v>13889.69</v>
      </c>
      <c r="L30" s="963">
        <f t="shared" si="1"/>
        <v>39274.49</v>
      </c>
      <c r="M30" s="963">
        <f>SUM(M26:M29)</f>
        <v>180225.51</v>
      </c>
    </row>
    <row r="31" spans="1:13" s="1577" customFormat="1" ht="18.75" x14ac:dyDescent="0.3">
      <c r="A31" s="958"/>
      <c r="B31" s="950"/>
      <c r="C31" s="960"/>
      <c r="D31" s="960"/>
      <c r="E31" s="951"/>
      <c r="F31" s="952"/>
      <c r="G31" s="953"/>
      <c r="H31" s="951"/>
      <c r="I31" s="951"/>
      <c r="J31" s="954"/>
      <c r="K31" s="954"/>
      <c r="L31" s="951"/>
      <c r="M31" s="953"/>
    </row>
    <row r="32" spans="1:13" s="1577" customFormat="1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3"/>
      <c r="I32" s="963"/>
      <c r="J32" s="966"/>
      <c r="K32" s="966"/>
      <c r="L32" s="963"/>
      <c r="M32" s="965"/>
    </row>
    <row r="33" spans="1:13" s="1577" customFormat="1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1">
        <v>5309.5</v>
      </c>
      <c r="I33" s="951">
        <v>30659.66</v>
      </c>
      <c r="J33" s="954">
        <v>5624</v>
      </c>
      <c r="K33" s="954">
        <v>5784.34</v>
      </c>
      <c r="L33" s="951">
        <f>SUM(H33:K33)</f>
        <v>47377.5</v>
      </c>
      <c r="M33" s="953">
        <f>+G33-L33</f>
        <v>137622.5</v>
      </c>
    </row>
    <row r="34" spans="1:13" s="1577" customFormat="1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648.66</v>
      </c>
      <c r="J34" s="954">
        <v>1322.4</v>
      </c>
      <c r="K34" s="954">
        <v>1944.78</v>
      </c>
      <c r="L34" s="951">
        <f>+H34+I34+J34+K34</f>
        <v>5164.29</v>
      </c>
      <c r="M34" s="953">
        <f>+G34-L34</f>
        <v>38335.71</v>
      </c>
    </row>
    <row r="35" spans="1:13" s="1577" customFormat="1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1">
        <v>1248.45</v>
      </c>
      <c r="I35" s="951">
        <v>936.62</v>
      </c>
      <c r="J35" s="954">
        <v>1322.4</v>
      </c>
      <c r="K35" s="954">
        <v>1111.95</v>
      </c>
      <c r="L35" s="951">
        <f>+H35+I35+J35+K35</f>
        <v>4619.42</v>
      </c>
      <c r="M35" s="953">
        <f>+G35-L35</f>
        <v>38880.58</v>
      </c>
    </row>
    <row r="36" spans="1:13" s="1577" customFormat="1" ht="18.75" x14ac:dyDescent="0.3">
      <c r="A36" s="958" t="s">
        <v>1835</v>
      </c>
      <c r="B36" s="950" t="s">
        <v>807</v>
      </c>
      <c r="C36" s="960" t="s">
        <v>276</v>
      </c>
      <c r="D36" s="960" t="s">
        <v>321</v>
      </c>
      <c r="E36" s="951">
        <v>37500</v>
      </c>
      <c r="F36" s="952">
        <v>0</v>
      </c>
      <c r="G36" s="953">
        <v>37500</v>
      </c>
      <c r="H36" s="951">
        <v>1076.25</v>
      </c>
      <c r="I36" s="951">
        <v>89.81</v>
      </c>
      <c r="J36" s="954">
        <v>1140</v>
      </c>
      <c r="K36" s="954">
        <v>25</v>
      </c>
      <c r="L36" s="951">
        <f>+H36+I36+J36+K36</f>
        <v>2331.06</v>
      </c>
      <c r="M36" s="953">
        <f>+G36-L36</f>
        <v>35168.94</v>
      </c>
    </row>
    <row r="37" spans="1:13" s="1577" customFormat="1" ht="18.75" x14ac:dyDescent="0.3">
      <c r="A37" s="958" t="s">
        <v>1323</v>
      </c>
      <c r="B37" s="950" t="s">
        <v>807</v>
      </c>
      <c r="C37" s="960" t="s">
        <v>337</v>
      </c>
      <c r="D37" s="960" t="s">
        <v>321</v>
      </c>
      <c r="E37" s="951">
        <v>55000</v>
      </c>
      <c r="F37" s="952">
        <v>0</v>
      </c>
      <c r="G37" s="953">
        <v>55000</v>
      </c>
      <c r="H37" s="951">
        <v>1578.5</v>
      </c>
      <c r="I37" s="951">
        <v>2559.6799999999998</v>
      </c>
      <c r="J37" s="954">
        <v>1672</v>
      </c>
      <c r="K37" s="954">
        <v>3339.81</v>
      </c>
      <c r="L37" s="951">
        <f>+H37+I37+J37+K37</f>
        <v>9149.99</v>
      </c>
      <c r="M37" s="953">
        <f>+G37-L37</f>
        <v>45850.01</v>
      </c>
    </row>
    <row r="38" spans="1:13" s="1577" customFormat="1" ht="18.75" x14ac:dyDescent="0.3">
      <c r="A38" s="961" t="s">
        <v>749</v>
      </c>
      <c r="B38" s="950"/>
      <c r="C38" s="962">
        <v>5</v>
      </c>
      <c r="D38" s="962"/>
      <c r="E38" s="963">
        <f>SUM(E33:E37)</f>
        <v>364500</v>
      </c>
      <c r="F38" s="1071">
        <v>0</v>
      </c>
      <c r="G38" s="963">
        <f t="shared" ref="G38:M38" si="2">SUM(G33:G37)</f>
        <v>364500</v>
      </c>
      <c r="H38" s="963">
        <f t="shared" si="2"/>
        <v>10461.15</v>
      </c>
      <c r="I38" s="963">
        <f t="shared" si="2"/>
        <v>34894.43</v>
      </c>
      <c r="J38" s="966">
        <f t="shared" si="2"/>
        <v>11080.8</v>
      </c>
      <c r="K38" s="966">
        <f t="shared" si="2"/>
        <v>12205.88</v>
      </c>
      <c r="L38" s="963">
        <f t="shared" si="2"/>
        <v>68642.259999999995</v>
      </c>
      <c r="M38" s="963">
        <f t="shared" si="2"/>
        <v>295857.74</v>
      </c>
    </row>
    <row r="39" spans="1:13" s="1577" customFormat="1" ht="18.75" x14ac:dyDescent="0.3">
      <c r="A39" s="961"/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x14ac:dyDescent="0.3">
      <c r="A40" s="961" t="s">
        <v>1144</v>
      </c>
      <c r="B40" s="950"/>
      <c r="C40" s="962"/>
      <c r="D40" s="962"/>
      <c r="E40" s="963"/>
      <c r="F40" s="964"/>
      <c r="G40" s="965"/>
      <c r="H40" s="963"/>
      <c r="I40" s="963"/>
      <c r="J40" s="966"/>
      <c r="K40" s="966"/>
      <c r="L40" s="963"/>
      <c r="M40" s="965"/>
    </row>
    <row r="41" spans="1:13" s="1577" customFormat="1" ht="18.75" customHeight="1" x14ac:dyDescent="0.3">
      <c r="A41" s="955" t="s">
        <v>1655</v>
      </c>
      <c r="B41" s="969" t="s">
        <v>807</v>
      </c>
      <c r="C41" s="970" t="s">
        <v>925</v>
      </c>
      <c r="D41" s="960" t="s">
        <v>1069</v>
      </c>
      <c r="E41" s="951">
        <v>75000</v>
      </c>
      <c r="F41" s="971">
        <v>0</v>
      </c>
      <c r="G41" s="972">
        <v>75000</v>
      </c>
      <c r="H41" s="951">
        <v>2152.5</v>
      </c>
      <c r="I41" s="951">
        <v>6309.38</v>
      </c>
      <c r="J41" s="954">
        <v>2280</v>
      </c>
      <c r="K41" s="954">
        <v>25</v>
      </c>
      <c r="L41" s="951">
        <f>+H41+I41+J41+K41</f>
        <v>10766.880000000001</v>
      </c>
      <c r="M41" s="953">
        <f>+G41-L41</f>
        <v>64233.119999999995</v>
      </c>
    </row>
    <row r="42" spans="1:13" s="1577" customFormat="1" ht="18.75" x14ac:dyDescent="0.3">
      <c r="A42" s="961" t="s">
        <v>749</v>
      </c>
      <c r="B42" s="950"/>
      <c r="C42" s="962">
        <v>1</v>
      </c>
      <c r="D42" s="962"/>
      <c r="E42" s="963">
        <f>SUM(E41)</f>
        <v>75000</v>
      </c>
      <c r="F42" s="964">
        <f>SUM(F41)</f>
        <v>0</v>
      </c>
      <c r="G42" s="965">
        <v>75000</v>
      </c>
      <c r="H42" s="963">
        <f t="shared" ref="H42:M42" si="3">SUM(H41)</f>
        <v>2152.5</v>
      </c>
      <c r="I42" s="963">
        <f t="shared" si="3"/>
        <v>6309.38</v>
      </c>
      <c r="J42" s="966">
        <f t="shared" si="3"/>
        <v>2280</v>
      </c>
      <c r="K42" s="966">
        <f t="shared" si="3"/>
        <v>25</v>
      </c>
      <c r="L42" s="963">
        <f t="shared" si="3"/>
        <v>10766.880000000001</v>
      </c>
      <c r="M42" s="965">
        <f t="shared" si="3"/>
        <v>64233.119999999995</v>
      </c>
    </row>
    <row r="43" spans="1:13" s="1577" customFormat="1" ht="18.75" x14ac:dyDescent="0.3">
      <c r="A43" s="961"/>
      <c r="B43" s="950"/>
      <c r="C43" s="962"/>
      <c r="D43" s="962"/>
      <c r="E43" s="963"/>
      <c r="F43" s="964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61" t="s">
        <v>1530</v>
      </c>
      <c r="B44" s="950"/>
      <c r="C44" s="967"/>
      <c r="D44" s="967"/>
      <c r="E44" s="963"/>
      <c r="F44" s="952"/>
      <c r="G44" s="965"/>
      <c r="H44" s="963"/>
      <c r="I44" s="963"/>
      <c r="J44" s="966"/>
      <c r="K44" s="966"/>
      <c r="L44" s="963"/>
      <c r="M44" s="965"/>
    </row>
    <row r="45" spans="1:13" s="1577" customFormat="1" ht="18.75" x14ac:dyDescent="0.3">
      <c r="A45" s="958" t="s">
        <v>1656</v>
      </c>
      <c r="B45" s="950" t="s">
        <v>806</v>
      </c>
      <c r="C45" s="960" t="s">
        <v>120</v>
      </c>
      <c r="D45" s="960" t="s">
        <v>1067</v>
      </c>
      <c r="E45" s="951">
        <v>30000</v>
      </c>
      <c r="F45" s="952">
        <v>0</v>
      </c>
      <c r="G45" s="953">
        <v>30000</v>
      </c>
      <c r="H45" s="951">
        <v>861</v>
      </c>
      <c r="I45" s="974">
        <v>0</v>
      </c>
      <c r="J45" s="954">
        <v>912</v>
      </c>
      <c r="K45" s="954">
        <v>1944.78</v>
      </c>
      <c r="L45" s="951">
        <f>+H45+I45+J45+K45</f>
        <v>3717.7799999999997</v>
      </c>
      <c r="M45" s="953">
        <f>+G45-L45</f>
        <v>26282.22</v>
      </c>
    </row>
    <row r="46" spans="1:13" s="1577" customFormat="1" ht="18.75" x14ac:dyDescent="0.3">
      <c r="A46" s="955" t="s">
        <v>1657</v>
      </c>
      <c r="B46" s="950" t="s">
        <v>807</v>
      </c>
      <c r="C46" s="960" t="s">
        <v>125</v>
      </c>
      <c r="D46" s="960" t="s">
        <v>307</v>
      </c>
      <c r="E46" s="951">
        <v>43500</v>
      </c>
      <c r="F46" s="952">
        <v>0</v>
      </c>
      <c r="G46" s="953">
        <v>43500</v>
      </c>
      <c r="H46" s="951">
        <v>1248.45</v>
      </c>
      <c r="I46" s="974">
        <v>936.62</v>
      </c>
      <c r="J46" s="954">
        <v>1322.4</v>
      </c>
      <c r="K46" s="954">
        <v>25</v>
      </c>
      <c r="L46" s="951">
        <f>+H46+I46+J46+K46</f>
        <v>3532.4700000000003</v>
      </c>
      <c r="M46" s="953">
        <f>+G46-L46</f>
        <v>39967.53</v>
      </c>
    </row>
    <row r="47" spans="1:13" s="1577" customFormat="1" ht="18.75" x14ac:dyDescent="0.3">
      <c r="A47" s="961" t="s">
        <v>749</v>
      </c>
      <c r="B47" s="950"/>
      <c r="C47" s="962">
        <v>2</v>
      </c>
      <c r="D47" s="962"/>
      <c r="E47" s="963">
        <f>SUM(E45:E46)</f>
        <v>73500</v>
      </c>
      <c r="F47" s="964">
        <f t="shared" ref="F47:L47" si="4">SUM(F45:F46)</f>
        <v>0</v>
      </c>
      <c r="G47" s="965">
        <f t="shared" si="4"/>
        <v>73500</v>
      </c>
      <c r="H47" s="963">
        <f t="shared" si="4"/>
        <v>2109.4499999999998</v>
      </c>
      <c r="I47" s="1071">
        <f t="shared" si="4"/>
        <v>936.62</v>
      </c>
      <c r="J47" s="966">
        <f t="shared" si="4"/>
        <v>2234.4</v>
      </c>
      <c r="K47" s="966">
        <f>SUM(K45:K46)</f>
        <v>1969.78</v>
      </c>
      <c r="L47" s="963">
        <f t="shared" si="4"/>
        <v>7250.25</v>
      </c>
      <c r="M47" s="965">
        <f>SUM(M45:M46)</f>
        <v>66249.75</v>
      </c>
    </row>
    <row r="48" spans="1:13" s="1577" customFormat="1" ht="18.75" x14ac:dyDescent="0.3">
      <c r="A48" s="961"/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61" t="s">
        <v>1531</v>
      </c>
      <c r="B49" s="950"/>
      <c r="C49" s="967"/>
      <c r="D49" s="967"/>
      <c r="E49" s="963"/>
      <c r="F49" s="964"/>
      <c r="G49" s="965"/>
      <c r="H49" s="963"/>
      <c r="I49" s="963"/>
      <c r="J49" s="966"/>
      <c r="K49" s="966"/>
      <c r="L49" s="963"/>
      <c r="M49" s="965"/>
    </row>
    <row r="50" spans="1:13" s="1577" customFormat="1" ht="18.75" x14ac:dyDescent="0.3">
      <c r="A50" s="958" t="s">
        <v>226</v>
      </c>
      <c r="B50" s="950" t="s">
        <v>806</v>
      </c>
      <c r="C50" s="959" t="s">
        <v>1461</v>
      </c>
      <c r="D50" s="960" t="s">
        <v>307</v>
      </c>
      <c r="E50" s="951">
        <v>35000</v>
      </c>
      <c r="F50" s="952">
        <v>0</v>
      </c>
      <c r="G50" s="953">
        <v>35000</v>
      </c>
      <c r="H50" s="951">
        <v>1004.5</v>
      </c>
      <c r="I50" s="974">
        <v>0</v>
      </c>
      <c r="J50" s="954">
        <v>1064</v>
      </c>
      <c r="K50" s="954">
        <v>25</v>
      </c>
      <c r="L50" s="951">
        <f>+H50+I50+J50+K50</f>
        <v>2093.5</v>
      </c>
      <c r="M50" s="953">
        <f>+G50-L50</f>
        <v>32906.5</v>
      </c>
    </row>
    <row r="51" spans="1:13" s="1577" customFormat="1" ht="18.75" x14ac:dyDescent="0.3">
      <c r="A51" s="958" t="s">
        <v>1779</v>
      </c>
      <c r="B51" s="950" t="s">
        <v>806</v>
      </c>
      <c r="C51" s="960" t="s">
        <v>912</v>
      </c>
      <c r="D51" s="960" t="s">
        <v>1067</v>
      </c>
      <c r="E51" s="951">
        <v>30000</v>
      </c>
      <c r="F51" s="952">
        <v>0</v>
      </c>
      <c r="G51" s="953">
        <v>30000</v>
      </c>
      <c r="H51" s="951">
        <v>861</v>
      </c>
      <c r="I51" s="974">
        <v>0</v>
      </c>
      <c r="J51" s="954">
        <v>912</v>
      </c>
      <c r="K51" s="954">
        <v>5011.95</v>
      </c>
      <c r="L51" s="951">
        <f>SUM(H51:K51)</f>
        <v>6784.95</v>
      </c>
      <c r="M51" s="953">
        <f>+E51-L51</f>
        <v>23215.05</v>
      </c>
    </row>
    <row r="52" spans="1:13" s="1577" customFormat="1" ht="18.75" x14ac:dyDescent="0.3">
      <c r="A52" s="955" t="s">
        <v>119</v>
      </c>
      <c r="B52" s="968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7761.54</v>
      </c>
      <c r="L52" s="951">
        <f>+H52+I52+J52+K52</f>
        <v>9830.0400000000009</v>
      </c>
      <c r="M52" s="951">
        <f>+G52-L52</f>
        <v>25169.96</v>
      </c>
    </row>
    <row r="53" spans="1:13" s="1577" customFormat="1" ht="18.75" x14ac:dyDescent="0.3">
      <c r="A53" s="955" t="s">
        <v>1335</v>
      </c>
      <c r="B53" s="950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4">
        <v>1064</v>
      </c>
      <c r="K53" s="954">
        <v>25</v>
      </c>
      <c r="L53" s="951">
        <f>+H53+I53+J53+K53</f>
        <v>2093.5</v>
      </c>
      <c r="M53" s="951">
        <f>+G53-L53</f>
        <v>32906.5</v>
      </c>
    </row>
    <row r="54" spans="1:13" s="1576" customFormat="1" ht="18.75" x14ac:dyDescent="0.3">
      <c r="A54" s="1578" t="s">
        <v>1327</v>
      </c>
      <c r="B54" s="1256" t="s">
        <v>806</v>
      </c>
      <c r="C54" s="1579" t="s">
        <v>1844</v>
      </c>
      <c r="D54" s="1257" t="s">
        <v>1067</v>
      </c>
      <c r="E54" s="954">
        <v>43500</v>
      </c>
      <c r="F54" s="1191">
        <v>0</v>
      </c>
      <c r="G54" s="954">
        <v>43500</v>
      </c>
      <c r="H54" s="954">
        <v>1248.45</v>
      </c>
      <c r="I54" s="1191">
        <v>936.62</v>
      </c>
      <c r="J54" s="954">
        <v>1322.4</v>
      </c>
      <c r="K54" s="954">
        <v>25</v>
      </c>
      <c r="L54" s="954">
        <f>+H54+I54+J54+K54</f>
        <v>3532.4700000000003</v>
      </c>
      <c r="M54" s="954">
        <f>+G54-L54</f>
        <v>39967.53</v>
      </c>
    </row>
    <row r="55" spans="1:13" s="1577" customFormat="1" ht="18.75" x14ac:dyDescent="0.3">
      <c r="A55" s="1230" t="s">
        <v>749</v>
      </c>
      <c r="B55" s="1231"/>
      <c r="C55" s="1232">
        <v>5</v>
      </c>
      <c r="D55" s="1232"/>
      <c r="E55" s="1233">
        <f>SUM(E50:E54)</f>
        <v>178500</v>
      </c>
      <c r="F55" s="964">
        <v>0</v>
      </c>
      <c r="G55" s="1233">
        <f t="shared" ref="G55:M55" si="5">SUM(G50:G54)</f>
        <v>178500</v>
      </c>
      <c r="H55" s="1233">
        <f t="shared" si="5"/>
        <v>5122.95</v>
      </c>
      <c r="I55" s="1233">
        <f t="shared" si="5"/>
        <v>936.62</v>
      </c>
      <c r="J55" s="1395">
        <f t="shared" si="5"/>
        <v>5426.4</v>
      </c>
      <c r="K55" s="1395">
        <f t="shared" si="5"/>
        <v>12848.49</v>
      </c>
      <c r="L55" s="1233">
        <f t="shared" si="5"/>
        <v>24334.460000000003</v>
      </c>
      <c r="M55" s="1233">
        <f t="shared" si="5"/>
        <v>154165.54</v>
      </c>
    </row>
    <row r="56" spans="1:13" s="1577" customFormat="1" ht="23.25" customHeight="1" x14ac:dyDescent="0.3">
      <c r="A56" s="1580"/>
      <c r="B56" s="1580"/>
      <c r="C56" s="1580"/>
      <c r="D56" s="1580"/>
      <c r="E56" s="1580"/>
      <c r="F56" s="1580"/>
      <c r="G56" s="1580"/>
      <c r="H56" s="1580"/>
      <c r="I56" s="1580"/>
      <c r="J56" s="1581"/>
      <c r="K56" s="1581"/>
      <c r="L56" s="1580"/>
      <c r="M56" s="1580"/>
    </row>
    <row r="57" spans="1:13" s="1577" customFormat="1" ht="18.75" x14ac:dyDescent="0.3">
      <c r="A57" s="1235" t="s">
        <v>1145</v>
      </c>
      <c r="B57" s="1236"/>
      <c r="C57" s="1237"/>
      <c r="D57" s="1237"/>
      <c r="E57" s="1238"/>
      <c r="F57" s="1239"/>
      <c r="G57" s="1240"/>
      <c r="H57" s="1238"/>
      <c r="I57" s="1238"/>
      <c r="J57" s="1241"/>
      <c r="K57" s="1241"/>
      <c r="L57" s="1238"/>
      <c r="M57" s="1240"/>
    </row>
    <row r="58" spans="1:13" s="1577" customFormat="1" ht="18.75" x14ac:dyDescent="0.3">
      <c r="A58" s="955" t="s">
        <v>346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4">
        <v>1140</v>
      </c>
      <c r="K58" s="954">
        <v>525</v>
      </c>
      <c r="L58" s="951">
        <f>+H58+I58+J58+K58</f>
        <v>2831.06</v>
      </c>
      <c r="M58" s="951">
        <f>+G58-L58</f>
        <v>34668.94</v>
      </c>
    </row>
    <row r="59" spans="1:13" s="1577" customFormat="1" ht="18.75" x14ac:dyDescent="0.3">
      <c r="A59" s="955" t="s">
        <v>1658</v>
      </c>
      <c r="B59" s="950" t="s">
        <v>806</v>
      </c>
      <c r="C59" s="960" t="s">
        <v>309</v>
      </c>
      <c r="D59" s="960" t="s">
        <v>307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0</v>
      </c>
      <c r="J59" s="954">
        <v>1140</v>
      </c>
      <c r="K59" s="954">
        <v>2374.2800000000002</v>
      </c>
      <c r="L59" s="951">
        <f>SUM(H59:K59)</f>
        <v>4590.5300000000007</v>
      </c>
      <c r="M59" s="951">
        <f>+G59-L59</f>
        <v>32909.47</v>
      </c>
    </row>
    <row r="60" spans="1:13" s="1577" customFormat="1" ht="18.75" x14ac:dyDescent="0.3">
      <c r="A60" s="961" t="s">
        <v>749</v>
      </c>
      <c r="B60" s="950"/>
      <c r="C60" s="962">
        <v>2</v>
      </c>
      <c r="D60" s="962"/>
      <c r="E60" s="963">
        <f>SUM(E58:E59)</f>
        <v>75000</v>
      </c>
      <c r="F60" s="1071">
        <v>0</v>
      </c>
      <c r="G60" s="963">
        <f t="shared" ref="G60:M60" si="6">SUM(G58:G59)</f>
        <v>75000</v>
      </c>
      <c r="H60" s="963">
        <f t="shared" si="6"/>
        <v>2152.5</v>
      </c>
      <c r="I60" s="963">
        <f t="shared" si="6"/>
        <v>89.81</v>
      </c>
      <c r="J60" s="966">
        <f t="shared" si="6"/>
        <v>2280</v>
      </c>
      <c r="K60" s="966">
        <f t="shared" si="6"/>
        <v>2899.28</v>
      </c>
      <c r="L60" s="963">
        <f t="shared" si="6"/>
        <v>7421.59</v>
      </c>
      <c r="M60" s="963">
        <f t="shared" si="6"/>
        <v>67578.41</v>
      </c>
    </row>
    <row r="61" spans="1:13" s="1577" customFormat="1" ht="18.75" x14ac:dyDescent="0.3">
      <c r="A61" s="961"/>
      <c r="B61" s="950"/>
      <c r="C61" s="967"/>
      <c r="D61" s="967"/>
      <c r="E61" s="963"/>
      <c r="F61" s="964"/>
      <c r="G61" s="965"/>
      <c r="H61" s="963"/>
      <c r="I61" s="963"/>
      <c r="J61" s="1192"/>
      <c r="K61" s="966"/>
      <c r="L61" s="963"/>
      <c r="M61" s="965"/>
    </row>
    <row r="62" spans="1:13" s="1577" customFormat="1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3"/>
      <c r="I62" s="963"/>
      <c r="J62" s="966"/>
      <c r="K62" s="966"/>
      <c r="L62" s="963"/>
      <c r="M62" s="965"/>
    </row>
    <row r="63" spans="1:13" s="1577" customFormat="1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1">
        <v>1248.45</v>
      </c>
      <c r="I63" s="951">
        <v>936.62</v>
      </c>
      <c r="J63" s="954">
        <v>1322.4</v>
      </c>
      <c r="K63" s="954">
        <v>25</v>
      </c>
      <c r="L63" s="951">
        <f t="shared" ref="L63:L76" si="7"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1347</v>
      </c>
      <c r="B64" s="950" t="s">
        <v>807</v>
      </c>
      <c r="C64" s="977" t="s">
        <v>327</v>
      </c>
      <c r="D64" s="960" t="s">
        <v>321</v>
      </c>
      <c r="E64" s="951">
        <v>43500</v>
      </c>
      <c r="F64" s="952">
        <v>0</v>
      </c>
      <c r="G64" s="953">
        <v>43500</v>
      </c>
      <c r="H64" s="951">
        <v>1248.45</v>
      </c>
      <c r="I64" s="974">
        <v>936.62</v>
      </c>
      <c r="J64" s="954">
        <v>1322.4</v>
      </c>
      <c r="K64" s="954">
        <v>25</v>
      </c>
      <c r="L64" s="951">
        <f>+H64+I64+J64+K64</f>
        <v>3532.4700000000003</v>
      </c>
      <c r="M64" s="953">
        <f>+G64-L64</f>
        <v>39967.53</v>
      </c>
    </row>
    <row r="65" spans="1:13" s="1577" customFormat="1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1">
        <v>861</v>
      </c>
      <c r="I65" s="974">
        <v>0</v>
      </c>
      <c r="J65" s="954">
        <v>912</v>
      </c>
      <c r="K65" s="954">
        <v>25</v>
      </c>
      <c r="L65" s="951">
        <f>+H65+I65+J65+K65</f>
        <v>1798</v>
      </c>
      <c r="M65" s="953">
        <f>+G65-L65</f>
        <v>28202</v>
      </c>
    </row>
    <row r="66" spans="1:13" s="1577" customFormat="1" ht="18.75" x14ac:dyDescent="0.3">
      <c r="A66" s="958" t="s">
        <v>99</v>
      </c>
      <c r="B66" s="950" t="s">
        <v>806</v>
      </c>
      <c r="C66" s="960" t="s">
        <v>1461</v>
      </c>
      <c r="D66" s="960" t="s">
        <v>1067</v>
      </c>
      <c r="E66" s="951">
        <v>35000</v>
      </c>
      <c r="F66" s="952">
        <v>0</v>
      </c>
      <c r="G66" s="953">
        <v>35000</v>
      </c>
      <c r="H66" s="951">
        <v>1004.5</v>
      </c>
      <c r="I66" s="974">
        <v>0</v>
      </c>
      <c r="J66" s="954">
        <v>1064</v>
      </c>
      <c r="K66" s="954">
        <v>125</v>
      </c>
      <c r="L66" s="951">
        <f>+H66+I66+J66+K66</f>
        <v>2193.5</v>
      </c>
      <c r="M66" s="953">
        <f>+G66-L66</f>
        <v>32806.5</v>
      </c>
    </row>
    <row r="67" spans="1:13" s="1576" customFormat="1" ht="18.75" x14ac:dyDescent="0.3">
      <c r="A67" s="1255" t="s">
        <v>1659</v>
      </c>
      <c r="B67" s="1256" t="s">
        <v>806</v>
      </c>
      <c r="C67" s="1257" t="s">
        <v>92</v>
      </c>
      <c r="D67" s="1257" t="s">
        <v>1067</v>
      </c>
      <c r="E67" s="954">
        <v>30000</v>
      </c>
      <c r="F67" s="1191">
        <v>0</v>
      </c>
      <c r="G67" s="954">
        <v>30000</v>
      </c>
      <c r="H67" s="951">
        <v>861</v>
      </c>
      <c r="I67" s="974">
        <v>0</v>
      </c>
      <c r="J67" s="954">
        <v>912</v>
      </c>
      <c r="K67" s="954">
        <v>6341.6</v>
      </c>
      <c r="L67" s="951">
        <f>+H67+I67+J67+K67</f>
        <v>8114.6</v>
      </c>
      <c r="M67" s="954">
        <f>+G67-L67</f>
        <v>21885.4</v>
      </c>
    </row>
    <row r="68" spans="1:13" s="1577" customFormat="1" ht="18.75" x14ac:dyDescent="0.3">
      <c r="A68" s="958" t="s">
        <v>1661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52">
        <v>0</v>
      </c>
      <c r="G68" s="953">
        <v>30000</v>
      </c>
      <c r="H68" s="951">
        <v>861</v>
      </c>
      <c r="I68" s="974">
        <v>0</v>
      </c>
      <c r="J68" s="954">
        <v>912</v>
      </c>
      <c r="K68" s="954">
        <v>25</v>
      </c>
      <c r="L68" s="951">
        <f t="shared" si="7"/>
        <v>1798</v>
      </c>
      <c r="M68" s="953">
        <f t="shared" ref="M68:M76" si="8">+G68-L68</f>
        <v>28202</v>
      </c>
    </row>
    <row r="69" spans="1:13" s="1577" customFormat="1" ht="18.75" x14ac:dyDescent="0.3">
      <c r="A69" s="955" t="s">
        <v>1662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1">
        <v>861</v>
      </c>
      <c r="I69" s="974">
        <v>0</v>
      </c>
      <c r="J69" s="954">
        <v>912</v>
      </c>
      <c r="K69" s="954">
        <v>25</v>
      </c>
      <c r="L69" s="951">
        <f t="shared" si="7"/>
        <v>1798</v>
      </c>
      <c r="M69" s="953">
        <f t="shared" si="8"/>
        <v>28202</v>
      </c>
    </row>
    <row r="70" spans="1:13" s="1577" customFormat="1" ht="18.75" x14ac:dyDescent="0.3">
      <c r="A70" s="958" t="s">
        <v>1663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2568.4</v>
      </c>
      <c r="L70" s="951">
        <f t="shared" si="7"/>
        <v>4341.3999999999996</v>
      </c>
      <c r="M70" s="953">
        <f t="shared" si="8"/>
        <v>25658.6</v>
      </c>
    </row>
    <row r="71" spans="1:13" s="1577" customFormat="1" ht="18.75" x14ac:dyDescent="0.3">
      <c r="A71" s="958" t="s">
        <v>1146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51">
        <v>0</v>
      </c>
      <c r="J71" s="954">
        <v>912</v>
      </c>
      <c r="K71" s="954">
        <v>2304.35</v>
      </c>
      <c r="L71" s="951">
        <f t="shared" si="7"/>
        <v>4077.35</v>
      </c>
      <c r="M71" s="953">
        <f t="shared" si="8"/>
        <v>25922.65</v>
      </c>
    </row>
    <row r="72" spans="1:13" s="1577" customFormat="1" ht="18.75" x14ac:dyDescent="0.3">
      <c r="A72" s="958" t="s">
        <v>1317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5" t="s">
        <v>1664</v>
      </c>
      <c r="B73" s="968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1944.78</v>
      </c>
      <c r="L73" s="951">
        <f t="shared" si="7"/>
        <v>3717.7799999999997</v>
      </c>
      <c r="M73" s="953">
        <f t="shared" si="8"/>
        <v>26282.22</v>
      </c>
    </row>
    <row r="74" spans="1:13" s="1577" customFormat="1" ht="18.75" x14ac:dyDescent="0.3">
      <c r="A74" s="958" t="s">
        <v>1439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4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s="1577" customFormat="1" ht="18.75" x14ac:dyDescent="0.3">
      <c r="A75" s="958" t="s">
        <v>1747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s="1577" customFormat="1" ht="18.75" x14ac:dyDescent="0.3">
      <c r="A76" s="958" t="s">
        <v>1808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 t="shared" si="7"/>
        <v>1798</v>
      </c>
      <c r="M76" s="953">
        <f t="shared" si="8"/>
        <v>28202</v>
      </c>
    </row>
    <row r="77" spans="1:13" s="1577" customFormat="1" ht="18.75" x14ac:dyDescent="0.3">
      <c r="A77" s="958" t="s">
        <v>1836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52">
        <v>0</v>
      </c>
      <c r="G77" s="953">
        <v>30000</v>
      </c>
      <c r="H77" s="951">
        <v>861</v>
      </c>
      <c r="I77" s="974">
        <v>0</v>
      </c>
      <c r="J77" s="954">
        <v>912</v>
      </c>
      <c r="K77" s="954">
        <v>3025</v>
      </c>
      <c r="L77" s="951">
        <f>+H77+I77+J77+K77</f>
        <v>4798</v>
      </c>
      <c r="M77" s="953">
        <f>+G77-L77</f>
        <v>25202</v>
      </c>
    </row>
    <row r="78" spans="1:13" s="1577" customFormat="1" ht="18.75" x14ac:dyDescent="0.3">
      <c r="A78" s="961" t="s">
        <v>755</v>
      </c>
      <c r="B78" s="950"/>
      <c r="C78" s="962">
        <v>15</v>
      </c>
      <c r="D78" s="962"/>
      <c r="E78" s="963">
        <f>SUM(E63:E77)</f>
        <v>482000</v>
      </c>
      <c r="F78" s="1071">
        <v>0</v>
      </c>
      <c r="G78" s="963">
        <f t="shared" ref="G78:M78" si="9">SUM(G63:G77)</f>
        <v>482000</v>
      </c>
      <c r="H78" s="963">
        <f t="shared" si="9"/>
        <v>13833.4</v>
      </c>
      <c r="I78" s="963">
        <f t="shared" si="9"/>
        <v>1873.24</v>
      </c>
      <c r="J78" s="966">
        <f t="shared" si="9"/>
        <v>14652.8</v>
      </c>
      <c r="K78" s="966">
        <f>SUM(K63:K77)</f>
        <v>16534.13</v>
      </c>
      <c r="L78" s="963">
        <f t="shared" si="9"/>
        <v>46893.57</v>
      </c>
      <c r="M78" s="963">
        <f t="shared" si="9"/>
        <v>435106.43000000005</v>
      </c>
    </row>
    <row r="79" spans="1:13" s="1577" customFormat="1" ht="18.75" x14ac:dyDescent="0.3">
      <c r="A79" s="958"/>
      <c r="B79" s="950"/>
      <c r="C79" s="960"/>
      <c r="D79" s="960"/>
      <c r="E79" s="951"/>
      <c r="F79" s="952"/>
      <c r="G79" s="953"/>
      <c r="H79" s="951"/>
      <c r="I79" s="951"/>
      <c r="J79" s="954"/>
      <c r="K79" s="954"/>
      <c r="L79" s="951"/>
      <c r="M79" s="953"/>
    </row>
    <row r="80" spans="1:13" s="1577" customFormat="1" ht="18.75" x14ac:dyDescent="0.3">
      <c r="A80" s="975" t="s">
        <v>1665</v>
      </c>
      <c r="B80" s="950"/>
      <c r="C80" s="967"/>
      <c r="D80" s="967"/>
      <c r="E80" s="963"/>
      <c r="F80" s="964"/>
      <c r="G80" s="965"/>
      <c r="H80" s="963"/>
      <c r="I80" s="963"/>
      <c r="J80" s="966"/>
      <c r="K80" s="966"/>
      <c r="L80" s="963"/>
      <c r="M80" s="965"/>
    </row>
    <row r="81" spans="1:13" s="1577" customFormat="1" ht="18.75" x14ac:dyDescent="0.3">
      <c r="A81" s="955" t="s">
        <v>1666</v>
      </c>
      <c r="B81" s="950" t="s">
        <v>807</v>
      </c>
      <c r="C81" s="960" t="s">
        <v>1778</v>
      </c>
      <c r="D81" s="960" t="s">
        <v>307</v>
      </c>
      <c r="E81" s="951">
        <v>43500</v>
      </c>
      <c r="F81" s="952">
        <v>0</v>
      </c>
      <c r="G81" s="953">
        <v>43500</v>
      </c>
      <c r="H81" s="951">
        <v>1248.45</v>
      </c>
      <c r="I81" s="974">
        <v>936.62</v>
      </c>
      <c r="J81" s="954">
        <v>1322.4</v>
      </c>
      <c r="K81" s="954">
        <v>1285</v>
      </c>
      <c r="L81" s="951">
        <f t="shared" ref="L81:L88" si="10">+H81+I81+J81+K81</f>
        <v>4792.47</v>
      </c>
      <c r="M81" s="953">
        <f>+G81-L81</f>
        <v>38707.53</v>
      </c>
    </row>
    <row r="82" spans="1:13" s="1577" customFormat="1" ht="18.75" x14ac:dyDescent="0.3">
      <c r="A82" s="955" t="s">
        <v>760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52">
        <v>0</v>
      </c>
      <c r="G82" s="953">
        <v>25000</v>
      </c>
      <c r="H82" s="951">
        <v>717.5</v>
      </c>
      <c r="I82" s="974">
        <v>0</v>
      </c>
      <c r="J82" s="954">
        <v>760</v>
      </c>
      <c r="K82" s="954">
        <v>125</v>
      </c>
      <c r="L82" s="951">
        <f t="shared" si="10"/>
        <v>1602.5</v>
      </c>
      <c r="M82" s="953">
        <f t="shared" ref="M82:M90" si="11">+G82-L82</f>
        <v>23397.5</v>
      </c>
    </row>
    <row r="83" spans="1:13" s="1577" customFormat="1" ht="18.75" x14ac:dyDescent="0.3">
      <c r="A83" s="955" t="s">
        <v>860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4">
        <v>760</v>
      </c>
      <c r="K83" s="954">
        <v>165</v>
      </c>
      <c r="L83" s="951">
        <f t="shared" si="10"/>
        <v>1642.5</v>
      </c>
      <c r="M83" s="953">
        <f t="shared" si="11"/>
        <v>23357.5</v>
      </c>
    </row>
    <row r="84" spans="1:13" s="1577" customFormat="1" ht="18.75" x14ac:dyDescent="0.3">
      <c r="A84" s="958" t="s">
        <v>1667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2296.6999999999998</v>
      </c>
      <c r="L84" s="951">
        <f t="shared" si="10"/>
        <v>3774.2</v>
      </c>
      <c r="M84" s="953">
        <f t="shared" si="11"/>
        <v>21225.8</v>
      </c>
    </row>
    <row r="85" spans="1:13" s="1577" customFormat="1" ht="18.75" x14ac:dyDescent="0.3">
      <c r="A85" s="958" t="s">
        <v>1668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4">
        <v>760</v>
      </c>
      <c r="K85" s="954">
        <v>1025</v>
      </c>
      <c r="L85" s="951">
        <f t="shared" si="10"/>
        <v>2502.5</v>
      </c>
      <c r="M85" s="953">
        <f t="shared" si="11"/>
        <v>22497.5</v>
      </c>
    </row>
    <row r="86" spans="1:13" s="1577" customFormat="1" ht="18.75" x14ac:dyDescent="0.3">
      <c r="A86" s="955" t="s">
        <v>1669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0"/>
        <v>1502.5</v>
      </c>
      <c r="M86" s="953">
        <f t="shared" si="11"/>
        <v>23497.5</v>
      </c>
    </row>
    <row r="87" spans="1:13" s="1577" customFormat="1" ht="18.75" x14ac:dyDescent="0.3">
      <c r="A87" s="955" t="s">
        <v>1671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0"/>
        <v>1502.5</v>
      </c>
      <c r="M87" s="953">
        <f t="shared" si="11"/>
        <v>23497.5</v>
      </c>
    </row>
    <row r="88" spans="1:13" s="1577" customFormat="1" ht="18.75" x14ac:dyDescent="0.3">
      <c r="A88" s="955" t="s">
        <v>1672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4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s="1576" customFormat="1" ht="19.5" customHeight="1" x14ac:dyDescent="0.3">
      <c r="A89" s="1258" t="s">
        <v>1075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5079.66</v>
      </c>
      <c r="L89" s="954">
        <f>+H89+I89+J89+K89</f>
        <v>6557.16</v>
      </c>
      <c r="M89" s="954">
        <f t="shared" si="11"/>
        <v>18442.84</v>
      </c>
    </row>
    <row r="90" spans="1:13" s="1576" customFormat="1" ht="19.5" customHeight="1" x14ac:dyDescent="0.3">
      <c r="A90" s="1258" t="s">
        <v>1867</v>
      </c>
      <c r="B90" s="1256" t="s">
        <v>807</v>
      </c>
      <c r="C90" s="1257" t="s">
        <v>105</v>
      </c>
      <c r="D90" s="1257" t="s">
        <v>1067</v>
      </c>
      <c r="E90" s="954">
        <v>25000</v>
      </c>
      <c r="F90" s="1191">
        <v>0</v>
      </c>
      <c r="G90" s="954">
        <v>25000</v>
      </c>
      <c r="H90" s="954">
        <v>717.5</v>
      </c>
      <c r="I90" s="1191">
        <v>0</v>
      </c>
      <c r="J90" s="954">
        <v>760</v>
      </c>
      <c r="K90" s="954">
        <v>25</v>
      </c>
      <c r="L90" s="954">
        <f>+H90+I90+J90+K90</f>
        <v>1502.5</v>
      </c>
      <c r="M90" s="954">
        <f t="shared" si="11"/>
        <v>23497.5</v>
      </c>
    </row>
    <row r="91" spans="1:13" s="1577" customFormat="1" ht="18.75" x14ac:dyDescent="0.3">
      <c r="A91" s="961" t="s">
        <v>763</v>
      </c>
      <c r="B91" s="950"/>
      <c r="C91" s="962">
        <v>10</v>
      </c>
      <c r="D91" s="962"/>
      <c r="E91" s="963">
        <f>SUM(E81:E90)</f>
        <v>268500</v>
      </c>
      <c r="F91" s="1071">
        <v>0</v>
      </c>
      <c r="G91" s="963">
        <f t="shared" ref="G91:M91" si="12">SUM(G81:G90)</f>
        <v>268500</v>
      </c>
      <c r="H91" s="963">
        <f t="shared" si="12"/>
        <v>7705.95</v>
      </c>
      <c r="I91" s="963">
        <f t="shared" si="12"/>
        <v>936.62</v>
      </c>
      <c r="J91" s="966">
        <f t="shared" si="12"/>
        <v>8162.4</v>
      </c>
      <c r="K91" s="966">
        <f t="shared" si="12"/>
        <v>10076.36</v>
      </c>
      <c r="L91" s="963">
        <f t="shared" si="12"/>
        <v>26881.329999999998</v>
      </c>
      <c r="M91" s="963">
        <f t="shared" si="12"/>
        <v>241618.67</v>
      </c>
    </row>
    <row r="92" spans="1:13" s="1577" customFormat="1" ht="18.75" x14ac:dyDescent="0.3">
      <c r="A92" s="958"/>
      <c r="B92" s="950"/>
      <c r="C92" s="967"/>
      <c r="D92" s="967"/>
      <c r="E92" s="951"/>
      <c r="F92" s="952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61" t="s">
        <v>1126</v>
      </c>
      <c r="B93" s="950"/>
      <c r="C93" s="960"/>
      <c r="D93" s="960"/>
      <c r="E93" s="951"/>
      <c r="F93" s="964"/>
      <c r="G93" s="953"/>
      <c r="H93" s="951"/>
      <c r="I93" s="951"/>
      <c r="J93" s="954"/>
      <c r="K93" s="954"/>
      <c r="L93" s="951"/>
      <c r="M93" s="953"/>
    </row>
    <row r="94" spans="1:13" s="1577" customFormat="1" ht="18.75" x14ac:dyDescent="0.3">
      <c r="A94" s="955" t="s">
        <v>1641</v>
      </c>
      <c r="B94" s="950" t="s">
        <v>807</v>
      </c>
      <c r="C94" s="960" t="s">
        <v>1673</v>
      </c>
      <c r="D94" s="960" t="s">
        <v>1069</v>
      </c>
      <c r="E94" s="951">
        <v>55000</v>
      </c>
      <c r="F94" s="952">
        <v>0</v>
      </c>
      <c r="G94" s="953">
        <v>55000</v>
      </c>
      <c r="H94" s="951">
        <v>1578.5</v>
      </c>
      <c r="I94" s="956">
        <v>2559.6799999999998</v>
      </c>
      <c r="J94" s="954">
        <v>1672</v>
      </c>
      <c r="K94" s="954">
        <v>25</v>
      </c>
      <c r="L94" s="951">
        <f>+H94+I94+J94+K94</f>
        <v>5835.18</v>
      </c>
      <c r="M94" s="953">
        <f>+G94-L94</f>
        <v>49164.82</v>
      </c>
    </row>
    <row r="95" spans="1:13" s="1576" customFormat="1" ht="18.75" x14ac:dyDescent="0.3">
      <c r="A95" s="1258" t="s">
        <v>1842</v>
      </c>
      <c r="B95" s="1256" t="s">
        <v>807</v>
      </c>
      <c r="C95" s="1257" t="s">
        <v>276</v>
      </c>
      <c r="D95" s="1257" t="s">
        <v>321</v>
      </c>
      <c r="E95" s="954">
        <v>43500</v>
      </c>
      <c r="F95" s="1191">
        <v>0</v>
      </c>
      <c r="G95" s="954">
        <v>43500</v>
      </c>
      <c r="H95" s="954">
        <v>1248.45</v>
      </c>
      <c r="I95" s="1191">
        <v>936.62</v>
      </c>
      <c r="J95" s="954">
        <v>1322.4</v>
      </c>
      <c r="K95" s="954">
        <v>25</v>
      </c>
      <c r="L95" s="954">
        <f>SUM(H95:K95)</f>
        <v>3532.4700000000003</v>
      </c>
      <c r="M95" s="954">
        <f>+G95-L95</f>
        <v>39967.53</v>
      </c>
    </row>
    <row r="96" spans="1:13" s="1577" customFormat="1" ht="18.75" x14ac:dyDescent="0.3">
      <c r="A96" s="961" t="s">
        <v>749</v>
      </c>
      <c r="B96" s="950"/>
      <c r="C96" s="962">
        <v>2</v>
      </c>
      <c r="D96" s="962"/>
      <c r="E96" s="963">
        <f>SUM(E94:E95)</f>
        <v>98500</v>
      </c>
      <c r="F96" s="1192">
        <v>0</v>
      </c>
      <c r="G96" s="963">
        <f t="shared" ref="G96:M96" si="13">SUM(G94:G95)</f>
        <v>98500</v>
      </c>
      <c r="H96" s="963">
        <f t="shared" si="13"/>
        <v>2826.95</v>
      </c>
      <c r="I96" s="963">
        <f t="shared" si="13"/>
        <v>3496.2999999999997</v>
      </c>
      <c r="J96" s="966">
        <f t="shared" si="13"/>
        <v>2994.4</v>
      </c>
      <c r="K96" s="963">
        <f t="shared" si="13"/>
        <v>50</v>
      </c>
      <c r="L96" s="963">
        <f t="shared" si="13"/>
        <v>9367.6500000000015</v>
      </c>
      <c r="M96" s="963">
        <f t="shared" si="13"/>
        <v>89132.35</v>
      </c>
    </row>
    <row r="97" spans="1:13" s="1577" customFormat="1" ht="18.75" x14ac:dyDescent="0.3">
      <c r="A97" s="958"/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7" customFormat="1" ht="18.75" x14ac:dyDescent="0.3">
      <c r="A98" s="1582" t="s">
        <v>1492</v>
      </c>
      <c r="B98" s="950"/>
      <c r="C98" s="960"/>
      <c r="D98" s="960"/>
      <c r="E98" s="951"/>
      <c r="F98" s="952"/>
      <c r="G98" s="953"/>
      <c r="H98" s="951"/>
      <c r="I98" s="951"/>
      <c r="J98" s="954"/>
      <c r="K98" s="954"/>
      <c r="L98" s="951"/>
      <c r="M98" s="953"/>
    </row>
    <row r="99" spans="1:13" s="1576" customFormat="1" ht="18.75" x14ac:dyDescent="0.3">
      <c r="A99" s="1258" t="s">
        <v>1670</v>
      </c>
      <c r="B99" s="1259" t="s">
        <v>807</v>
      </c>
      <c r="C99" s="1257" t="s">
        <v>276</v>
      </c>
      <c r="D99" s="1257" t="s">
        <v>1067</v>
      </c>
      <c r="E99" s="954">
        <v>36000</v>
      </c>
      <c r="F99" s="1191">
        <v>0</v>
      </c>
      <c r="G99" s="954">
        <v>36000</v>
      </c>
      <c r="H99" s="954">
        <v>1033.2</v>
      </c>
      <c r="I99" s="1191">
        <v>0</v>
      </c>
      <c r="J99" s="954">
        <v>1094.4000000000001</v>
      </c>
      <c r="K99" s="954">
        <v>25</v>
      </c>
      <c r="L99" s="954">
        <f>+H99+I99+J99+K99</f>
        <v>2152.6000000000004</v>
      </c>
      <c r="M99" s="954">
        <f>+G99-L99</f>
        <v>33847.4</v>
      </c>
    </row>
    <row r="100" spans="1:13" s="1577" customFormat="1" ht="18.75" x14ac:dyDescent="0.3">
      <c r="A100" s="961" t="s">
        <v>763</v>
      </c>
      <c r="B100" s="950"/>
      <c r="C100" s="962">
        <v>1</v>
      </c>
      <c r="D100" s="960"/>
      <c r="E100" s="966">
        <v>36000</v>
      </c>
      <c r="F100" s="1192">
        <v>0</v>
      </c>
      <c r="G100" s="966">
        <v>36000</v>
      </c>
      <c r="H100" s="966">
        <v>1033.2</v>
      </c>
      <c r="I100" s="1192">
        <v>0</v>
      </c>
      <c r="J100" s="966">
        <v>1094.4000000000001</v>
      </c>
      <c r="K100" s="966">
        <v>25</v>
      </c>
      <c r="L100" s="966">
        <f>+H100+I100+J100+K100</f>
        <v>2152.6000000000004</v>
      </c>
      <c r="M100" s="966">
        <f>+G100-L100</f>
        <v>33847.4</v>
      </c>
    </row>
    <row r="101" spans="1:13" s="1577" customFormat="1" ht="18.75" x14ac:dyDescent="0.3">
      <c r="A101" s="958"/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61" t="s">
        <v>1127</v>
      </c>
      <c r="B102" s="950"/>
      <c r="C102" s="960"/>
      <c r="D102" s="960"/>
      <c r="E102" s="951"/>
      <c r="F102" s="952"/>
      <c r="G102" s="953"/>
      <c r="H102" s="951"/>
      <c r="I102" s="951"/>
      <c r="J102" s="954"/>
      <c r="K102" s="954"/>
      <c r="L102" s="951"/>
      <c r="M102" s="953"/>
    </row>
    <row r="103" spans="1:13" s="1577" customFormat="1" ht="18.75" x14ac:dyDescent="0.3">
      <c r="A103" s="955" t="s">
        <v>1642</v>
      </c>
      <c r="B103" s="950" t="s">
        <v>806</v>
      </c>
      <c r="C103" s="960" t="s">
        <v>1675</v>
      </c>
      <c r="D103" s="960" t="s">
        <v>1069</v>
      </c>
      <c r="E103" s="951">
        <v>55000</v>
      </c>
      <c r="F103" s="974">
        <v>0</v>
      </c>
      <c r="G103" s="951">
        <v>55000</v>
      </c>
      <c r="H103" s="951">
        <v>1578.5</v>
      </c>
      <c r="I103" s="951">
        <v>2559.6799999999998</v>
      </c>
      <c r="J103" s="954">
        <v>1672</v>
      </c>
      <c r="K103" s="954">
        <v>2568.4</v>
      </c>
      <c r="L103" s="951">
        <f>+H103+I103+J103+K103</f>
        <v>8378.58</v>
      </c>
      <c r="M103" s="953">
        <f>+G103-L103</f>
        <v>46621.42</v>
      </c>
    </row>
    <row r="104" spans="1:13" s="1577" customFormat="1" ht="18.75" x14ac:dyDescent="0.3">
      <c r="A104" s="955" t="s">
        <v>1315</v>
      </c>
      <c r="B104" s="968" t="s">
        <v>806</v>
      </c>
      <c r="C104" s="960" t="s">
        <v>276</v>
      </c>
      <c r="D104" s="960" t="s">
        <v>321</v>
      </c>
      <c r="E104" s="951">
        <v>43500</v>
      </c>
      <c r="F104" s="974">
        <v>0</v>
      </c>
      <c r="G104" s="951">
        <v>43500</v>
      </c>
      <c r="H104" s="951">
        <v>1248.45</v>
      </c>
      <c r="I104" s="974">
        <v>936.62</v>
      </c>
      <c r="J104" s="954">
        <v>1322.4</v>
      </c>
      <c r="K104" s="954">
        <v>1296.7</v>
      </c>
      <c r="L104" s="951">
        <f>+H104+I104+J104+K104</f>
        <v>4804.17</v>
      </c>
      <c r="M104" s="953">
        <f>+G104-L104</f>
        <v>38695.83</v>
      </c>
    </row>
    <row r="105" spans="1:13" s="1577" customFormat="1" ht="18.75" x14ac:dyDescent="0.3">
      <c r="A105" s="961" t="s">
        <v>749</v>
      </c>
      <c r="B105" s="950"/>
      <c r="C105" s="962">
        <v>2</v>
      </c>
      <c r="D105" s="962"/>
      <c r="E105" s="963">
        <f>SUM(E103:E104)</f>
        <v>98500</v>
      </c>
      <c r="F105" s="952">
        <v>0</v>
      </c>
      <c r="G105" s="963">
        <f t="shared" ref="G105:M105" si="14">SUM(G103:G104)</f>
        <v>98500</v>
      </c>
      <c r="H105" s="963">
        <f t="shared" si="14"/>
        <v>2826.95</v>
      </c>
      <c r="I105" s="963">
        <f t="shared" si="14"/>
        <v>3496.2999999999997</v>
      </c>
      <c r="J105" s="966">
        <f t="shared" si="14"/>
        <v>2994.4</v>
      </c>
      <c r="K105" s="966">
        <f>SUM(K103:K104)</f>
        <v>3865.1000000000004</v>
      </c>
      <c r="L105" s="963">
        <f t="shared" si="14"/>
        <v>13182.75</v>
      </c>
      <c r="M105" s="963">
        <f t="shared" si="14"/>
        <v>85317.25</v>
      </c>
    </row>
    <row r="106" spans="1:13" s="1577" customFormat="1" ht="18.75" x14ac:dyDescent="0.3">
      <c r="A106" s="958"/>
      <c r="B106" s="950"/>
      <c r="C106" s="960"/>
      <c r="D106" s="960"/>
      <c r="E106" s="951"/>
      <c r="F106" s="952"/>
      <c r="G106" s="953"/>
      <c r="H106" s="951"/>
      <c r="I106" s="951"/>
      <c r="J106" s="954"/>
      <c r="K106" s="954"/>
      <c r="L106" s="951"/>
      <c r="M106" s="953"/>
    </row>
    <row r="107" spans="1:13" s="1577" customFormat="1" ht="18.75" x14ac:dyDescent="0.3">
      <c r="A107" s="961" t="s">
        <v>839</v>
      </c>
      <c r="B107" s="950"/>
      <c r="C107" s="967"/>
      <c r="D107" s="967"/>
      <c r="E107" s="963"/>
      <c r="F107" s="964"/>
      <c r="G107" s="965"/>
      <c r="H107" s="963"/>
      <c r="I107" s="963"/>
      <c r="J107" s="966"/>
      <c r="K107" s="966"/>
      <c r="L107" s="963"/>
      <c r="M107" s="965"/>
    </row>
    <row r="108" spans="1:13" s="1577" customFormat="1" ht="18.75" x14ac:dyDescent="0.3">
      <c r="A108" s="955" t="s">
        <v>1676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51">
        <v>5368.48</v>
      </c>
      <c r="J108" s="954">
        <v>2128</v>
      </c>
      <c r="K108" s="954">
        <v>25</v>
      </c>
      <c r="L108" s="951">
        <f>+H108+I108+J108+K108</f>
        <v>9530.48</v>
      </c>
      <c r="M108" s="951">
        <f>+G108-L108</f>
        <v>60469.520000000004</v>
      </c>
    </row>
    <row r="109" spans="1:13" s="1577" customFormat="1" ht="18.75" x14ac:dyDescent="0.3">
      <c r="A109" s="955" t="s">
        <v>124</v>
      </c>
      <c r="B109" s="968" t="s">
        <v>807</v>
      </c>
      <c r="C109" s="960" t="s">
        <v>604</v>
      </c>
      <c r="D109" s="960" t="s">
        <v>1069</v>
      </c>
      <c r="E109" s="951">
        <v>70000</v>
      </c>
      <c r="F109" s="974">
        <v>0</v>
      </c>
      <c r="G109" s="951">
        <v>70000</v>
      </c>
      <c r="H109" s="951">
        <v>2009</v>
      </c>
      <c r="I109" s="974">
        <v>0</v>
      </c>
      <c r="J109" s="954">
        <v>2128</v>
      </c>
      <c r="K109" s="954">
        <v>3964.56</v>
      </c>
      <c r="L109" s="951">
        <f>SUM(H109:K109)</f>
        <v>8101.5599999999995</v>
      </c>
      <c r="M109" s="951">
        <f>+G109-L109</f>
        <v>61898.44</v>
      </c>
    </row>
    <row r="110" spans="1:13" s="1577" customFormat="1" ht="18.75" x14ac:dyDescent="0.3">
      <c r="A110" s="961" t="s">
        <v>749</v>
      </c>
      <c r="B110" s="950"/>
      <c r="C110" s="962">
        <v>2</v>
      </c>
      <c r="D110" s="962"/>
      <c r="E110" s="963">
        <f>SUM(E108:E109)</f>
        <v>140000</v>
      </c>
      <c r="F110" s="1071">
        <v>0</v>
      </c>
      <c r="G110" s="963">
        <f t="shared" ref="G110:M110" si="15">SUM(G108:G109)</f>
        <v>140000</v>
      </c>
      <c r="H110" s="963">
        <f t="shared" si="15"/>
        <v>4018</v>
      </c>
      <c r="I110" s="963">
        <f t="shared" si="15"/>
        <v>5368.48</v>
      </c>
      <c r="J110" s="966">
        <f t="shared" si="15"/>
        <v>4256</v>
      </c>
      <c r="K110" s="966">
        <f t="shared" si="15"/>
        <v>3989.56</v>
      </c>
      <c r="L110" s="963">
        <f t="shared" si="15"/>
        <v>17632.04</v>
      </c>
      <c r="M110" s="963">
        <f t="shared" si="15"/>
        <v>122367.96</v>
      </c>
    </row>
    <row r="111" spans="1:13" s="1577" customFormat="1" ht="18.75" x14ac:dyDescent="0.3">
      <c r="A111" s="961"/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7" customFormat="1" ht="38.25" customHeight="1" x14ac:dyDescent="0.3">
      <c r="A112" s="981" t="s">
        <v>1167</v>
      </c>
      <c r="B112" s="950"/>
      <c r="C112" s="962"/>
      <c r="D112" s="962"/>
      <c r="E112" s="963"/>
      <c r="F112" s="964"/>
      <c r="G112" s="965"/>
      <c r="H112" s="963"/>
      <c r="I112" s="963"/>
      <c r="J112" s="966"/>
      <c r="K112" s="966"/>
      <c r="L112" s="963"/>
      <c r="M112" s="965"/>
    </row>
    <row r="113" spans="1:13" s="1576" customFormat="1" ht="18.75" x14ac:dyDescent="0.3">
      <c r="A113" s="1258" t="s">
        <v>1168</v>
      </c>
      <c r="B113" s="1256" t="s">
        <v>807</v>
      </c>
      <c r="C113" s="1257" t="s">
        <v>1564</v>
      </c>
      <c r="D113" s="1257" t="s">
        <v>1069</v>
      </c>
      <c r="E113" s="954">
        <v>80000</v>
      </c>
      <c r="F113" s="1191">
        <v>0</v>
      </c>
      <c r="G113" s="954">
        <v>80000</v>
      </c>
      <c r="H113" s="951">
        <v>2296</v>
      </c>
      <c r="I113" s="951">
        <v>7400.87</v>
      </c>
      <c r="J113" s="954">
        <v>2432</v>
      </c>
      <c r="K113" s="954">
        <v>2134</v>
      </c>
      <c r="L113" s="951">
        <f>SUM(H113:K113)</f>
        <v>14262.869999999999</v>
      </c>
      <c r="M113" s="954">
        <f>+E113-L113</f>
        <v>65737.13</v>
      </c>
    </row>
    <row r="114" spans="1:13" s="1576" customFormat="1" ht="18.75" x14ac:dyDescent="0.3">
      <c r="A114" s="1258" t="s">
        <v>1053</v>
      </c>
      <c r="B114" s="1256" t="s">
        <v>807</v>
      </c>
      <c r="C114" s="1257" t="s">
        <v>276</v>
      </c>
      <c r="D114" s="1257" t="s">
        <v>307</v>
      </c>
      <c r="E114" s="954">
        <v>43500</v>
      </c>
      <c r="F114" s="1191">
        <v>0</v>
      </c>
      <c r="G114" s="954">
        <v>43500</v>
      </c>
      <c r="H114" s="954">
        <v>1248.45</v>
      </c>
      <c r="I114" s="1191">
        <v>648.66</v>
      </c>
      <c r="J114" s="954">
        <v>1322.4</v>
      </c>
      <c r="K114" s="954">
        <v>1944.78</v>
      </c>
      <c r="L114" s="954">
        <f>SUM(H114:K114)</f>
        <v>5164.29</v>
      </c>
      <c r="M114" s="954">
        <f>+G114-L114</f>
        <v>38335.71</v>
      </c>
    </row>
    <row r="115" spans="1:13" s="1577" customFormat="1" ht="18.75" x14ac:dyDescent="0.3">
      <c r="A115" s="955" t="s">
        <v>1147</v>
      </c>
      <c r="B115" s="950" t="s">
        <v>807</v>
      </c>
      <c r="C115" s="960" t="s">
        <v>276</v>
      </c>
      <c r="D115" s="960" t="s">
        <v>307</v>
      </c>
      <c r="E115" s="951">
        <v>43500</v>
      </c>
      <c r="F115" s="974">
        <v>0</v>
      </c>
      <c r="G115" s="951">
        <v>43500</v>
      </c>
      <c r="H115" s="951">
        <v>1248.45</v>
      </c>
      <c r="I115" s="974">
        <v>936.62</v>
      </c>
      <c r="J115" s="954">
        <v>1322.4</v>
      </c>
      <c r="K115" s="954">
        <v>25</v>
      </c>
      <c r="L115" s="951">
        <f>SUM(H115:K115)</f>
        <v>3532.4700000000003</v>
      </c>
      <c r="M115" s="951">
        <f>+G115-L115</f>
        <v>39967.53</v>
      </c>
    </row>
    <row r="116" spans="1:13" s="1577" customFormat="1" ht="18.75" x14ac:dyDescent="0.3">
      <c r="A116" s="961" t="s">
        <v>749</v>
      </c>
      <c r="B116" s="950"/>
      <c r="C116" s="962">
        <v>3</v>
      </c>
      <c r="D116" s="962"/>
      <c r="E116" s="963">
        <f>SUM(E113:E115)</f>
        <v>167000</v>
      </c>
      <c r="F116" s="1071">
        <v>0</v>
      </c>
      <c r="G116" s="963">
        <f t="shared" ref="G116:M116" si="16">SUM(G113:G115)</f>
        <v>167000</v>
      </c>
      <c r="H116" s="963">
        <f t="shared" si="16"/>
        <v>4792.8999999999996</v>
      </c>
      <c r="I116" s="963">
        <f t="shared" si="16"/>
        <v>8986.15</v>
      </c>
      <c r="J116" s="966">
        <f t="shared" si="16"/>
        <v>5076.8</v>
      </c>
      <c r="K116" s="966">
        <f>SUM(K113:K115)</f>
        <v>4103.78</v>
      </c>
      <c r="L116" s="963">
        <f>SUM(L113:L115)</f>
        <v>22959.63</v>
      </c>
      <c r="M116" s="963">
        <f t="shared" si="16"/>
        <v>144040.37</v>
      </c>
    </row>
    <row r="117" spans="1:13" s="1577" customFormat="1" ht="18.75" x14ac:dyDescent="0.3">
      <c r="A117" s="961"/>
      <c r="B117" s="950"/>
      <c r="C117" s="962"/>
      <c r="D117" s="962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61" t="s">
        <v>1128</v>
      </c>
      <c r="B118" s="950"/>
      <c r="C118" s="967"/>
      <c r="D118" s="967"/>
      <c r="E118" s="963"/>
      <c r="F118" s="964"/>
      <c r="G118" s="965"/>
      <c r="H118" s="963"/>
      <c r="I118" s="963"/>
      <c r="J118" s="966"/>
      <c r="K118" s="966"/>
      <c r="L118" s="963"/>
      <c r="M118" s="965"/>
    </row>
    <row r="119" spans="1:13" s="1577" customFormat="1" ht="18.75" x14ac:dyDescent="0.3">
      <c r="A119" s="958" t="s">
        <v>47</v>
      </c>
      <c r="B119" s="950" t="s">
        <v>806</v>
      </c>
      <c r="C119" s="960" t="s">
        <v>1677</v>
      </c>
      <c r="D119" s="960" t="s">
        <v>1069</v>
      </c>
      <c r="E119" s="951">
        <v>80000</v>
      </c>
      <c r="F119" s="952">
        <v>0</v>
      </c>
      <c r="G119" s="953">
        <v>80000</v>
      </c>
      <c r="H119" s="951">
        <v>2296</v>
      </c>
      <c r="I119" s="951">
        <v>6920.92</v>
      </c>
      <c r="J119" s="954">
        <v>2432</v>
      </c>
      <c r="K119" s="954">
        <v>1944.78</v>
      </c>
      <c r="L119" s="951">
        <f>+H119+I119+J119+K119</f>
        <v>13593.7</v>
      </c>
      <c r="M119" s="953">
        <f>+G119-L119</f>
        <v>66406.3</v>
      </c>
    </row>
    <row r="120" spans="1:13" s="1577" customFormat="1" ht="18.75" x14ac:dyDescent="0.3">
      <c r="A120" s="961" t="s">
        <v>749</v>
      </c>
      <c r="B120" s="950"/>
      <c r="C120" s="962">
        <v>1</v>
      </c>
      <c r="D120" s="962"/>
      <c r="E120" s="963">
        <f>SUM(E119:E119)</f>
        <v>80000</v>
      </c>
      <c r="F120" s="952">
        <v>0</v>
      </c>
      <c r="G120" s="965">
        <f t="shared" ref="G120:L120" si="17">SUM(G119:G119)</f>
        <v>80000</v>
      </c>
      <c r="H120" s="963">
        <f t="shared" si="17"/>
        <v>2296</v>
      </c>
      <c r="I120" s="963">
        <f t="shared" si="17"/>
        <v>6920.92</v>
      </c>
      <c r="J120" s="966">
        <f t="shared" si="17"/>
        <v>2432</v>
      </c>
      <c r="K120" s="966">
        <f>SUM(K119:K119)</f>
        <v>1944.78</v>
      </c>
      <c r="L120" s="963">
        <f t="shared" si="17"/>
        <v>13593.7</v>
      </c>
      <c r="M120" s="965">
        <f>SUM(M119:M119)</f>
        <v>66406.3</v>
      </c>
    </row>
    <row r="121" spans="1:13" s="1577" customFormat="1" ht="18.75" x14ac:dyDescent="0.3">
      <c r="A121" s="961"/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2.5" customHeight="1" x14ac:dyDescent="0.3">
      <c r="A122" s="982" t="s">
        <v>1462</v>
      </c>
      <c r="B122" s="950"/>
      <c r="C122" s="967"/>
      <c r="D122" s="967"/>
      <c r="E122" s="963"/>
      <c r="F122" s="964"/>
      <c r="G122" s="965"/>
      <c r="H122" s="963"/>
      <c r="I122" s="963"/>
      <c r="J122" s="966"/>
      <c r="K122" s="966"/>
      <c r="L122" s="963"/>
      <c r="M122" s="965"/>
    </row>
    <row r="123" spans="1:13" s="1577" customFormat="1" ht="20.25" customHeight="1" x14ac:dyDescent="0.3">
      <c r="A123" s="1242" t="s">
        <v>1678</v>
      </c>
      <c r="B123" s="950" t="s">
        <v>806</v>
      </c>
      <c r="C123" s="960" t="s">
        <v>1265</v>
      </c>
      <c r="D123" s="960" t="s">
        <v>1066</v>
      </c>
      <c r="E123" s="951">
        <v>185000</v>
      </c>
      <c r="F123" s="952">
        <v>0</v>
      </c>
      <c r="G123" s="953">
        <v>185000</v>
      </c>
      <c r="H123" s="951">
        <v>5309.5</v>
      </c>
      <c r="I123" s="951">
        <v>32099.49</v>
      </c>
      <c r="J123" s="954">
        <v>5624</v>
      </c>
      <c r="K123" s="954">
        <v>25</v>
      </c>
      <c r="L123" s="951">
        <f>+H123+I123+J123+K123</f>
        <v>43057.990000000005</v>
      </c>
      <c r="M123" s="953">
        <f>+G123-L123</f>
        <v>141942.01</v>
      </c>
    </row>
    <row r="124" spans="1:13" s="1577" customFormat="1" ht="18.75" x14ac:dyDescent="0.3">
      <c r="A124" s="955" t="s">
        <v>65</v>
      </c>
      <c r="B124" s="968" t="s">
        <v>806</v>
      </c>
      <c r="C124" s="960" t="s">
        <v>1174</v>
      </c>
      <c r="D124" s="960" t="s">
        <v>1069</v>
      </c>
      <c r="E124" s="951">
        <v>70000</v>
      </c>
      <c r="F124" s="974">
        <v>0</v>
      </c>
      <c r="G124" s="951">
        <v>70000</v>
      </c>
      <c r="H124" s="951">
        <v>2009</v>
      </c>
      <c r="I124" s="974">
        <v>5368.48</v>
      </c>
      <c r="J124" s="954">
        <v>2128</v>
      </c>
      <c r="K124" s="954">
        <v>125</v>
      </c>
      <c r="L124" s="951">
        <f>+H124+I124+J124+K124</f>
        <v>9630.48</v>
      </c>
      <c r="M124" s="953">
        <f>+G124-L124</f>
        <v>60369.520000000004</v>
      </c>
    </row>
    <row r="125" spans="1:13" s="1577" customFormat="1" ht="18.75" x14ac:dyDescent="0.3">
      <c r="A125" s="955" t="s">
        <v>843</v>
      </c>
      <c r="B125" s="968" t="s">
        <v>806</v>
      </c>
      <c r="C125" s="960" t="s">
        <v>1199</v>
      </c>
      <c r="D125" s="960" t="s">
        <v>1069</v>
      </c>
      <c r="E125" s="951">
        <v>80000</v>
      </c>
      <c r="F125" s="952">
        <v>0</v>
      </c>
      <c r="G125" s="953">
        <v>80000</v>
      </c>
      <c r="H125" s="951">
        <v>2296</v>
      </c>
      <c r="I125" s="1122">
        <v>7400.87</v>
      </c>
      <c r="J125" s="954">
        <v>2432</v>
      </c>
      <c r="K125" s="954">
        <v>25</v>
      </c>
      <c r="L125" s="951">
        <f>+H125+I125+J125+K125</f>
        <v>12153.869999999999</v>
      </c>
      <c r="M125" s="953">
        <f>+G125-L125</f>
        <v>67846.13</v>
      </c>
    </row>
    <row r="126" spans="1:13" s="1577" customFormat="1" ht="18.75" x14ac:dyDescent="0.3">
      <c r="A126" s="958" t="s">
        <v>1679</v>
      </c>
      <c r="B126" s="950" t="s">
        <v>807</v>
      </c>
      <c r="C126" s="977" t="s">
        <v>327</v>
      </c>
      <c r="D126" s="960" t="s">
        <v>321</v>
      </c>
      <c r="E126" s="951">
        <v>31500</v>
      </c>
      <c r="F126" s="974">
        <v>0</v>
      </c>
      <c r="G126" s="953">
        <v>31500</v>
      </c>
      <c r="H126" s="951">
        <v>904.05</v>
      </c>
      <c r="I126" s="974">
        <v>0</v>
      </c>
      <c r="J126" s="954">
        <v>957.6</v>
      </c>
      <c r="K126" s="954">
        <v>25</v>
      </c>
      <c r="L126" s="951">
        <v>1886.65</v>
      </c>
      <c r="M126" s="953">
        <f>+G126-L126</f>
        <v>29613.35</v>
      </c>
    </row>
    <row r="127" spans="1:13" s="1577" customFormat="1" ht="18.75" x14ac:dyDescent="0.3">
      <c r="A127" s="958" t="s">
        <v>1680</v>
      </c>
      <c r="B127" s="950" t="s">
        <v>1151</v>
      </c>
      <c r="C127" s="977" t="s">
        <v>327</v>
      </c>
      <c r="D127" s="960" t="s">
        <v>321</v>
      </c>
      <c r="E127" s="951">
        <v>43500</v>
      </c>
      <c r="F127" s="974">
        <v>0</v>
      </c>
      <c r="G127" s="953">
        <v>43500</v>
      </c>
      <c r="H127" s="951">
        <v>1248.45</v>
      </c>
      <c r="I127" s="974">
        <v>936.62</v>
      </c>
      <c r="J127" s="954">
        <v>1322.4</v>
      </c>
      <c r="K127" s="954">
        <v>25</v>
      </c>
      <c r="L127" s="951">
        <f>+H127+I127+J127+K127</f>
        <v>3532.4700000000003</v>
      </c>
      <c r="M127" s="953">
        <f>+G127-L127</f>
        <v>39967.53</v>
      </c>
    </row>
    <row r="128" spans="1:13" s="1577" customFormat="1" ht="18.75" x14ac:dyDescent="0.3">
      <c r="A128" s="961" t="s">
        <v>749</v>
      </c>
      <c r="B128" s="950"/>
      <c r="C128" s="962">
        <v>5</v>
      </c>
      <c r="D128" s="962"/>
      <c r="E128" s="963">
        <f t="shared" ref="E128:M128" si="18">SUM(E123:E127)</f>
        <v>410000</v>
      </c>
      <c r="F128" s="964">
        <f t="shared" si="18"/>
        <v>0</v>
      </c>
      <c r="G128" s="963">
        <f t="shared" si="18"/>
        <v>410000</v>
      </c>
      <c r="H128" s="963">
        <f t="shared" si="18"/>
        <v>11767</v>
      </c>
      <c r="I128" s="963">
        <f t="shared" si="18"/>
        <v>45805.460000000006</v>
      </c>
      <c r="J128" s="966">
        <f t="shared" si="18"/>
        <v>12464</v>
      </c>
      <c r="K128" s="966">
        <f t="shared" si="18"/>
        <v>225</v>
      </c>
      <c r="L128" s="963">
        <f t="shared" si="18"/>
        <v>70261.459999999992</v>
      </c>
      <c r="M128" s="963">
        <f t="shared" si="18"/>
        <v>339738.54000000004</v>
      </c>
    </row>
    <row r="129" spans="1:13" s="1577" customFormat="1" ht="18.75" x14ac:dyDescent="0.3">
      <c r="A129" s="961"/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7" customFormat="1" ht="36" customHeight="1" x14ac:dyDescent="0.3">
      <c r="A130" s="1273" t="s">
        <v>1681</v>
      </c>
      <c r="B130" s="950"/>
      <c r="C130" s="962"/>
      <c r="D130" s="962"/>
      <c r="E130" s="963"/>
      <c r="F130" s="964"/>
      <c r="G130" s="963"/>
      <c r="H130" s="963"/>
      <c r="I130" s="963"/>
      <c r="J130" s="966"/>
      <c r="K130" s="966"/>
      <c r="L130" s="963"/>
      <c r="M130" s="963"/>
    </row>
    <row r="131" spans="1:13" s="1576" customFormat="1" ht="18.75" x14ac:dyDescent="0.3">
      <c r="A131" s="1258" t="s">
        <v>232</v>
      </c>
      <c r="B131" s="1259" t="s">
        <v>807</v>
      </c>
      <c r="C131" s="1257" t="s">
        <v>1174</v>
      </c>
      <c r="D131" s="1257" t="s">
        <v>1069</v>
      </c>
      <c r="E131" s="954">
        <v>80000</v>
      </c>
      <c r="F131" s="1191">
        <v>0</v>
      </c>
      <c r="G131" s="954">
        <v>80000</v>
      </c>
      <c r="H131" s="951">
        <v>2296</v>
      </c>
      <c r="I131" s="951">
        <v>6920.92</v>
      </c>
      <c r="J131" s="954">
        <v>2432</v>
      </c>
      <c r="K131" s="954">
        <v>6089.18</v>
      </c>
      <c r="L131" s="951">
        <f>+H131+I131+J131+K131</f>
        <v>17738.099999999999</v>
      </c>
      <c r="M131" s="954">
        <f>+G131-L131</f>
        <v>62261.9</v>
      </c>
    </row>
    <row r="132" spans="1:13" s="1577" customFormat="1" ht="18.75" x14ac:dyDescent="0.3">
      <c r="A132" s="961" t="s">
        <v>749</v>
      </c>
      <c r="B132" s="950"/>
      <c r="C132" s="962">
        <v>1</v>
      </c>
      <c r="D132" s="962"/>
      <c r="E132" s="963">
        <f>SUM(E131:E131)</f>
        <v>80000</v>
      </c>
      <c r="F132" s="952">
        <v>0</v>
      </c>
      <c r="G132" s="965">
        <f t="shared" ref="G132:L132" si="19">SUM(G131:G131)</f>
        <v>80000</v>
      </c>
      <c r="H132" s="963">
        <f t="shared" si="19"/>
        <v>2296</v>
      </c>
      <c r="I132" s="963">
        <f t="shared" si="19"/>
        <v>6920.92</v>
      </c>
      <c r="J132" s="966">
        <f t="shared" si="19"/>
        <v>2432</v>
      </c>
      <c r="K132" s="966">
        <f>SUM(K131:K131)</f>
        <v>6089.18</v>
      </c>
      <c r="L132" s="963">
        <f t="shared" si="19"/>
        <v>17738.099999999999</v>
      </c>
      <c r="M132" s="965">
        <f>SUM(M131:M131)</f>
        <v>62261.9</v>
      </c>
    </row>
    <row r="133" spans="1:13" s="1577" customFormat="1" ht="18.75" x14ac:dyDescent="0.3">
      <c r="A133" s="961"/>
      <c r="B133" s="950"/>
      <c r="C133" s="962"/>
      <c r="D133" s="962"/>
      <c r="E133" s="963"/>
      <c r="F133" s="952"/>
      <c r="G133" s="965"/>
      <c r="H133" s="963"/>
      <c r="I133" s="963"/>
      <c r="J133" s="966"/>
      <c r="K133" s="966"/>
      <c r="L133" s="963"/>
      <c r="M133" s="965"/>
    </row>
    <row r="134" spans="1:13" s="1577" customFormat="1" ht="42" customHeight="1" x14ac:dyDescent="0.3">
      <c r="A134" s="982" t="s">
        <v>1682</v>
      </c>
      <c r="B134" s="950"/>
      <c r="C134" s="967"/>
      <c r="D134" s="967"/>
      <c r="E134" s="963"/>
      <c r="F134" s="964"/>
      <c r="G134" s="965"/>
      <c r="H134" s="963"/>
      <c r="I134" s="963"/>
      <c r="J134" s="966"/>
      <c r="K134" s="966"/>
      <c r="L134" s="963"/>
      <c r="M134" s="965"/>
    </row>
    <row r="135" spans="1:13" s="1577" customFormat="1" ht="18.75" x14ac:dyDescent="0.3">
      <c r="A135" s="955" t="s">
        <v>419</v>
      </c>
      <c r="B135" s="950" t="s">
        <v>806</v>
      </c>
      <c r="C135" s="960" t="s">
        <v>1683</v>
      </c>
      <c r="D135" s="960" t="s">
        <v>1069</v>
      </c>
      <c r="E135" s="951">
        <v>50000</v>
      </c>
      <c r="F135" s="952">
        <v>0</v>
      </c>
      <c r="G135" s="953">
        <v>50000</v>
      </c>
      <c r="H135" s="951">
        <v>1435</v>
      </c>
      <c r="I135" s="951">
        <v>1854</v>
      </c>
      <c r="J135" s="954">
        <v>1520</v>
      </c>
      <c r="K135" s="954">
        <v>728</v>
      </c>
      <c r="L135" s="951">
        <f>+H135+I135+J135+K135</f>
        <v>5537</v>
      </c>
      <c r="M135" s="953">
        <f>+G135-L135</f>
        <v>44463</v>
      </c>
    </row>
    <row r="136" spans="1:13" s="1577" customFormat="1" ht="18.75" x14ac:dyDescent="0.3">
      <c r="A136" s="961" t="s">
        <v>749</v>
      </c>
      <c r="B136" s="950"/>
      <c r="C136" s="962">
        <v>1</v>
      </c>
      <c r="D136" s="962"/>
      <c r="E136" s="963">
        <f>SUM(E135:E135)</f>
        <v>50000</v>
      </c>
      <c r="F136" s="964">
        <f t="shared" ref="F136:M136" si="20">SUM(F135:F135)</f>
        <v>0</v>
      </c>
      <c r="G136" s="963">
        <f t="shared" si="20"/>
        <v>50000</v>
      </c>
      <c r="H136" s="963">
        <f t="shared" si="20"/>
        <v>1435</v>
      </c>
      <c r="I136" s="963">
        <f t="shared" si="20"/>
        <v>1854</v>
      </c>
      <c r="J136" s="966">
        <f t="shared" si="20"/>
        <v>1520</v>
      </c>
      <c r="K136" s="966">
        <f>SUM(K135:K135)</f>
        <v>728</v>
      </c>
      <c r="L136" s="963">
        <f t="shared" si="20"/>
        <v>5537</v>
      </c>
      <c r="M136" s="963">
        <f t="shared" si="20"/>
        <v>44463</v>
      </c>
    </row>
    <row r="137" spans="1:13" s="1577" customFormat="1" ht="18.75" x14ac:dyDescent="0.3">
      <c r="A137" s="958"/>
      <c r="B137" s="950"/>
      <c r="C137" s="960"/>
      <c r="D137" s="960"/>
      <c r="E137" s="951"/>
      <c r="F137" s="952"/>
      <c r="G137" s="953"/>
      <c r="H137" s="951"/>
      <c r="I137" s="951"/>
      <c r="J137" s="966"/>
      <c r="K137" s="954"/>
      <c r="L137" s="951"/>
      <c r="M137" s="953"/>
    </row>
    <row r="138" spans="1:13" s="1577" customFormat="1" ht="18.75" x14ac:dyDescent="0.3">
      <c r="A138" s="961" t="s">
        <v>842</v>
      </c>
      <c r="B138" s="950"/>
      <c r="C138" s="967"/>
      <c r="D138" s="967"/>
      <c r="E138" s="963"/>
      <c r="F138" s="964"/>
      <c r="G138" s="965"/>
      <c r="H138" s="963"/>
      <c r="I138" s="963"/>
      <c r="J138" s="966"/>
      <c r="K138" s="966"/>
      <c r="L138" s="963"/>
      <c r="M138" s="965"/>
    </row>
    <row r="139" spans="1:13" s="1577" customFormat="1" ht="18.75" x14ac:dyDescent="0.3">
      <c r="A139" s="955" t="s">
        <v>1131</v>
      </c>
      <c r="B139" s="950" t="s">
        <v>806</v>
      </c>
      <c r="C139" s="960" t="s">
        <v>905</v>
      </c>
      <c r="D139" s="960" t="s">
        <v>307</v>
      </c>
      <c r="E139" s="951">
        <v>80000</v>
      </c>
      <c r="F139" s="974">
        <v>0</v>
      </c>
      <c r="G139" s="951">
        <v>80000</v>
      </c>
      <c r="H139" s="951">
        <v>2296</v>
      </c>
      <c r="I139" s="951">
        <v>7400.87</v>
      </c>
      <c r="J139" s="954">
        <v>2432</v>
      </c>
      <c r="K139" s="954">
        <v>868</v>
      </c>
      <c r="L139" s="951">
        <f>+H139+I139+J139+K139</f>
        <v>12996.869999999999</v>
      </c>
      <c r="M139" s="951">
        <f>+G139-L139</f>
        <v>67003.13</v>
      </c>
    </row>
    <row r="140" spans="1:13" s="1577" customFormat="1" ht="18.75" x14ac:dyDescent="0.3">
      <c r="A140" s="955" t="s">
        <v>773</v>
      </c>
      <c r="B140" s="950" t="s">
        <v>807</v>
      </c>
      <c r="C140" s="960" t="s">
        <v>774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125</v>
      </c>
      <c r="L140" s="951">
        <v>5935.18</v>
      </c>
      <c r="M140" s="951">
        <f>+G140-L140</f>
        <v>49064.82</v>
      </c>
    </row>
    <row r="141" spans="1:13" s="1577" customFormat="1" ht="18.75" x14ac:dyDescent="0.3">
      <c r="A141" s="955" t="s">
        <v>1142</v>
      </c>
      <c r="B141" s="950" t="s">
        <v>806</v>
      </c>
      <c r="C141" s="960" t="s">
        <v>1684</v>
      </c>
      <c r="D141" s="960" t="s">
        <v>307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4">
        <v>1672</v>
      </c>
      <c r="K141" s="954">
        <v>728</v>
      </c>
      <c r="L141" s="951">
        <f>+H141+I141+J141+K141</f>
        <v>6538.18</v>
      </c>
      <c r="M141" s="951">
        <f>+G141-L141</f>
        <v>48461.82</v>
      </c>
    </row>
    <row r="142" spans="1:13" s="1577" customFormat="1" ht="18.75" x14ac:dyDescent="0.3">
      <c r="A142" s="955" t="s">
        <v>444</v>
      </c>
      <c r="B142" s="950" t="s">
        <v>806</v>
      </c>
      <c r="C142" s="960" t="s">
        <v>1777</v>
      </c>
      <c r="D142" s="960" t="s">
        <v>307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55" t="s">
        <v>1820</v>
      </c>
      <c r="B143" s="950" t="s">
        <v>807</v>
      </c>
      <c r="C143" s="960" t="s">
        <v>276</v>
      </c>
      <c r="D143" s="960" t="s">
        <v>307</v>
      </c>
      <c r="E143" s="951">
        <v>43500</v>
      </c>
      <c r="F143" s="974">
        <v>0</v>
      </c>
      <c r="G143" s="951">
        <v>43500</v>
      </c>
      <c r="H143" s="951">
        <v>1248.45</v>
      </c>
      <c r="I143" s="974">
        <v>936.62</v>
      </c>
      <c r="J143" s="954">
        <v>1322.4</v>
      </c>
      <c r="K143" s="954">
        <v>25</v>
      </c>
      <c r="L143" s="951">
        <f>+H143+I143+J143+K143</f>
        <v>3532.4700000000003</v>
      </c>
      <c r="M143" s="951">
        <f>+G143-L143</f>
        <v>39967.53</v>
      </c>
    </row>
    <row r="144" spans="1:13" s="1577" customFormat="1" ht="18.75" x14ac:dyDescent="0.3">
      <c r="A144" s="961" t="s">
        <v>749</v>
      </c>
      <c r="B144" s="950"/>
      <c r="C144" s="962">
        <v>5</v>
      </c>
      <c r="D144" s="962"/>
      <c r="E144" s="963">
        <f>SUM(E139:E143)</f>
        <v>277000</v>
      </c>
      <c r="F144" s="1071">
        <v>0</v>
      </c>
      <c r="G144" s="963">
        <f t="shared" ref="G144:L144" si="21">SUM(G139:G143)</f>
        <v>277000</v>
      </c>
      <c r="H144" s="963">
        <f t="shared" si="21"/>
        <v>7949.9</v>
      </c>
      <c r="I144" s="963">
        <f t="shared" si="21"/>
        <v>14393.470000000001</v>
      </c>
      <c r="J144" s="966">
        <f t="shared" si="21"/>
        <v>8420.7999999999993</v>
      </c>
      <c r="K144" s="966">
        <f t="shared" si="21"/>
        <v>1771</v>
      </c>
      <c r="L144" s="963">
        <f t="shared" si="21"/>
        <v>32535.170000000002</v>
      </c>
      <c r="M144" s="963">
        <f>SUM(M139:M143)</f>
        <v>244464.83000000002</v>
      </c>
    </row>
    <row r="145" spans="1:13" s="1577" customFormat="1" ht="18.75" x14ac:dyDescent="0.3">
      <c r="A145" s="958"/>
      <c r="B145" s="950"/>
      <c r="C145" s="960"/>
      <c r="D145" s="960"/>
      <c r="E145" s="951"/>
      <c r="F145" s="952"/>
      <c r="G145" s="953"/>
      <c r="H145" s="951"/>
      <c r="I145" s="951"/>
      <c r="J145" s="954"/>
      <c r="K145" s="954"/>
      <c r="L145" s="951"/>
      <c r="M145" s="953"/>
    </row>
    <row r="146" spans="1:13" s="1577" customFormat="1" ht="18.75" x14ac:dyDescent="0.3">
      <c r="A146" s="961" t="s">
        <v>1515</v>
      </c>
      <c r="B146" s="950"/>
      <c r="C146" s="967"/>
      <c r="D146" s="967"/>
      <c r="E146" s="963"/>
      <c r="F146" s="964"/>
      <c r="G146" s="965"/>
      <c r="H146" s="963"/>
      <c r="I146" s="963"/>
      <c r="J146" s="966"/>
      <c r="K146" s="966"/>
      <c r="L146" s="963"/>
      <c r="M146" s="965"/>
    </row>
    <row r="147" spans="1:13" s="1577" customFormat="1" ht="18.75" x14ac:dyDescent="0.3">
      <c r="A147" s="958" t="s">
        <v>1686</v>
      </c>
      <c r="B147" s="950" t="s">
        <v>806</v>
      </c>
      <c r="C147" s="960" t="s">
        <v>1687</v>
      </c>
      <c r="D147" s="960" t="s">
        <v>307</v>
      </c>
      <c r="E147" s="951">
        <v>185000</v>
      </c>
      <c r="F147" s="952">
        <v>0</v>
      </c>
      <c r="G147" s="953">
        <v>185000</v>
      </c>
      <c r="H147" s="951">
        <v>5309.5</v>
      </c>
      <c r="I147" s="951">
        <v>32099.49</v>
      </c>
      <c r="J147" s="954">
        <v>5624</v>
      </c>
      <c r="K147" s="954">
        <v>2568.4</v>
      </c>
      <c r="L147" s="951">
        <f>+H147+I147+J147+K147</f>
        <v>45601.390000000007</v>
      </c>
      <c r="M147" s="953">
        <f>+G147-L147</f>
        <v>139398.60999999999</v>
      </c>
    </row>
    <row r="148" spans="1:13" s="1577" customFormat="1" ht="18.75" x14ac:dyDescent="0.3">
      <c r="A148" s="955" t="s">
        <v>77</v>
      </c>
      <c r="B148" s="986" t="s">
        <v>807</v>
      </c>
      <c r="C148" s="960" t="s">
        <v>1734</v>
      </c>
      <c r="D148" s="960" t="s">
        <v>1069</v>
      </c>
      <c r="E148" s="951">
        <v>70000</v>
      </c>
      <c r="F148" s="974">
        <v>0</v>
      </c>
      <c r="G148" s="1070">
        <v>70000</v>
      </c>
      <c r="H148" s="956">
        <v>2009</v>
      </c>
      <c r="I148" s="956">
        <v>5368.48</v>
      </c>
      <c r="J148" s="954">
        <v>2128</v>
      </c>
      <c r="K148" s="987">
        <v>828</v>
      </c>
      <c r="L148" s="951">
        <f>+H148+I148+J148+K148</f>
        <v>10333.48</v>
      </c>
      <c r="M148" s="953">
        <f>+G148-L148</f>
        <v>59666.520000000004</v>
      </c>
    </row>
    <row r="149" spans="1:13" s="1577" customFormat="1" ht="18.75" x14ac:dyDescent="0.3">
      <c r="A149" s="955" t="s">
        <v>1437</v>
      </c>
      <c r="B149" s="950" t="s">
        <v>807</v>
      </c>
      <c r="C149" s="960" t="s">
        <v>276</v>
      </c>
      <c r="D149" s="960" t="s">
        <v>307</v>
      </c>
      <c r="E149" s="951">
        <v>43500</v>
      </c>
      <c r="F149" s="974">
        <v>0</v>
      </c>
      <c r="G149" s="951">
        <v>43500</v>
      </c>
      <c r="H149" s="951">
        <v>1248.45</v>
      </c>
      <c r="I149" s="974">
        <v>936.62</v>
      </c>
      <c r="J149" s="954">
        <v>1322.4</v>
      </c>
      <c r="K149" s="954">
        <v>25</v>
      </c>
      <c r="L149" s="951">
        <f>+H149+I149+J149+K149</f>
        <v>3532.4700000000003</v>
      </c>
      <c r="M149" s="953">
        <f>+G149-L149</f>
        <v>39967.53</v>
      </c>
    </row>
    <row r="150" spans="1:13" s="1577" customFormat="1" ht="18.75" x14ac:dyDescent="0.3">
      <c r="A150" s="958" t="s">
        <v>310</v>
      </c>
      <c r="B150" s="950" t="s">
        <v>807</v>
      </c>
      <c r="C150" s="960" t="s">
        <v>276</v>
      </c>
      <c r="D150" s="960" t="s">
        <v>307</v>
      </c>
      <c r="E150" s="951">
        <v>50000</v>
      </c>
      <c r="F150" s="952">
        <v>0</v>
      </c>
      <c r="G150" s="953">
        <v>50000</v>
      </c>
      <c r="H150" s="951">
        <v>1435</v>
      </c>
      <c r="I150" s="951">
        <v>1854</v>
      </c>
      <c r="J150" s="954">
        <v>1520</v>
      </c>
      <c r="K150" s="954">
        <v>5944.07</v>
      </c>
      <c r="L150" s="951">
        <f>+H150+I150+J150+K150</f>
        <v>10753.07</v>
      </c>
      <c r="M150" s="953">
        <f>+G150-L150</f>
        <v>39246.93</v>
      </c>
    </row>
    <row r="151" spans="1:13" s="1577" customFormat="1" ht="18.75" x14ac:dyDescent="0.3">
      <c r="A151" s="961" t="s">
        <v>749</v>
      </c>
      <c r="B151" s="950"/>
      <c r="C151" s="962">
        <v>4</v>
      </c>
      <c r="D151" s="962"/>
      <c r="E151" s="963">
        <f>SUM(E147:E150)</f>
        <v>348500</v>
      </c>
      <c r="F151" s="964">
        <f ca="1">SUM(F147:F170)</f>
        <v>0</v>
      </c>
      <c r="G151" s="965">
        <f t="shared" ref="G151:M151" si="22">SUM(G147:G150)</f>
        <v>348500</v>
      </c>
      <c r="H151" s="963">
        <f t="shared" si="22"/>
        <v>10001.950000000001</v>
      </c>
      <c r="I151" s="963">
        <f t="shared" si="22"/>
        <v>40258.590000000004</v>
      </c>
      <c r="J151" s="966">
        <f t="shared" si="22"/>
        <v>10594.4</v>
      </c>
      <c r="K151" s="966">
        <f t="shared" si="22"/>
        <v>9365.4699999999993</v>
      </c>
      <c r="L151" s="963">
        <f t="shared" si="22"/>
        <v>70220.41</v>
      </c>
      <c r="M151" s="965">
        <f t="shared" si="22"/>
        <v>278279.59000000003</v>
      </c>
    </row>
    <row r="152" spans="1:13" s="1577" customFormat="1" ht="18.75" x14ac:dyDescent="0.3">
      <c r="A152" s="961"/>
      <c r="B152" s="950"/>
      <c r="C152" s="962"/>
      <c r="D152" s="962"/>
      <c r="E152" s="963"/>
      <c r="F152" s="964"/>
      <c r="G152" s="965"/>
      <c r="H152" s="963"/>
      <c r="I152" s="963"/>
      <c r="J152" s="966"/>
      <c r="K152" s="966"/>
      <c r="L152" s="963"/>
      <c r="M152" s="965"/>
    </row>
    <row r="153" spans="1:13" s="1577" customFormat="1" ht="18.75" x14ac:dyDescent="0.3">
      <c r="A153" s="967" t="s">
        <v>1458</v>
      </c>
      <c r="B153" s="988"/>
      <c r="C153" s="989"/>
      <c r="D153" s="989"/>
      <c r="E153" s="949"/>
      <c r="F153" s="949"/>
      <c r="G153" s="990"/>
      <c r="H153" s="1379"/>
      <c r="I153" s="963"/>
      <c r="J153" s="966"/>
      <c r="K153" s="966"/>
      <c r="L153" s="963"/>
      <c r="M153" s="965"/>
    </row>
    <row r="154" spans="1:13" s="1577" customFormat="1" ht="18.75" x14ac:dyDescent="0.3">
      <c r="A154" s="960" t="s">
        <v>1689</v>
      </c>
      <c r="B154" s="950" t="s">
        <v>807</v>
      </c>
      <c r="C154" s="960" t="s">
        <v>1772</v>
      </c>
      <c r="D154" s="960" t="s">
        <v>1069</v>
      </c>
      <c r="E154" s="951">
        <v>80000</v>
      </c>
      <c r="F154" s="971">
        <v>0</v>
      </c>
      <c r="G154" s="972">
        <v>80000</v>
      </c>
      <c r="H154" s="951">
        <v>2296</v>
      </c>
      <c r="I154" s="951">
        <v>7400.87</v>
      </c>
      <c r="J154" s="954">
        <v>2432</v>
      </c>
      <c r="K154" s="954">
        <v>2097.1999999999998</v>
      </c>
      <c r="L154" s="951">
        <f>+H154+I154+J154+K154</f>
        <v>14226.07</v>
      </c>
      <c r="M154" s="953">
        <f>+G154-L154</f>
        <v>65773.929999999993</v>
      </c>
    </row>
    <row r="155" spans="1:13" s="1577" customFormat="1" ht="18.75" x14ac:dyDescent="0.3">
      <c r="A155" s="960" t="s">
        <v>1690</v>
      </c>
      <c r="B155" s="950" t="s">
        <v>807</v>
      </c>
      <c r="C155" s="960" t="s">
        <v>276</v>
      </c>
      <c r="D155" s="960" t="s">
        <v>307</v>
      </c>
      <c r="E155" s="951">
        <v>43500</v>
      </c>
      <c r="F155" s="974">
        <v>0</v>
      </c>
      <c r="G155" s="951">
        <v>43500</v>
      </c>
      <c r="H155" s="951">
        <v>1248.45</v>
      </c>
      <c r="I155" s="974">
        <v>648.66</v>
      </c>
      <c r="J155" s="954">
        <v>1322.4</v>
      </c>
      <c r="K155" s="951">
        <v>1944.78</v>
      </c>
      <c r="L155" s="951">
        <f>SUM(H155:K155)</f>
        <v>5164.29</v>
      </c>
      <c r="M155" s="951">
        <f>+E155-L155</f>
        <v>38335.71</v>
      </c>
    </row>
    <row r="156" spans="1:13" s="1577" customFormat="1" ht="18.75" x14ac:dyDescent="0.3">
      <c r="A156" s="961" t="s">
        <v>847</v>
      </c>
      <c r="B156" s="992"/>
      <c r="C156" s="962">
        <v>2</v>
      </c>
      <c r="D156" s="962"/>
      <c r="E156" s="963">
        <f>SUM(E154:E155)</f>
        <v>123500</v>
      </c>
      <c r="F156" s="1071">
        <v>0</v>
      </c>
      <c r="G156" s="963">
        <f t="shared" ref="G156:M156" si="23">SUM(G154:G155)</f>
        <v>123500</v>
      </c>
      <c r="H156" s="963">
        <f t="shared" si="23"/>
        <v>3544.45</v>
      </c>
      <c r="I156" s="963">
        <f t="shared" si="23"/>
        <v>8049.53</v>
      </c>
      <c r="J156" s="966">
        <f t="shared" si="23"/>
        <v>3754.4</v>
      </c>
      <c r="K156" s="966">
        <f t="shared" si="23"/>
        <v>4041.9799999999996</v>
      </c>
      <c r="L156" s="963">
        <f t="shared" si="23"/>
        <v>19390.36</v>
      </c>
      <c r="M156" s="963">
        <f t="shared" si="23"/>
        <v>104109.63999999998</v>
      </c>
    </row>
    <row r="157" spans="1:13" s="1577" customFormat="1" ht="18.75" x14ac:dyDescent="0.3">
      <c r="A157" s="961"/>
      <c r="B157" s="950"/>
      <c r="C157" s="962"/>
      <c r="D157" s="962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38.25" customHeight="1" x14ac:dyDescent="0.3">
      <c r="A158" s="982" t="s">
        <v>1692</v>
      </c>
      <c r="B158" s="950"/>
      <c r="C158" s="967"/>
      <c r="D158" s="967"/>
      <c r="E158" s="963"/>
      <c r="F158" s="964"/>
      <c r="G158" s="965"/>
      <c r="H158" s="963"/>
      <c r="I158" s="963"/>
      <c r="J158" s="966"/>
      <c r="K158" s="966"/>
      <c r="L158" s="963"/>
      <c r="M158" s="965"/>
    </row>
    <row r="159" spans="1:13" s="1577" customFormat="1" ht="18.75" x14ac:dyDescent="0.3">
      <c r="A159" s="955" t="s">
        <v>1693</v>
      </c>
      <c r="B159" s="950" t="s">
        <v>807</v>
      </c>
      <c r="C159" s="960" t="s">
        <v>1734</v>
      </c>
      <c r="D159" s="960" t="s">
        <v>307</v>
      </c>
      <c r="E159" s="951">
        <v>70000</v>
      </c>
      <c r="F159" s="952">
        <v>0</v>
      </c>
      <c r="G159" s="953">
        <v>70000</v>
      </c>
      <c r="H159" s="951">
        <v>2009</v>
      </c>
      <c r="I159" s="974">
        <v>5368.48</v>
      </c>
      <c r="J159" s="954">
        <v>2128</v>
      </c>
      <c r="K159" s="954">
        <v>3283.65</v>
      </c>
      <c r="L159" s="951">
        <f>+H159+I159+J159+K159</f>
        <v>12789.13</v>
      </c>
      <c r="M159" s="953">
        <f>+G159-L159</f>
        <v>57210.87</v>
      </c>
    </row>
    <row r="160" spans="1:13" s="1577" customFormat="1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4">
        <v>1322.4</v>
      </c>
      <c r="K160" s="954">
        <v>2025</v>
      </c>
      <c r="L160" s="951">
        <f>+H160+I160+J160+K160</f>
        <v>5532.47</v>
      </c>
      <c r="M160" s="953">
        <f>+G160-L160</f>
        <v>37967.53</v>
      </c>
    </row>
    <row r="161" spans="1:13" s="1577" customFormat="1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4">
        <v>1322.4</v>
      </c>
      <c r="K161" s="954">
        <v>25</v>
      </c>
      <c r="L161" s="951">
        <f>+H161+I161+J161+K161</f>
        <v>3532.4700000000003</v>
      </c>
      <c r="M161" s="953">
        <f>+G161-L161</f>
        <v>39967.53</v>
      </c>
    </row>
    <row r="162" spans="1:13" s="1577" customFormat="1" ht="18.75" x14ac:dyDescent="0.3">
      <c r="A162" s="961" t="s">
        <v>847</v>
      </c>
      <c r="B162" s="950"/>
      <c r="C162" s="962">
        <v>3</v>
      </c>
      <c r="D162" s="962"/>
      <c r="E162" s="963">
        <f>SUM(E159:E161)</f>
        <v>157000</v>
      </c>
      <c r="F162" s="993">
        <f>SUM(F161)</f>
        <v>0</v>
      </c>
      <c r="G162" s="963">
        <f t="shared" ref="G162:M162" si="24">SUM(G159:G161)</f>
        <v>157000</v>
      </c>
      <c r="H162" s="963">
        <f t="shared" si="24"/>
        <v>4505.8999999999996</v>
      </c>
      <c r="I162" s="963">
        <f t="shared" si="24"/>
        <v>7241.7199999999993</v>
      </c>
      <c r="J162" s="966">
        <f t="shared" si="24"/>
        <v>4772.8</v>
      </c>
      <c r="K162" s="966">
        <f>SUM(K159:K161)</f>
        <v>5333.65</v>
      </c>
      <c r="L162" s="963">
        <f t="shared" si="24"/>
        <v>21854.07</v>
      </c>
      <c r="M162" s="963">
        <f t="shared" si="24"/>
        <v>135145.93</v>
      </c>
    </row>
    <row r="163" spans="1:13" s="1577" customFormat="1" ht="18.75" x14ac:dyDescent="0.3">
      <c r="A163" s="958"/>
      <c r="B163" s="950"/>
      <c r="C163" s="960"/>
      <c r="D163" s="960"/>
      <c r="E163" s="951"/>
      <c r="F163" s="952"/>
      <c r="G163" s="953"/>
      <c r="H163" s="951"/>
      <c r="I163" s="951"/>
      <c r="J163" s="954"/>
      <c r="K163" s="954"/>
      <c r="L163" s="951"/>
      <c r="M163" s="953"/>
    </row>
    <row r="164" spans="1:13" s="1577" customFormat="1" ht="37.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3"/>
      <c r="I164" s="963"/>
      <c r="J164" s="966"/>
      <c r="K164" s="966"/>
      <c r="L164" s="963"/>
      <c r="M164" s="965"/>
    </row>
    <row r="165" spans="1:13" s="1577" customFormat="1" ht="18.75" x14ac:dyDescent="0.3">
      <c r="A165" s="958" t="s">
        <v>1640</v>
      </c>
      <c r="B165" s="950" t="s">
        <v>806</v>
      </c>
      <c r="C165" s="960" t="s">
        <v>417</v>
      </c>
      <c r="D165" s="960" t="s">
        <v>1069</v>
      </c>
      <c r="E165" s="951">
        <v>80000</v>
      </c>
      <c r="F165" s="952">
        <v>0</v>
      </c>
      <c r="G165" s="953">
        <v>80000</v>
      </c>
      <c r="H165" s="951">
        <v>2296</v>
      </c>
      <c r="I165" s="951">
        <v>7400.87</v>
      </c>
      <c r="J165" s="954">
        <v>2432</v>
      </c>
      <c r="K165" s="954">
        <v>728</v>
      </c>
      <c r="L165" s="951">
        <f>+H165+I165+J165+K165</f>
        <v>12856.869999999999</v>
      </c>
      <c r="M165" s="953">
        <f>+G165-L165</f>
        <v>67143.13</v>
      </c>
    </row>
    <row r="166" spans="1:13" s="1577" customFormat="1" ht="18.75" x14ac:dyDescent="0.3">
      <c r="A166" s="961" t="s">
        <v>847</v>
      </c>
      <c r="B166" s="950"/>
      <c r="C166" s="962">
        <v>1</v>
      </c>
      <c r="D166" s="962"/>
      <c r="E166" s="963">
        <f>SUM(E165:E165)</f>
        <v>80000</v>
      </c>
      <c r="F166" s="1071">
        <v>0</v>
      </c>
      <c r="G166" s="963">
        <f t="shared" ref="G166:M166" si="25">SUM(G165:G165)</f>
        <v>80000</v>
      </c>
      <c r="H166" s="963">
        <f t="shared" si="25"/>
        <v>2296</v>
      </c>
      <c r="I166" s="963">
        <f t="shared" si="25"/>
        <v>7400.87</v>
      </c>
      <c r="J166" s="966">
        <f t="shared" si="25"/>
        <v>2432</v>
      </c>
      <c r="K166" s="966">
        <f>SUM(K165:K165)</f>
        <v>728</v>
      </c>
      <c r="L166" s="963">
        <f t="shared" si="25"/>
        <v>12856.869999999999</v>
      </c>
      <c r="M166" s="963">
        <f t="shared" si="25"/>
        <v>67143.13</v>
      </c>
    </row>
    <row r="167" spans="1:13" s="1577" customFormat="1" ht="18.75" x14ac:dyDescent="0.3">
      <c r="A167" s="958"/>
      <c r="B167" s="950"/>
      <c r="C167" s="960"/>
      <c r="D167" s="960"/>
      <c r="E167" s="951"/>
      <c r="F167" s="952"/>
      <c r="G167" s="953"/>
      <c r="H167" s="951"/>
      <c r="I167" s="951"/>
      <c r="J167" s="954"/>
      <c r="K167" s="954"/>
      <c r="L167" s="951"/>
      <c r="M167" s="953"/>
    </row>
    <row r="168" spans="1:13" s="1577" customFormat="1" ht="18.75" customHeight="1" x14ac:dyDescent="0.3">
      <c r="A168" s="982" t="s">
        <v>1195</v>
      </c>
      <c r="B168" s="950"/>
      <c r="C168" s="967"/>
      <c r="D168" s="967"/>
      <c r="E168" s="963"/>
      <c r="F168" s="964"/>
      <c r="G168" s="965"/>
      <c r="H168" s="963"/>
      <c r="I168" s="963"/>
      <c r="J168" s="966"/>
      <c r="K168" s="966"/>
      <c r="L168" s="963"/>
      <c r="M168" s="965"/>
    </row>
    <row r="169" spans="1:13" s="1577" customFormat="1" ht="18.75" x14ac:dyDescent="0.3">
      <c r="A169" s="955" t="s">
        <v>217</v>
      </c>
      <c r="B169" s="950" t="s">
        <v>807</v>
      </c>
      <c r="C169" s="960" t="s">
        <v>1734</v>
      </c>
      <c r="D169" s="960" t="s">
        <v>1069</v>
      </c>
      <c r="E169" s="951">
        <v>80000</v>
      </c>
      <c r="F169" s="952">
        <v>0</v>
      </c>
      <c r="G169" s="953">
        <v>80000</v>
      </c>
      <c r="H169" s="951">
        <v>2296</v>
      </c>
      <c r="I169" s="951">
        <v>7400.87</v>
      </c>
      <c r="J169" s="954">
        <v>2432</v>
      </c>
      <c r="K169" s="954">
        <v>3639.14</v>
      </c>
      <c r="L169" s="951">
        <f>+H169+I169+J169+K169</f>
        <v>15768.009999999998</v>
      </c>
      <c r="M169" s="953">
        <f>+G169-L169</f>
        <v>64231.990000000005</v>
      </c>
    </row>
    <row r="170" spans="1:13" s="1577" customFormat="1" ht="18.75" x14ac:dyDescent="0.3">
      <c r="A170" s="955" t="s">
        <v>1688</v>
      </c>
      <c r="B170" s="950" t="s">
        <v>806</v>
      </c>
      <c r="C170" s="960" t="s">
        <v>1683</v>
      </c>
      <c r="D170" s="960" t="s">
        <v>1069</v>
      </c>
      <c r="E170" s="951">
        <v>55000</v>
      </c>
      <c r="F170" s="974">
        <v>0</v>
      </c>
      <c r="G170" s="951">
        <v>55000</v>
      </c>
      <c r="H170" s="951">
        <v>1578.5</v>
      </c>
      <c r="I170" s="951">
        <v>2559.6799999999998</v>
      </c>
      <c r="J170" s="954">
        <v>1672</v>
      </c>
      <c r="K170" s="954">
        <v>1396.7</v>
      </c>
      <c r="L170" s="951">
        <f>+H170+I170+J170+K170</f>
        <v>7206.88</v>
      </c>
      <c r="M170" s="953">
        <f>+G170-L170</f>
        <v>47793.120000000003</v>
      </c>
    </row>
    <row r="171" spans="1:13" s="1577" customFormat="1" ht="18.75" x14ac:dyDescent="0.3">
      <c r="A171" s="961" t="s">
        <v>749</v>
      </c>
      <c r="B171" s="950"/>
      <c r="C171" s="962">
        <v>2</v>
      </c>
      <c r="D171" s="962"/>
      <c r="E171" s="963">
        <f>SUM(E169:E170)</f>
        <v>135000</v>
      </c>
      <c r="F171" s="964">
        <f t="shared" ref="F171:M171" si="26">SUM(F169:F170)</f>
        <v>0</v>
      </c>
      <c r="G171" s="965">
        <f t="shared" si="26"/>
        <v>135000</v>
      </c>
      <c r="H171" s="963">
        <f t="shared" si="26"/>
        <v>3874.5</v>
      </c>
      <c r="I171" s="963">
        <f t="shared" si="26"/>
        <v>9960.5499999999993</v>
      </c>
      <c r="J171" s="966">
        <f t="shared" si="26"/>
        <v>4104</v>
      </c>
      <c r="K171" s="966">
        <f>SUM(K169:K170)</f>
        <v>5035.84</v>
      </c>
      <c r="L171" s="963">
        <f t="shared" si="26"/>
        <v>22974.89</v>
      </c>
      <c r="M171" s="965">
        <f t="shared" si="26"/>
        <v>112025.11000000002</v>
      </c>
    </row>
    <row r="172" spans="1:13" s="1577" customFormat="1" ht="18.75" x14ac:dyDescent="0.3">
      <c r="A172" s="961"/>
      <c r="B172" s="950"/>
      <c r="C172" s="962"/>
      <c r="D172" s="962"/>
      <c r="E172" s="963"/>
      <c r="F172" s="964"/>
      <c r="G172" s="965"/>
      <c r="H172" s="963"/>
      <c r="I172" s="963"/>
      <c r="J172" s="966"/>
      <c r="K172" s="966"/>
      <c r="L172" s="963"/>
      <c r="M172" s="965"/>
    </row>
    <row r="173" spans="1:13" s="1577" customFormat="1" ht="18.75" x14ac:dyDescent="0.3">
      <c r="A173" s="982" t="s">
        <v>1421</v>
      </c>
      <c r="B173" s="950"/>
      <c r="C173" s="962"/>
      <c r="D173" s="962"/>
      <c r="E173" s="963"/>
      <c r="F173" s="964"/>
      <c r="G173" s="965"/>
      <c r="H173" s="963"/>
      <c r="I173" s="963"/>
      <c r="J173" s="966"/>
      <c r="K173" s="966"/>
      <c r="L173" s="963"/>
      <c r="M173" s="965"/>
    </row>
    <row r="174" spans="1:13" s="1577" customFormat="1" ht="18.75" x14ac:dyDescent="0.3">
      <c r="A174" s="1319" t="s">
        <v>1780</v>
      </c>
      <c r="B174" s="950" t="s">
        <v>806</v>
      </c>
      <c r="C174" s="1320" t="s">
        <v>551</v>
      </c>
      <c r="D174" s="960" t="s">
        <v>307</v>
      </c>
      <c r="E174" s="951">
        <v>43500</v>
      </c>
      <c r="F174" s="952">
        <v>0</v>
      </c>
      <c r="G174" s="953">
        <v>43500</v>
      </c>
      <c r="H174" s="951">
        <v>1248.45</v>
      </c>
      <c r="I174" s="951">
        <v>936.62</v>
      </c>
      <c r="J174" s="954">
        <v>1322.4</v>
      </c>
      <c r="K174" s="954">
        <v>25</v>
      </c>
      <c r="L174" s="951">
        <v>3532.47</v>
      </c>
      <c r="M174" s="953">
        <v>39967.53</v>
      </c>
    </row>
    <row r="175" spans="1:13" s="1577" customFormat="1" ht="18.75" x14ac:dyDescent="0.3">
      <c r="A175" s="961" t="s">
        <v>749</v>
      </c>
      <c r="B175" s="950"/>
      <c r="C175" s="962">
        <v>1</v>
      </c>
      <c r="D175" s="962"/>
      <c r="E175" s="963">
        <v>43500</v>
      </c>
      <c r="F175" s="964">
        <v>0</v>
      </c>
      <c r="G175" s="965">
        <v>43500</v>
      </c>
      <c r="H175" s="963">
        <v>1248.45</v>
      </c>
      <c r="I175" s="963">
        <v>936.62</v>
      </c>
      <c r="J175" s="966">
        <v>1322.4</v>
      </c>
      <c r="K175" s="966">
        <v>25</v>
      </c>
      <c r="L175" s="963">
        <v>3532.47</v>
      </c>
      <c r="M175" s="965">
        <v>39967.53</v>
      </c>
    </row>
    <row r="176" spans="1:13" s="1577" customFormat="1" ht="18.75" x14ac:dyDescent="0.3">
      <c r="A176" s="961"/>
      <c r="B176" s="950"/>
      <c r="C176" s="962"/>
      <c r="D176" s="962"/>
      <c r="E176" s="963"/>
      <c r="F176" s="964"/>
      <c r="G176" s="965"/>
      <c r="H176" s="963"/>
      <c r="I176" s="963"/>
      <c r="J176" s="966"/>
      <c r="K176" s="966"/>
      <c r="L176" s="963"/>
      <c r="M176" s="965"/>
    </row>
    <row r="177" spans="1:13" s="1577" customFormat="1" ht="18.75" x14ac:dyDescent="0.3">
      <c r="A177" s="961" t="s">
        <v>803</v>
      </c>
      <c r="B177" s="950"/>
      <c r="C177" s="967"/>
      <c r="D177" s="967"/>
      <c r="E177" s="963"/>
      <c r="F177" s="964"/>
      <c r="G177" s="965"/>
      <c r="H177" s="963"/>
      <c r="I177" s="963"/>
      <c r="J177" s="966"/>
      <c r="K177" s="966"/>
      <c r="L177" s="963"/>
      <c r="M177" s="965"/>
    </row>
    <row r="178" spans="1:13" s="1577" customFormat="1" ht="18.75" x14ac:dyDescent="0.3">
      <c r="A178" s="955" t="s">
        <v>1698</v>
      </c>
      <c r="B178" s="950" t="s">
        <v>806</v>
      </c>
      <c r="C178" s="1579" t="s">
        <v>1844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8.75" x14ac:dyDescent="0.3">
      <c r="A179" s="955" t="s">
        <v>1700</v>
      </c>
      <c r="B179" s="950" t="s">
        <v>806</v>
      </c>
      <c r="C179" s="1579" t="s">
        <v>1844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4">
        <v>1322.4</v>
      </c>
      <c r="K179" s="954">
        <v>25</v>
      </c>
      <c r="L179" s="951">
        <f>+H179+I179+J179+K179</f>
        <v>3532.4700000000003</v>
      </c>
      <c r="M179" s="951">
        <f>+G179-L179</f>
        <v>39967.53</v>
      </c>
    </row>
    <row r="180" spans="1:13" s="1577" customFormat="1" ht="16.5" customHeight="1" x14ac:dyDescent="0.3">
      <c r="A180" s="1024" t="s">
        <v>1701</v>
      </c>
      <c r="B180" s="950" t="s">
        <v>806</v>
      </c>
      <c r="C180" s="1579" t="s">
        <v>1844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360.69</v>
      </c>
      <c r="J180" s="954">
        <v>1322.4</v>
      </c>
      <c r="K180" s="954">
        <v>5270.56</v>
      </c>
      <c r="L180" s="951">
        <f>+H180+I180+J180+K180</f>
        <v>8202.1</v>
      </c>
      <c r="M180" s="951">
        <f>+G180-L180</f>
        <v>35297.9</v>
      </c>
    </row>
    <row r="181" spans="1:13" s="1577" customFormat="1" ht="18.75" x14ac:dyDescent="0.3">
      <c r="A181" s="998" t="s">
        <v>1702</v>
      </c>
      <c r="B181" s="950" t="s">
        <v>1296</v>
      </c>
      <c r="C181" s="1579" t="s">
        <v>1844</v>
      </c>
      <c r="D181" s="960" t="s">
        <v>321</v>
      </c>
      <c r="E181" s="951">
        <v>43500</v>
      </c>
      <c r="F181" s="952">
        <v>0</v>
      </c>
      <c r="G181" s="953">
        <v>43500</v>
      </c>
      <c r="H181" s="951">
        <v>1248.45</v>
      </c>
      <c r="I181" s="974">
        <v>936.62</v>
      </c>
      <c r="J181" s="954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s="1577" customFormat="1" ht="18.75" x14ac:dyDescent="0.3">
      <c r="A182" s="961" t="s">
        <v>847</v>
      </c>
      <c r="B182" s="950"/>
      <c r="C182" s="962">
        <v>4</v>
      </c>
      <c r="D182" s="962"/>
      <c r="E182" s="963">
        <f>SUM(E178:E181)</f>
        <v>174000</v>
      </c>
      <c r="F182" s="964">
        <v>0</v>
      </c>
      <c r="G182" s="963">
        <f t="shared" ref="G182:M182" si="27">SUM(G178:G181)</f>
        <v>174000</v>
      </c>
      <c r="H182" s="963">
        <f t="shared" si="27"/>
        <v>4993.8</v>
      </c>
      <c r="I182" s="963">
        <f t="shared" si="27"/>
        <v>3170.5499999999997</v>
      </c>
      <c r="J182" s="966">
        <f t="shared" si="27"/>
        <v>5289.6</v>
      </c>
      <c r="K182" s="966">
        <f t="shared" si="27"/>
        <v>5345.56</v>
      </c>
      <c r="L182" s="963">
        <f t="shared" si="27"/>
        <v>18799.510000000002</v>
      </c>
      <c r="M182" s="963">
        <f t="shared" si="27"/>
        <v>155200.49</v>
      </c>
    </row>
    <row r="183" spans="1:13" s="1577" customFormat="1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3"/>
      <c r="J183" s="966"/>
      <c r="K183" s="966"/>
      <c r="L183" s="963"/>
      <c r="M183" s="963"/>
    </row>
    <row r="184" spans="1:13" s="1577" customFormat="1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3"/>
      <c r="J184" s="966"/>
      <c r="K184" s="966"/>
      <c r="L184" s="963"/>
      <c r="M184" s="963"/>
    </row>
    <row r="185" spans="1:13" s="1577" customFormat="1" ht="21" customHeight="1" x14ac:dyDescent="0.3">
      <c r="A185" s="980" t="s">
        <v>1386</v>
      </c>
      <c r="B185" s="950" t="s">
        <v>806</v>
      </c>
      <c r="C185" s="1257" t="s">
        <v>1844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974">
        <v>936.62</v>
      </c>
      <c r="J185" s="954">
        <v>1322.4</v>
      </c>
      <c r="K185" s="954">
        <v>25</v>
      </c>
      <c r="L185" s="951">
        <f>+H185+I185+J185+K185</f>
        <v>3532.4700000000003</v>
      </c>
      <c r="M185" s="951">
        <f>+G185-L185</f>
        <v>39967.53</v>
      </c>
    </row>
    <row r="186" spans="1:13" s="1577" customFormat="1" ht="21" customHeight="1" x14ac:dyDescent="0.3">
      <c r="A186" s="980" t="s">
        <v>1704</v>
      </c>
      <c r="B186" s="950" t="s">
        <v>806</v>
      </c>
      <c r="C186" s="1257" t="s">
        <v>1844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974">
        <v>936.62</v>
      </c>
      <c r="J186" s="954">
        <v>1322.4</v>
      </c>
      <c r="K186" s="954">
        <v>25</v>
      </c>
      <c r="L186" s="951">
        <f>+H186+I186+J186+K186</f>
        <v>3532.4700000000003</v>
      </c>
      <c r="M186" s="951">
        <f>+G186-L186</f>
        <v>39967.53</v>
      </c>
    </row>
    <row r="187" spans="1:13" s="1577" customFormat="1" ht="21" customHeight="1" x14ac:dyDescent="0.3">
      <c r="A187" s="980" t="s">
        <v>1328</v>
      </c>
      <c r="B187" s="950" t="s">
        <v>1296</v>
      </c>
      <c r="C187" s="1257" t="s">
        <v>1844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4">
        <v>1322.4</v>
      </c>
      <c r="K187" s="954">
        <v>25</v>
      </c>
      <c r="L187" s="951">
        <f>+H187+I187+J187+K187</f>
        <v>3532.4700000000003</v>
      </c>
      <c r="M187" s="951">
        <f>+G187-L187</f>
        <v>39967.53</v>
      </c>
    </row>
    <row r="188" spans="1:13" s="1577" customFormat="1" ht="18.75" x14ac:dyDescent="0.3">
      <c r="A188" s="955" t="s">
        <v>1705</v>
      </c>
      <c r="B188" s="950" t="s">
        <v>806</v>
      </c>
      <c r="C188" s="1257" t="s">
        <v>1844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036">
        <v>936.62</v>
      </c>
      <c r="J188" s="954">
        <v>1322.4</v>
      </c>
      <c r="K188" s="954">
        <v>25</v>
      </c>
      <c r="L188" s="1032">
        <v>3532.4700000000003</v>
      </c>
      <c r="M188" s="1032">
        <v>39967.53</v>
      </c>
    </row>
    <row r="189" spans="1:13" s="1577" customFormat="1" ht="18.75" x14ac:dyDescent="0.3">
      <c r="A189" s="955" t="s">
        <v>1781</v>
      </c>
      <c r="B189" s="950" t="s">
        <v>807</v>
      </c>
      <c r="C189" s="1257" t="s">
        <v>1844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036">
        <v>936.62</v>
      </c>
      <c r="J189" s="954">
        <v>1322.4</v>
      </c>
      <c r="K189" s="954">
        <v>25</v>
      </c>
      <c r="L189" s="1032">
        <v>3532.4700000000003</v>
      </c>
      <c r="M189" s="1032">
        <v>39967.53</v>
      </c>
    </row>
    <row r="190" spans="1:13" s="1577" customFormat="1" ht="18.75" x14ac:dyDescent="0.3">
      <c r="A190" s="955" t="s">
        <v>1843</v>
      </c>
      <c r="B190" s="950" t="s">
        <v>806</v>
      </c>
      <c r="C190" s="1257" t="s">
        <v>1844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4">
        <v>1322.4</v>
      </c>
      <c r="K190" s="954">
        <v>25</v>
      </c>
      <c r="L190" s="1032">
        <v>3532.4700000000003</v>
      </c>
      <c r="M190" s="1032">
        <v>39967.53</v>
      </c>
    </row>
    <row r="191" spans="1:13" s="1577" customFormat="1" ht="18.75" x14ac:dyDescent="0.3">
      <c r="A191" s="955" t="s">
        <v>1691</v>
      </c>
      <c r="B191" s="950" t="s">
        <v>806</v>
      </c>
      <c r="C191" s="960" t="s">
        <v>551</v>
      </c>
      <c r="D191" s="960" t="s">
        <v>307</v>
      </c>
      <c r="E191" s="951">
        <v>43500</v>
      </c>
      <c r="F191" s="952">
        <v>0</v>
      </c>
      <c r="G191" s="953">
        <v>43500</v>
      </c>
      <c r="H191" s="951">
        <v>1248.45</v>
      </c>
      <c r="I191" s="974">
        <v>936.62</v>
      </c>
      <c r="J191" s="954">
        <v>1322.4</v>
      </c>
      <c r="K191" s="954">
        <v>25</v>
      </c>
      <c r="L191" s="951">
        <f>SUM(H191:K191)</f>
        <v>3532.4700000000003</v>
      </c>
      <c r="M191" s="953">
        <f>+G191-L191</f>
        <v>39967.53</v>
      </c>
    </row>
    <row r="192" spans="1:13" s="1577" customFormat="1" ht="18.75" x14ac:dyDescent="0.3">
      <c r="A192" s="961" t="s">
        <v>847</v>
      </c>
      <c r="B192" s="950"/>
      <c r="C192" s="962">
        <v>7</v>
      </c>
      <c r="D192" s="962"/>
      <c r="E192" s="963">
        <f>SUM(E185:E191)</f>
        <v>304500</v>
      </c>
      <c r="F192" s="964">
        <v>0</v>
      </c>
      <c r="G192" s="963">
        <f t="shared" ref="G192:M192" si="28">SUM(G185:G191)</f>
        <v>304500</v>
      </c>
      <c r="H192" s="963">
        <f t="shared" si="28"/>
        <v>8739.15</v>
      </c>
      <c r="I192" s="963">
        <f t="shared" si="28"/>
        <v>6556.34</v>
      </c>
      <c r="J192" s="966">
        <f t="shared" si="28"/>
        <v>9256.7999999999993</v>
      </c>
      <c r="K192" s="963">
        <f t="shared" si="28"/>
        <v>175</v>
      </c>
      <c r="L192" s="963">
        <f t="shared" si="28"/>
        <v>24727.290000000005</v>
      </c>
      <c r="M192" s="963">
        <f t="shared" si="28"/>
        <v>279772.70999999996</v>
      </c>
    </row>
    <row r="193" spans="1:13" s="1577" customFormat="1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6"/>
      <c r="K193" s="966"/>
      <c r="L193" s="963"/>
      <c r="M193" s="963"/>
    </row>
    <row r="194" spans="1:13" s="1577" customFormat="1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6"/>
      <c r="K194" s="966"/>
      <c r="L194" s="963"/>
      <c r="M194" s="965"/>
    </row>
    <row r="195" spans="1:13" s="1577" customFormat="1" ht="41.25" customHeight="1" x14ac:dyDescent="0.3">
      <c r="A195" s="1273" t="s">
        <v>1868</v>
      </c>
      <c r="B195" s="950"/>
      <c r="C195" s="1026"/>
      <c r="D195" s="960"/>
      <c r="E195" s="951"/>
      <c r="F195" s="974"/>
      <c r="G195" s="1032"/>
      <c r="H195" s="951"/>
      <c r="I195" s="1036"/>
      <c r="J195" s="954"/>
      <c r="K195" s="954"/>
      <c r="L195" s="1032"/>
      <c r="M195" s="1032"/>
    </row>
    <row r="196" spans="1:13" s="1577" customFormat="1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4">
        <v>3648</v>
      </c>
      <c r="K196" s="954">
        <v>25</v>
      </c>
      <c r="L196" s="1032">
        <f>+H196+I196+J196+K196</f>
        <v>23926.87</v>
      </c>
      <c r="M196" s="1032">
        <f t="shared" ref="M196:M202" si="29">+G196-L196</f>
        <v>96073.13</v>
      </c>
    </row>
    <row r="197" spans="1:13" s="1577" customFormat="1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4">
        <v>2432</v>
      </c>
      <c r="K197" s="954">
        <v>25</v>
      </c>
      <c r="L197" s="1032">
        <f>+H197+I197+J197+K197</f>
        <v>12153.869999999999</v>
      </c>
      <c r="M197" s="1032">
        <f t="shared" si="29"/>
        <v>67846.13</v>
      </c>
    </row>
    <row r="198" spans="1:13" s="1577" customFormat="1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4">
        <v>2128</v>
      </c>
      <c r="K198" s="954">
        <v>25</v>
      </c>
      <c r="L198" s="1032">
        <f>+H198+I198+J198+K198</f>
        <v>9530.48</v>
      </c>
      <c r="M198" s="1032">
        <f t="shared" si="29"/>
        <v>60469.520000000004</v>
      </c>
    </row>
    <row r="199" spans="1:13" s="1576" customFormat="1" ht="18.75" x14ac:dyDescent="0.3">
      <c r="A199" s="1583" t="s">
        <v>94</v>
      </c>
      <c r="B199" s="1256" t="s">
        <v>807</v>
      </c>
      <c r="C199" s="1579" t="s">
        <v>417</v>
      </c>
      <c r="D199" s="1257" t="s">
        <v>1069</v>
      </c>
      <c r="E199" s="954">
        <v>70000</v>
      </c>
      <c r="F199" s="1191">
        <v>0</v>
      </c>
      <c r="G199" s="954">
        <v>70000</v>
      </c>
      <c r="H199" s="954">
        <v>2009</v>
      </c>
      <c r="I199" s="1198">
        <v>4984.5200000000004</v>
      </c>
      <c r="J199" s="954">
        <v>2128</v>
      </c>
      <c r="K199" s="954">
        <v>1944.78</v>
      </c>
      <c r="L199" s="1198">
        <f>SUM(H199:K199)</f>
        <v>11066.300000000001</v>
      </c>
      <c r="M199" s="1198">
        <f t="shared" si="29"/>
        <v>58933.7</v>
      </c>
    </row>
    <row r="200" spans="1:13" s="1576" customFormat="1" ht="18.75" x14ac:dyDescent="0.3">
      <c r="A200" s="1583" t="s">
        <v>156</v>
      </c>
      <c r="B200" s="1256" t="s">
        <v>806</v>
      </c>
      <c r="C200" s="1579" t="s">
        <v>1773</v>
      </c>
      <c r="D200" s="1257" t="s">
        <v>1069</v>
      </c>
      <c r="E200" s="954">
        <v>80000</v>
      </c>
      <c r="F200" s="1191">
        <v>0</v>
      </c>
      <c r="G200" s="954">
        <v>80000</v>
      </c>
      <c r="H200" s="954">
        <v>2296</v>
      </c>
      <c r="I200" s="1198">
        <v>6920.92</v>
      </c>
      <c r="J200" s="954">
        <v>2432</v>
      </c>
      <c r="K200" s="954">
        <v>1944.78</v>
      </c>
      <c r="L200" s="1198">
        <f>+H200+I200+J200+K200</f>
        <v>13593.7</v>
      </c>
      <c r="M200" s="1198">
        <f t="shared" si="29"/>
        <v>66406.3</v>
      </c>
    </row>
    <row r="201" spans="1:13" s="1577" customFormat="1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4">
        <v>1672</v>
      </c>
      <c r="K201" s="987">
        <v>25</v>
      </c>
      <c r="L201" s="1032">
        <f>+H201+I201+J201+K201</f>
        <v>5835.18</v>
      </c>
      <c r="M201" s="1032">
        <f t="shared" si="29"/>
        <v>49164.82</v>
      </c>
    </row>
    <row r="202" spans="1:13" s="1576" customFormat="1" ht="18.75" x14ac:dyDescent="0.3">
      <c r="A202" s="1258" t="s">
        <v>1710</v>
      </c>
      <c r="B202" s="1259" t="s">
        <v>807</v>
      </c>
      <c r="C202" s="1257" t="s">
        <v>521</v>
      </c>
      <c r="D202" s="1257" t="s">
        <v>307</v>
      </c>
      <c r="E202" s="954">
        <v>43500</v>
      </c>
      <c r="F202" s="1191">
        <v>0</v>
      </c>
      <c r="G202" s="954">
        <v>43500</v>
      </c>
      <c r="H202" s="954">
        <v>1248.45</v>
      </c>
      <c r="I202" s="1191">
        <v>648.66</v>
      </c>
      <c r="J202" s="954">
        <v>1322.4</v>
      </c>
      <c r="K202" s="954">
        <v>1944.78</v>
      </c>
      <c r="L202" s="954">
        <f>+H202+I202+J202+K202</f>
        <v>5164.29</v>
      </c>
      <c r="M202" s="954">
        <f t="shared" si="29"/>
        <v>38335.71</v>
      </c>
    </row>
    <row r="203" spans="1:13" s="1577" customFormat="1" ht="18.75" x14ac:dyDescent="0.3">
      <c r="A203" s="1027" t="s">
        <v>1717</v>
      </c>
      <c r="B203" s="950" t="s">
        <v>806</v>
      </c>
      <c r="C203" s="1579" t="s">
        <v>1844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4">
        <v>1322.4</v>
      </c>
      <c r="K203" s="954">
        <v>25</v>
      </c>
      <c r="L203" s="1032">
        <v>3532.4700000000003</v>
      </c>
      <c r="M203" s="1032">
        <v>39967.53</v>
      </c>
    </row>
    <row r="204" spans="1:13" s="1577" customFormat="1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4">
        <v>1322.4</v>
      </c>
      <c r="K204" s="954">
        <v>25</v>
      </c>
      <c r="L204" s="1032">
        <f>+H204+I204+J204+K204</f>
        <v>3532.4700000000003</v>
      </c>
      <c r="M204" s="1032">
        <f t="shared" ref="M204:M209" si="30">+G204-L204</f>
        <v>39967.53</v>
      </c>
    </row>
    <row r="205" spans="1:13" s="1577" customFormat="1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4">
        <v>760</v>
      </c>
      <c r="K205" s="954">
        <v>25</v>
      </c>
      <c r="L205" s="1032">
        <f>+H205+I205+J205+K205</f>
        <v>1502.5</v>
      </c>
      <c r="M205" s="1032">
        <f t="shared" si="30"/>
        <v>23497.5</v>
      </c>
    </row>
    <row r="206" spans="1:13" s="1577" customFormat="1" ht="18.75" x14ac:dyDescent="0.3">
      <c r="A206" s="955" t="s">
        <v>1722</v>
      </c>
      <c r="B206" s="950" t="s">
        <v>1151</v>
      </c>
      <c r="C206" s="960" t="s">
        <v>105</v>
      </c>
      <c r="D206" s="960" t="s">
        <v>1067</v>
      </c>
      <c r="E206" s="951">
        <v>25000</v>
      </c>
      <c r="F206" s="952">
        <v>0</v>
      </c>
      <c r="G206" s="953">
        <v>25000</v>
      </c>
      <c r="H206" s="951">
        <v>717.5</v>
      </c>
      <c r="I206" s="974">
        <v>0</v>
      </c>
      <c r="J206" s="954">
        <v>760</v>
      </c>
      <c r="K206" s="954">
        <v>25</v>
      </c>
      <c r="L206" s="951">
        <f>+H206+I206+J206+K206</f>
        <v>1502.5</v>
      </c>
      <c r="M206" s="953">
        <f t="shared" si="30"/>
        <v>23497.5</v>
      </c>
    </row>
    <row r="207" spans="1:13" s="1577" customFormat="1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4">
        <v>912</v>
      </c>
      <c r="K207" s="954">
        <v>25</v>
      </c>
      <c r="L207" s="1032">
        <f>+H207+I207+J207+K207</f>
        <v>1798</v>
      </c>
      <c r="M207" s="1032">
        <f t="shared" si="30"/>
        <v>28202</v>
      </c>
    </row>
    <row r="208" spans="1:13" s="1577" customFormat="1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4">
        <v>912</v>
      </c>
      <c r="K208" s="954">
        <v>25</v>
      </c>
      <c r="L208" s="1032">
        <f>+H208+I208+J208+K208</f>
        <v>1798</v>
      </c>
      <c r="M208" s="1032">
        <f t="shared" si="30"/>
        <v>28202</v>
      </c>
    </row>
    <row r="209" spans="1:13" s="1576" customFormat="1" ht="18.75" x14ac:dyDescent="0.3">
      <c r="A209" s="1583" t="s">
        <v>1729</v>
      </c>
      <c r="B209" s="1256" t="s">
        <v>806</v>
      </c>
      <c r="C209" s="1584" t="s">
        <v>92</v>
      </c>
      <c r="D209" s="1257" t="s">
        <v>1067</v>
      </c>
      <c r="E209" s="954">
        <v>30000</v>
      </c>
      <c r="F209" s="1191">
        <v>0</v>
      </c>
      <c r="G209" s="1198">
        <v>30000</v>
      </c>
      <c r="H209" s="954">
        <v>861</v>
      </c>
      <c r="I209" s="1197">
        <v>0</v>
      </c>
      <c r="J209" s="954">
        <v>912</v>
      </c>
      <c r="K209" s="954">
        <v>1944.78</v>
      </c>
      <c r="L209" s="1198">
        <f>SUM(H209:K209)</f>
        <v>3717.7799999999997</v>
      </c>
      <c r="M209" s="1198">
        <f t="shared" si="30"/>
        <v>26282.22</v>
      </c>
    </row>
    <row r="210" spans="1:13" s="1577" customFormat="1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1">SUM(G196:G209)</f>
        <v>745500</v>
      </c>
      <c r="H210" s="963">
        <f t="shared" si="31"/>
        <v>21395.850000000002</v>
      </c>
      <c r="I210" s="963">
        <f t="shared" si="31"/>
        <v>46566.240000000005</v>
      </c>
      <c r="J210" s="966">
        <f t="shared" si="31"/>
        <v>22663.200000000001</v>
      </c>
      <c r="K210" s="966">
        <f>SUM(K196:K209)</f>
        <v>8029.12</v>
      </c>
      <c r="L210" s="963">
        <f t="shared" si="31"/>
        <v>98654.409999999989</v>
      </c>
      <c r="M210" s="963">
        <f t="shared" si="31"/>
        <v>646845.59000000008</v>
      </c>
    </row>
    <row r="211" spans="1:13" s="1577" customFormat="1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6"/>
      <c r="K211" s="966"/>
      <c r="L211" s="963"/>
      <c r="M211" s="963"/>
    </row>
    <row r="212" spans="1:13" s="1577" customFormat="1" ht="36" customHeight="1" x14ac:dyDescent="0.3">
      <c r="A212" s="1273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6"/>
      <c r="K212" s="966"/>
      <c r="L212" s="963"/>
      <c r="M212" s="965"/>
    </row>
    <row r="213" spans="1:13" s="1577" customFormat="1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4">
        <v>3648</v>
      </c>
      <c r="K213" s="954">
        <v>25</v>
      </c>
      <c r="L213" s="1032">
        <f>+H213+I213+J213+K213</f>
        <v>23926.87</v>
      </c>
      <c r="M213" s="1031">
        <f>+G213-L213</f>
        <v>96073.13</v>
      </c>
    </row>
    <row r="214" spans="1:13" s="1577" customFormat="1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6482.36</v>
      </c>
      <c r="J214" s="954">
        <v>2432</v>
      </c>
      <c r="K214" s="954">
        <v>4567.5600000000004</v>
      </c>
      <c r="L214" s="1032">
        <f>+H214+I214+J214+K214</f>
        <v>15777.920000000002</v>
      </c>
      <c r="M214" s="1031">
        <f>+G214-L214</f>
        <v>64222.080000000002</v>
      </c>
    </row>
    <row r="215" spans="1:13" s="1577" customFormat="1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4">
        <v>1140</v>
      </c>
      <c r="K215" s="954">
        <v>25</v>
      </c>
      <c r="L215" s="1032">
        <f>+H215+I215+J215+K215</f>
        <v>2331.06</v>
      </c>
      <c r="M215" s="1032">
        <f>+G215-L215</f>
        <v>35168.94</v>
      </c>
    </row>
    <row r="216" spans="1:13" s="1577" customFormat="1" ht="18" customHeight="1" x14ac:dyDescent="0.3">
      <c r="A216" s="1027" t="s">
        <v>1716</v>
      </c>
      <c r="B216" s="950" t="s">
        <v>806</v>
      </c>
      <c r="C216" s="1579" t="s">
        <v>1844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4">
        <v>1322.4</v>
      </c>
      <c r="K216" s="954">
        <v>25</v>
      </c>
      <c r="L216" s="1032">
        <v>3532.4700000000003</v>
      </c>
      <c r="M216" s="1032">
        <v>39967.53</v>
      </c>
    </row>
    <row r="217" spans="1:13" s="1577" customFormat="1" ht="18.75" x14ac:dyDescent="0.3">
      <c r="A217" s="1027" t="s">
        <v>698</v>
      </c>
      <c r="B217" s="950" t="s">
        <v>807</v>
      </c>
      <c r="C217" s="1024" t="s">
        <v>105</v>
      </c>
      <c r="D217" s="960" t="s">
        <v>1067</v>
      </c>
      <c r="E217" s="951">
        <v>25000</v>
      </c>
      <c r="F217" s="974">
        <v>0</v>
      </c>
      <c r="G217" s="1032">
        <v>25000</v>
      </c>
      <c r="H217" s="951">
        <v>717.5</v>
      </c>
      <c r="I217" s="1036">
        <v>0</v>
      </c>
      <c r="J217" s="954">
        <v>760</v>
      </c>
      <c r="K217" s="954">
        <v>25</v>
      </c>
      <c r="L217" s="1032">
        <f>+H217+I217+J217+K217</f>
        <v>1502.5</v>
      </c>
      <c r="M217" s="1032">
        <f>+G217-L217</f>
        <v>23497.5</v>
      </c>
    </row>
    <row r="218" spans="1:13" s="1577" customFormat="1" ht="18.75" x14ac:dyDescent="0.3">
      <c r="A218" s="1027" t="s">
        <v>1725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4">
        <v>912</v>
      </c>
      <c r="K218" s="954">
        <v>2134</v>
      </c>
      <c r="L218" s="1032">
        <f>+H218+I218+J218+K218</f>
        <v>3907</v>
      </c>
      <c r="M218" s="1032">
        <f>+G218-L218</f>
        <v>26093</v>
      </c>
    </row>
    <row r="219" spans="1:13" s="1577" customFormat="1" ht="17.25" customHeight="1" x14ac:dyDescent="0.3">
      <c r="A219" s="1027" t="s">
        <v>1727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4">
        <v>912</v>
      </c>
      <c r="K219" s="954">
        <v>25</v>
      </c>
      <c r="L219" s="1032">
        <f>+H219+I219+J219+K219</f>
        <v>1798</v>
      </c>
      <c r="M219" s="1032">
        <f>+G219-L219</f>
        <v>28202</v>
      </c>
    </row>
    <row r="220" spans="1:13" s="1577" customFormat="1" ht="18.75" x14ac:dyDescent="0.3">
      <c r="A220" s="1027" t="s">
        <v>1730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4">
        <v>912</v>
      </c>
      <c r="K220" s="954">
        <v>25</v>
      </c>
      <c r="L220" s="1032">
        <v>1798</v>
      </c>
      <c r="M220" s="1032">
        <f>+G220-L220</f>
        <v>28202</v>
      </c>
    </row>
    <row r="221" spans="1:13" s="1577" customFormat="1" ht="18.75" x14ac:dyDescent="0.3">
      <c r="A221" s="961" t="s">
        <v>847</v>
      </c>
      <c r="B221" s="950"/>
      <c r="C221" s="962">
        <v>8</v>
      </c>
      <c r="D221" s="960"/>
      <c r="E221" s="963">
        <f>SUM(E213:E220)</f>
        <v>396000</v>
      </c>
      <c r="F221" s="964">
        <v>0</v>
      </c>
      <c r="G221" s="963">
        <f t="shared" ref="G221:M221" si="32">SUM(G213:G220)</f>
        <v>396000</v>
      </c>
      <c r="H221" s="963">
        <f t="shared" si="32"/>
        <v>11365.2</v>
      </c>
      <c r="I221" s="963">
        <f t="shared" si="32"/>
        <v>24318.66</v>
      </c>
      <c r="J221" s="966">
        <f t="shared" si="32"/>
        <v>12038.4</v>
      </c>
      <c r="K221" s="966">
        <f t="shared" si="32"/>
        <v>6851.56</v>
      </c>
      <c r="L221" s="963">
        <f t="shared" si="32"/>
        <v>54573.82</v>
      </c>
      <c r="M221" s="963">
        <f t="shared" si="32"/>
        <v>341426.18000000005</v>
      </c>
    </row>
    <row r="222" spans="1:13" s="1577" customFormat="1" ht="18.75" x14ac:dyDescent="0.3">
      <c r="A222" s="961"/>
      <c r="B222" s="950"/>
      <c r="C222" s="962"/>
      <c r="D222" s="960"/>
      <c r="F222" s="974"/>
      <c r="G222" s="1032"/>
      <c r="H222" s="951"/>
      <c r="I222" s="1036"/>
      <c r="J222" s="954"/>
      <c r="K222" s="954"/>
      <c r="L222" s="1032"/>
      <c r="M222" s="1032"/>
    </row>
    <row r="223" spans="1:13" s="1577" customFormat="1" ht="37.5" x14ac:dyDescent="0.3">
      <c r="A223" s="1273" t="s">
        <v>1846</v>
      </c>
      <c r="B223" s="950"/>
      <c r="C223" s="1026"/>
      <c r="D223" s="960"/>
      <c r="E223" s="951"/>
      <c r="F223" s="974"/>
      <c r="G223" s="1032"/>
      <c r="H223" s="951"/>
      <c r="I223" s="1036"/>
      <c r="J223" s="954"/>
      <c r="K223" s="954"/>
      <c r="L223" s="1032"/>
      <c r="M223" s="1032"/>
    </row>
    <row r="224" spans="1:13" s="1577" customFormat="1" ht="18.75" x14ac:dyDescent="0.3">
      <c r="A224" s="1027" t="s">
        <v>1712</v>
      </c>
      <c r="B224" s="950" t="s">
        <v>807</v>
      </c>
      <c r="C224" s="1024" t="s">
        <v>276</v>
      </c>
      <c r="D224" s="960" t="s">
        <v>307</v>
      </c>
      <c r="E224" s="951">
        <v>37500</v>
      </c>
      <c r="F224" s="974">
        <v>0</v>
      </c>
      <c r="G224" s="1032">
        <v>37500</v>
      </c>
      <c r="H224" s="951">
        <v>1076.25</v>
      </c>
      <c r="I224" s="1036">
        <v>89.81</v>
      </c>
      <c r="J224" s="954">
        <v>1140</v>
      </c>
      <c r="K224" s="954">
        <v>25</v>
      </c>
      <c r="L224" s="1032">
        <f>+H224+I224+J224+K224</f>
        <v>2331.06</v>
      </c>
      <c r="M224" s="1032">
        <f>+G224-L224</f>
        <v>35168.94</v>
      </c>
    </row>
    <row r="225" spans="1:13" s="1577" customFormat="1" ht="18.75" x14ac:dyDescent="0.3">
      <c r="A225" s="1027" t="s">
        <v>1715</v>
      </c>
      <c r="B225" s="950" t="s">
        <v>806</v>
      </c>
      <c r="C225" s="1579" t="s">
        <v>1844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036">
        <v>936.62</v>
      </c>
      <c r="J225" s="954">
        <v>1322.4</v>
      </c>
      <c r="K225" s="954">
        <v>25</v>
      </c>
      <c r="L225" s="1032">
        <f>+H225+I225+J225+K225</f>
        <v>3532.4700000000003</v>
      </c>
      <c r="M225" s="1032">
        <f>+G225-L225</f>
        <v>39967.53</v>
      </c>
    </row>
    <row r="226" spans="1:13" s="1577" customFormat="1" ht="18.75" x14ac:dyDescent="0.3">
      <c r="A226" s="1027" t="s">
        <v>1336</v>
      </c>
      <c r="B226" s="950" t="s">
        <v>806</v>
      </c>
      <c r="C226" s="1579" t="s">
        <v>1844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4">
        <v>1322.4</v>
      </c>
      <c r="K226" s="954">
        <v>25</v>
      </c>
      <c r="L226" s="1032">
        <v>3532.4700000000003</v>
      </c>
      <c r="M226" s="1032">
        <v>39967.53</v>
      </c>
    </row>
    <row r="227" spans="1:13" s="1577" customFormat="1" ht="18.75" x14ac:dyDescent="0.3">
      <c r="A227" s="1027" t="s">
        <v>1719</v>
      </c>
      <c r="B227" s="999" t="s">
        <v>807</v>
      </c>
      <c r="C227" s="1024" t="s">
        <v>105</v>
      </c>
      <c r="D227" s="960" t="s">
        <v>1067</v>
      </c>
      <c r="E227" s="951">
        <v>25000</v>
      </c>
      <c r="F227" s="974">
        <v>0</v>
      </c>
      <c r="G227" s="1032">
        <v>25000</v>
      </c>
      <c r="H227" s="951">
        <v>717.5</v>
      </c>
      <c r="I227" s="1036">
        <v>0</v>
      </c>
      <c r="J227" s="954">
        <v>760</v>
      </c>
      <c r="K227" s="954">
        <v>25</v>
      </c>
      <c r="L227" s="1032">
        <f>+H227+I227+J227+K227</f>
        <v>1502.5</v>
      </c>
      <c r="M227" s="1032">
        <f>+G227-L227</f>
        <v>23497.5</v>
      </c>
    </row>
    <row r="228" spans="1:13" s="1577" customFormat="1" ht="18.75" x14ac:dyDescent="0.3">
      <c r="A228" s="1027" t="s">
        <v>1726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4">
        <v>912</v>
      </c>
      <c r="K228" s="954">
        <v>25</v>
      </c>
      <c r="L228" s="1032">
        <f>+H228+I228+J228+K228</f>
        <v>1798</v>
      </c>
      <c r="M228" s="1032">
        <f>+G228-L228</f>
        <v>28202</v>
      </c>
    </row>
    <row r="229" spans="1:13" s="1577" customFormat="1" ht="18.75" x14ac:dyDescent="0.3">
      <c r="A229" s="1027" t="s">
        <v>1728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4">
        <v>912</v>
      </c>
      <c r="K229" s="954">
        <v>25</v>
      </c>
      <c r="L229" s="1032">
        <v>1798</v>
      </c>
      <c r="M229" s="1032">
        <f>+G229-L229</f>
        <v>28202</v>
      </c>
    </row>
    <row r="230" spans="1:13" s="1577" customFormat="1" ht="18.75" x14ac:dyDescent="0.3">
      <c r="A230" s="1027" t="s">
        <v>1731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4">
        <v>912</v>
      </c>
      <c r="K230" s="954">
        <v>25</v>
      </c>
      <c r="L230" s="1032">
        <v>1798</v>
      </c>
      <c r="M230" s="1032">
        <f>+G230-L230</f>
        <v>28202</v>
      </c>
    </row>
    <row r="231" spans="1:13" s="1577" customFormat="1" ht="18.75" x14ac:dyDescent="0.3">
      <c r="A231" s="961" t="s">
        <v>847</v>
      </c>
      <c r="B231" s="950"/>
      <c r="C231" s="962">
        <v>7</v>
      </c>
      <c r="D231" s="960"/>
      <c r="E231" s="963">
        <f>SUM(E224:E230)</f>
        <v>239500</v>
      </c>
      <c r="F231" s="964">
        <v>0</v>
      </c>
      <c r="G231" s="963">
        <f t="shared" ref="G231:M231" si="33">SUM(G224:G230)</f>
        <v>239500</v>
      </c>
      <c r="H231" s="963">
        <f t="shared" si="33"/>
        <v>6873.65</v>
      </c>
      <c r="I231" s="963">
        <f t="shared" si="33"/>
        <v>1963.0500000000002</v>
      </c>
      <c r="J231" s="966">
        <f t="shared" si="33"/>
        <v>7280.8</v>
      </c>
      <c r="K231" s="966">
        <f>SUM(K224:K230)</f>
        <v>175</v>
      </c>
      <c r="L231" s="963">
        <f t="shared" si="33"/>
        <v>16292.5</v>
      </c>
      <c r="M231" s="963">
        <f t="shared" si="33"/>
        <v>223207.5</v>
      </c>
    </row>
    <row r="232" spans="1:13" s="1577" customFormat="1" ht="18.75" x14ac:dyDescent="0.3">
      <c r="A232" s="961"/>
      <c r="B232" s="950"/>
      <c r="C232" s="962"/>
      <c r="D232" s="960"/>
      <c r="E232" s="951"/>
      <c r="F232" s="974"/>
      <c r="G232" s="1032"/>
      <c r="H232" s="951"/>
      <c r="I232" s="1036"/>
      <c r="J232" s="954"/>
      <c r="K232" s="954"/>
      <c r="L232" s="1032"/>
      <c r="M232" s="1032"/>
    </row>
    <row r="233" spans="1:13" s="1577" customFormat="1" ht="41.25" customHeight="1" x14ac:dyDescent="0.3">
      <c r="A233" s="1273" t="s">
        <v>1776</v>
      </c>
      <c r="B233" s="950"/>
      <c r="C233" s="1026"/>
      <c r="D233" s="960"/>
      <c r="E233" s="951"/>
      <c r="F233" s="974"/>
      <c r="G233" s="1032"/>
      <c r="H233" s="951"/>
      <c r="I233" s="1036"/>
      <c r="J233" s="954"/>
      <c r="K233" s="954"/>
      <c r="L233" s="1032"/>
      <c r="M233" s="1032"/>
    </row>
    <row r="234" spans="1:13" s="1577" customFormat="1" ht="18.75" x14ac:dyDescent="0.3">
      <c r="A234" s="1027" t="s">
        <v>1711</v>
      </c>
      <c r="B234" s="950" t="s">
        <v>807</v>
      </c>
      <c r="C234" s="1024" t="s">
        <v>521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036">
        <v>89.81</v>
      </c>
      <c r="J234" s="954">
        <v>1140</v>
      </c>
      <c r="K234" s="954">
        <v>25</v>
      </c>
      <c r="L234" s="1032">
        <f>+H234+I234+J234+K234</f>
        <v>2331.06</v>
      </c>
      <c r="M234" s="1032">
        <f t="shared" ref="M234:M240" si="34">+G234-L234</f>
        <v>35168.94</v>
      </c>
    </row>
    <row r="235" spans="1:13" s="1577" customFormat="1" ht="18.75" x14ac:dyDescent="0.3">
      <c r="A235" s="1027" t="s">
        <v>1714</v>
      </c>
      <c r="B235" s="950" t="s">
        <v>807</v>
      </c>
      <c r="C235" s="1024" t="s">
        <v>276</v>
      </c>
      <c r="D235" s="960" t="s">
        <v>307</v>
      </c>
      <c r="E235" s="951">
        <v>43500</v>
      </c>
      <c r="F235" s="974">
        <v>0</v>
      </c>
      <c r="G235" s="1032">
        <v>43500</v>
      </c>
      <c r="H235" s="951">
        <v>1248.45</v>
      </c>
      <c r="I235" s="1036">
        <v>936.62</v>
      </c>
      <c r="J235" s="954">
        <v>1322.4</v>
      </c>
      <c r="K235" s="954">
        <v>25</v>
      </c>
      <c r="L235" s="1032">
        <f>+H235+I235+J235+K235</f>
        <v>3532.4700000000003</v>
      </c>
      <c r="M235" s="1032">
        <f t="shared" si="34"/>
        <v>39967.53</v>
      </c>
    </row>
    <row r="236" spans="1:13" s="1577" customFormat="1" ht="18.75" x14ac:dyDescent="0.3">
      <c r="A236" s="1027" t="s">
        <v>1440</v>
      </c>
      <c r="B236" s="950" t="s">
        <v>807</v>
      </c>
      <c r="C236" s="1024" t="s">
        <v>276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4">
        <v>1140</v>
      </c>
      <c r="K236" s="954">
        <v>25</v>
      </c>
      <c r="L236" s="1032">
        <v>2331.06</v>
      </c>
      <c r="M236" s="1032">
        <f t="shared" si="34"/>
        <v>35168.94</v>
      </c>
    </row>
    <row r="237" spans="1:13" s="1577" customFormat="1" ht="18.75" x14ac:dyDescent="0.3">
      <c r="A237" s="1027" t="s">
        <v>1847</v>
      </c>
      <c r="B237" s="950" t="s">
        <v>806</v>
      </c>
      <c r="C237" s="1024" t="s">
        <v>551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4">
        <v>1322.4</v>
      </c>
      <c r="K237" s="954">
        <v>25</v>
      </c>
      <c r="L237" s="1032">
        <f>+H237+I237+J237+K237</f>
        <v>3532.4700000000003</v>
      </c>
      <c r="M237" s="1032">
        <f>+G237-L237</f>
        <v>39967.53</v>
      </c>
    </row>
    <row r="238" spans="1:13" s="1577" customFormat="1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4">
        <v>760</v>
      </c>
      <c r="K238" s="954">
        <v>25</v>
      </c>
      <c r="L238" s="1032">
        <f>+H238+I238+J238+K238</f>
        <v>1502.5</v>
      </c>
      <c r="M238" s="1032">
        <f t="shared" si="34"/>
        <v>23497.5</v>
      </c>
    </row>
    <row r="239" spans="1:13" s="1577" customFormat="1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4">
        <v>912</v>
      </c>
      <c r="K239" s="954">
        <v>25</v>
      </c>
      <c r="L239" s="1032">
        <f>+H239+I239+J239+K239</f>
        <v>1798</v>
      </c>
      <c r="M239" s="1032">
        <f t="shared" si="34"/>
        <v>28202</v>
      </c>
    </row>
    <row r="240" spans="1:13" s="1577" customFormat="1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4">
        <v>912</v>
      </c>
      <c r="K240" s="954">
        <v>25</v>
      </c>
      <c r="L240" s="1032">
        <f>+H240+I240+J240+K240</f>
        <v>1798</v>
      </c>
      <c r="M240" s="1032">
        <f t="shared" si="34"/>
        <v>28202</v>
      </c>
    </row>
    <row r="241" spans="1:13" s="1577" customFormat="1" ht="18.75" x14ac:dyDescent="0.3">
      <c r="A241" s="961" t="s">
        <v>847</v>
      </c>
      <c r="B241" s="950"/>
      <c r="C241" s="962">
        <v>7</v>
      </c>
      <c r="D241" s="960"/>
      <c r="E241" s="963">
        <f>SUM(E234:E240)</f>
        <v>247000</v>
      </c>
      <c r="F241" s="1071">
        <v>0</v>
      </c>
      <c r="G241" s="963">
        <f t="shared" ref="G241:M241" si="35">SUM(G234:G240)</f>
        <v>247000</v>
      </c>
      <c r="H241" s="963">
        <f t="shared" si="35"/>
        <v>7088.9</v>
      </c>
      <c r="I241" s="963">
        <f t="shared" si="35"/>
        <v>2052.86</v>
      </c>
      <c r="J241" s="966">
        <f t="shared" si="35"/>
        <v>7508.8</v>
      </c>
      <c r="K241" s="966">
        <f>SUM(K234:K240)</f>
        <v>175</v>
      </c>
      <c r="L241" s="963">
        <f t="shared" si="35"/>
        <v>16825.560000000001</v>
      </c>
      <c r="M241" s="963">
        <f t="shared" si="35"/>
        <v>230174.44</v>
      </c>
    </row>
    <row r="242" spans="1:13" s="1577" customFormat="1" ht="18.75" x14ac:dyDescent="0.3">
      <c r="A242" s="961"/>
      <c r="B242" s="950"/>
      <c r="C242" s="962"/>
      <c r="D242" s="960"/>
      <c r="E242" s="963">
        <f>+E210+E221+E231+E241</f>
        <v>1628000</v>
      </c>
      <c r="F242" s="964">
        <v>0</v>
      </c>
      <c r="G242" s="963">
        <f t="shared" ref="G242:M242" si="36">+G210+G221+G231+G241</f>
        <v>1628000</v>
      </c>
      <c r="H242" s="963">
        <f t="shared" si="36"/>
        <v>46723.600000000006</v>
      </c>
      <c r="I242" s="963">
        <f t="shared" si="36"/>
        <v>74900.810000000012</v>
      </c>
      <c r="J242" s="966">
        <f t="shared" si="36"/>
        <v>49491.200000000004</v>
      </c>
      <c r="K242" s="966">
        <f t="shared" si="36"/>
        <v>15230.68</v>
      </c>
      <c r="L242" s="963">
        <f t="shared" si="36"/>
        <v>186346.28999999998</v>
      </c>
      <c r="M242" s="963">
        <f t="shared" si="36"/>
        <v>1441653.71</v>
      </c>
    </row>
    <row r="243" spans="1:13" s="1577" customFormat="1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6"/>
      <c r="K243" s="966"/>
      <c r="L243" s="963"/>
      <c r="M243" s="965"/>
    </row>
    <row r="244" spans="1:13" s="1577" customFormat="1" ht="27.75" customHeight="1" x14ac:dyDescent="0.3">
      <c r="A244" s="1058" t="s">
        <v>865</v>
      </c>
      <c r="B244" s="1059"/>
      <c r="C244" s="1058">
        <f>+C221+C192+C182+C171+C166+C162+C156+C151+C144+C136+C128+C120+C116+C105++C91+C78+C60+C55+C47+C42+C38+C23+C96+C110+C30+C132+C241+C231+C210+C175+C100</f>
        <v>131</v>
      </c>
      <c r="D244" s="1058"/>
      <c r="E244" s="1076">
        <f>+E23+E30+E38+E42+E47+E55+E60+E78+E91+E96+E105+E110+E116+E120+E128+E132+E136+E144+E151+E156+E162+E166+E171+E175+E182+E192+E210+E221+E231+E241+E100</f>
        <v>6827500</v>
      </c>
      <c r="F244" s="1072">
        <v>0</v>
      </c>
      <c r="G244" s="1076">
        <f t="shared" ref="G244:M244" si="37">+G23+G30+G38+G42+G47+G55+G60+G78+G91+G96+G105+G110+G116+G120+G128+G132+G136+G144+G151+G156+G162+G166+G171+G175+G182+G192+G210+G221+G231+G241+G100</f>
        <v>6827500</v>
      </c>
      <c r="H244" s="1076">
        <f t="shared" si="37"/>
        <v>195949.25</v>
      </c>
      <c r="I244" s="1076">
        <f>+I23+I30+I38+I42+I47+I55+I60+I78+I91+I96+I105+I110+I116+I120+I128+I132+I136+I144+I151+I156+I162+I166+I171+I175+I182+I192+I210+I221+I231+I241+I100</f>
        <v>422768.20999999996</v>
      </c>
      <c r="J244" s="1076">
        <f>+J23+J30+J38+J42+J47+J55+J60+J78+J91+J96+J105+J110+J116+J120+J128+J132+J136+J144+J151+J156+J162+J166+J171+J175+J182+J192+J210+J221+J231+J241+J100</f>
        <v>206711.78999999995</v>
      </c>
      <c r="K244" s="1076">
        <f t="shared" si="37"/>
        <v>157081.84999999995</v>
      </c>
      <c r="L244" s="1076">
        <f t="shared" si="37"/>
        <v>982511.10000000009</v>
      </c>
      <c r="M244" s="1076">
        <f t="shared" si="37"/>
        <v>5844988.8999999994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71"/>
      <c r="K245" s="271"/>
      <c r="L245" s="1324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22"/>
      <c r="L246" s="1093"/>
      <c r="M246" s="1022"/>
    </row>
    <row r="247" spans="1:13" ht="31.5" x14ac:dyDescent="0.5">
      <c r="A247" s="853"/>
      <c r="B247" s="871"/>
      <c r="C247" s="1575"/>
      <c r="D247" s="853"/>
      <c r="E247" s="1093"/>
      <c r="F247" s="853"/>
      <c r="G247" s="853"/>
      <c r="H247" s="869"/>
      <c r="I247" s="1092"/>
      <c r="J247" s="1022"/>
      <c r="K247" s="1022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22"/>
      <c r="K248" s="1022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22"/>
      <c r="K249" s="1022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22"/>
      <c r="K250" s="1022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25.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31.5" customHeight="1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53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53"/>
      <c r="K259" s="853"/>
      <c r="L259" s="869"/>
      <c r="M259" s="853"/>
    </row>
    <row r="260" spans="1:14" ht="28.5" customHeight="1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53"/>
      <c r="K260" s="853"/>
      <c r="L260" s="869"/>
      <c r="M260" s="853"/>
    </row>
    <row r="261" spans="1:14" ht="15.75" x14ac:dyDescent="0.25">
      <c r="A261" s="873"/>
      <c r="B261" s="874"/>
      <c r="C261" s="873"/>
      <c r="D261" s="873"/>
      <c r="E261" s="875"/>
      <c r="F261" s="873"/>
      <c r="G261" s="873"/>
      <c r="H261" s="1094"/>
      <c r="I261" s="1094"/>
      <c r="J261" s="873"/>
      <c r="K261" s="873"/>
      <c r="L261" s="1094"/>
      <c r="M261" s="873"/>
    </row>
    <row r="262" spans="1:14" ht="15.75" x14ac:dyDescent="0.25">
      <c r="A262" s="873"/>
      <c r="B262" s="871"/>
      <c r="C262" s="873"/>
      <c r="D262" s="873"/>
      <c r="E262" s="875"/>
      <c r="F262" s="873"/>
      <c r="G262" s="873"/>
      <c r="H262" s="1094"/>
      <c r="I262" s="1094"/>
      <c r="J262" s="873"/>
      <c r="K262" s="873"/>
      <c r="L262" s="1094"/>
      <c r="M262" s="873"/>
    </row>
    <row r="263" spans="1:14" ht="15.75" x14ac:dyDescent="0.25">
      <c r="A263" s="871"/>
      <c r="B263" s="871"/>
      <c r="C263" s="871"/>
      <c r="D263" s="871"/>
      <c r="E263" s="876"/>
      <c r="F263" s="877"/>
      <c r="G263" s="878"/>
      <c r="H263" s="1380"/>
      <c r="I263" s="1095"/>
      <c r="J263" s="1200"/>
      <c r="K263" s="1200"/>
      <c r="L263" s="1095"/>
      <c r="M263" s="880"/>
    </row>
    <row r="264" spans="1:14" ht="15.75" x14ac:dyDescent="0.25">
      <c r="A264" s="1884" t="s">
        <v>1271</v>
      </c>
      <c r="B264" s="1884"/>
      <c r="C264" s="874"/>
      <c r="D264" s="874"/>
      <c r="E264" s="875"/>
      <c r="F264" s="873"/>
      <c r="G264" s="873"/>
      <c r="H264" s="1869" t="s">
        <v>852</v>
      </c>
      <c r="I264" s="1869"/>
      <c r="J264" s="1869"/>
      <c r="K264" s="1869"/>
      <c r="L264" s="1869"/>
      <c r="M264" s="1869"/>
    </row>
    <row r="265" spans="1:14" ht="15.75" x14ac:dyDescent="0.25">
      <c r="A265" s="930" t="s">
        <v>1376</v>
      </c>
      <c r="B265" s="871"/>
      <c r="C265" s="871"/>
      <c r="D265" s="871"/>
      <c r="E265" s="875"/>
      <c r="F265" s="873"/>
      <c r="H265" s="520"/>
      <c r="I265" s="1792" t="s">
        <v>1504</v>
      </c>
      <c r="J265" s="1792"/>
      <c r="K265" s="1863"/>
      <c r="L265" s="1792"/>
      <c r="M265" s="622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308.2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9.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6.7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928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928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928"/>
      <c r="K278" s="928"/>
      <c r="L278" s="519"/>
      <c r="M278" s="928"/>
      <c r="N278" s="537"/>
    </row>
    <row r="279" spans="1:14" ht="15.75" x14ac:dyDescent="0.25">
      <c r="A279" s="874"/>
      <c r="B279" s="851"/>
      <c r="C279" s="874"/>
      <c r="D279" s="874"/>
      <c r="E279" s="883"/>
      <c r="F279" s="874"/>
      <c r="G279" s="884"/>
      <c r="H279" s="1381"/>
      <c r="I279" s="1094"/>
      <c r="J279" s="885"/>
      <c r="K279" s="885"/>
      <c r="L279" s="1096"/>
      <c r="M279" s="885"/>
    </row>
  </sheetData>
  <mergeCells count="20">
    <mergeCell ref="M16:M17"/>
    <mergeCell ref="A264:B264"/>
    <mergeCell ref="H264:M264"/>
    <mergeCell ref="I265:L265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12" bottom="0" header="0.12" footer="0"/>
  <pageSetup paperSize="345" scale="41" fitToHeight="0" orientation="landscape" r:id="rId1"/>
  <rowBreaks count="3" manualBreakCount="3">
    <brk id="77" max="12" man="1"/>
    <brk id="149" max="12" man="1"/>
    <brk id="220" max="12" man="1"/>
  </rowBreaks>
  <drawing r:id="rId2"/>
</worksheet>
</file>

<file path=xl/worksheets/sheet3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314897-9A8E-4891-818A-8F848BE78068}">
  <dimension ref="A1:Q203"/>
  <sheetViews>
    <sheetView tabSelected="1" topLeftCell="B1" zoomScaleNormal="100" zoomScaleSheetLayoutView="89" workbookViewId="0">
      <pane ySplit="11" topLeftCell="A143" activePane="bottomLeft" state="frozen"/>
      <selection pane="bottomLeft" activeCell="B147" sqref="B147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617" t="s">
        <v>1502</v>
      </c>
      <c r="C4" s="1617"/>
      <c r="D4" s="1617"/>
      <c r="E4" s="1617"/>
      <c r="F4" s="1617"/>
      <c r="G4" s="1617"/>
      <c r="H4" s="1617"/>
      <c r="I4" s="1617"/>
      <c r="J4" s="1617"/>
      <c r="K4" s="1617"/>
      <c r="L4" s="1617"/>
      <c r="M4" s="1617"/>
      <c r="N4" s="1617"/>
      <c r="O4" s="1617"/>
      <c r="P4" s="1617"/>
    </row>
    <row r="5" spans="1:16" x14ac:dyDescent="0.25">
      <c r="B5" s="1617" t="s">
        <v>1</v>
      </c>
      <c r="C5" s="1617"/>
      <c r="D5" s="1617"/>
      <c r="E5" s="1617"/>
      <c r="F5" s="1617"/>
      <c r="G5" s="1617"/>
      <c r="H5" s="1617"/>
      <c r="I5" s="1617"/>
      <c r="J5" s="1617"/>
      <c r="K5" s="1617"/>
      <c r="L5" s="1617"/>
      <c r="M5" s="1617"/>
      <c r="N5" s="1617"/>
      <c r="O5" s="1617"/>
      <c r="P5" s="1617"/>
    </row>
    <row r="6" spans="1:16" x14ac:dyDescent="0.25">
      <c r="B6" s="1617" t="s">
        <v>3</v>
      </c>
      <c r="C6" s="1617"/>
      <c r="D6" s="1617"/>
      <c r="E6" s="1617"/>
      <c r="F6" s="1617"/>
      <c r="G6" s="1617"/>
      <c r="H6" s="1617"/>
      <c r="I6" s="1617"/>
      <c r="J6" s="1617"/>
      <c r="K6" s="1617"/>
      <c r="L6" s="1617"/>
      <c r="M6" s="1617"/>
      <c r="N6" s="1617"/>
      <c r="O6" s="1617"/>
      <c r="P6" s="1617"/>
    </row>
    <row r="7" spans="1:16" x14ac:dyDescent="0.25">
      <c r="B7" s="1617" t="s">
        <v>1865</v>
      </c>
      <c r="C7" s="1617"/>
      <c r="D7" s="1617"/>
      <c r="E7" s="1617"/>
      <c r="F7" s="1617"/>
      <c r="G7" s="1617"/>
      <c r="H7" s="1617"/>
      <c r="I7" s="1617"/>
      <c r="J7" s="1617"/>
      <c r="K7" s="1617"/>
      <c r="L7" s="1617"/>
      <c r="M7" s="1617"/>
      <c r="N7" s="1617"/>
      <c r="O7" s="1617"/>
      <c r="P7" s="1617"/>
    </row>
    <row r="8" spans="1:16" x14ac:dyDescent="0.25">
      <c r="B8" s="1618" t="s">
        <v>441</v>
      </c>
      <c r="C8" s="1618"/>
      <c r="D8" s="1618"/>
      <c r="E8" s="1618"/>
      <c r="F8" s="1618"/>
      <c r="G8" s="1618"/>
      <c r="H8" s="1618"/>
      <c r="I8" s="1618"/>
      <c r="J8" s="1618"/>
      <c r="K8" s="1618"/>
      <c r="L8" s="1618"/>
      <c r="M8" s="1618"/>
      <c r="N8" s="1618"/>
      <c r="O8" s="1618"/>
      <c r="P8" s="1618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615" t="s">
        <v>7</v>
      </c>
      <c r="C10" s="1615" t="s">
        <v>937</v>
      </c>
      <c r="D10" s="1616" t="s">
        <v>10</v>
      </c>
      <c r="E10" s="1615" t="s">
        <v>832</v>
      </c>
      <c r="F10" s="1615" t="s">
        <v>834</v>
      </c>
      <c r="G10" s="1615" t="s">
        <v>209</v>
      </c>
      <c r="H10" s="1051" t="s">
        <v>12</v>
      </c>
      <c r="I10" s="1619" t="s">
        <v>13</v>
      </c>
      <c r="J10" s="1620" t="s">
        <v>14</v>
      </c>
      <c r="K10" s="1620" t="s">
        <v>15</v>
      </c>
      <c r="L10" s="1620" t="s">
        <v>16</v>
      </c>
      <c r="M10" s="1621" t="s">
        <v>17</v>
      </c>
      <c r="N10" s="1621" t="s">
        <v>18</v>
      </c>
      <c r="O10" s="1621" t="s">
        <v>19</v>
      </c>
      <c r="P10" s="1620" t="s">
        <v>20</v>
      </c>
    </row>
    <row r="11" spans="1:16" x14ac:dyDescent="0.25">
      <c r="A11" s="1378"/>
      <c r="B11" s="1615"/>
      <c r="C11" s="1615"/>
      <c r="D11" s="1616"/>
      <c r="E11" s="1615"/>
      <c r="F11" s="1615"/>
      <c r="G11" s="1615"/>
      <c r="H11" s="1051" t="s">
        <v>21</v>
      </c>
      <c r="I11" s="1619"/>
      <c r="J11" s="1620"/>
      <c r="K11" s="1620"/>
      <c r="L11" s="1620"/>
      <c r="M11" s="1621"/>
      <c r="N11" s="1621"/>
      <c r="O11" s="1621"/>
      <c r="P11" s="1620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1585" t="s">
        <v>1555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46054</v>
      </c>
      <c r="G23" s="855">
        <v>46204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>SUM(N22:N24)</f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46054</v>
      </c>
      <c r="G28" s="855">
        <v>46204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11903.93</v>
      </c>
      <c r="O31" s="626">
        <f>SUM(K31:N31)</f>
        <v>26976.050000000003</v>
      </c>
      <c r="P31" s="1100">
        <f>+H31-O31</f>
        <v>63023.95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11903.93</v>
      </c>
      <c r="O32" s="695">
        <f>SUM(K32:N32)</f>
        <v>26976.050000000003</v>
      </c>
      <c r="P32" s="1099">
        <f>+H32-O32</f>
        <v>63023.95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1014" t="s">
        <v>1575</v>
      </c>
      <c r="C68" s="569"/>
      <c r="D68" s="492"/>
      <c r="E68" s="465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s="259" customFormat="1" ht="30.75" customHeight="1" x14ac:dyDescent="0.25">
      <c r="B69" s="1251" t="s">
        <v>1582</v>
      </c>
      <c r="C69" s="1252" t="s">
        <v>807</v>
      </c>
      <c r="D69" s="1246" t="s">
        <v>1571</v>
      </c>
      <c r="E69" s="1247" t="s">
        <v>1063</v>
      </c>
      <c r="F69" s="1084">
        <v>46023</v>
      </c>
      <c r="G69" s="1084">
        <v>46174</v>
      </c>
      <c r="H69" s="1100">
        <v>95000</v>
      </c>
      <c r="I69" s="1249">
        <v>0</v>
      </c>
      <c r="J69" s="1100">
        <v>95000</v>
      </c>
      <c r="K69" s="1100">
        <v>2726.5</v>
      </c>
      <c r="L69" s="1103">
        <v>10929.24</v>
      </c>
      <c r="M69" s="1250">
        <v>2888</v>
      </c>
      <c r="N69" s="626">
        <v>18606.330000000002</v>
      </c>
      <c r="O69" s="468">
        <v>35150.07</v>
      </c>
      <c r="P69" s="675">
        <f>+J69-O69</f>
        <v>59849.93</v>
      </c>
    </row>
    <row r="70" spans="2:16" ht="21" customHeight="1" x14ac:dyDescent="0.25">
      <c r="B70" s="453" t="s">
        <v>813</v>
      </c>
      <c r="C70" s="685"/>
      <c r="D70" s="453">
        <v>1</v>
      </c>
      <c r="E70" s="281"/>
      <c r="F70" s="1019"/>
      <c r="G70" s="857"/>
      <c r="H70" s="697">
        <f>SUM(H69)</f>
        <v>95000</v>
      </c>
      <c r="I70" s="1144">
        <f>SUM(I69)</f>
        <v>0</v>
      </c>
      <c r="J70" s="697">
        <f t="shared" ref="J70:P70" si="6">SUM(J69)</f>
        <v>95000</v>
      </c>
      <c r="K70" s="697">
        <f t="shared" si="6"/>
        <v>2726.5</v>
      </c>
      <c r="L70" s="676">
        <f t="shared" si="6"/>
        <v>10929.24</v>
      </c>
      <c r="M70" s="1145">
        <f t="shared" si="6"/>
        <v>2888</v>
      </c>
      <c r="N70" s="697">
        <f>SUM(N69)</f>
        <v>18606.330000000002</v>
      </c>
      <c r="O70" s="697">
        <f t="shared" si="6"/>
        <v>35150.07</v>
      </c>
      <c r="P70" s="697">
        <f t="shared" si="6"/>
        <v>59849.93</v>
      </c>
    </row>
    <row r="71" spans="2:16" ht="21" customHeight="1" x14ac:dyDescent="0.25">
      <c r="B71" s="496"/>
      <c r="C71" s="684"/>
      <c r="D71" s="282"/>
      <c r="E71" s="281"/>
      <c r="F71" s="856"/>
      <c r="G71" s="857"/>
      <c r="H71" s="626"/>
      <c r="I71" s="1111"/>
      <c r="J71" s="457"/>
      <c r="K71" s="457"/>
      <c r="L71" s="457"/>
      <c r="M71" s="1149"/>
      <c r="N71" s="468"/>
      <c r="O71" s="468"/>
      <c r="P71" s="457"/>
    </row>
    <row r="72" spans="2:16" ht="32.25" customHeight="1" x14ac:dyDescent="0.25">
      <c r="B72" s="1014" t="s">
        <v>1136</v>
      </c>
      <c r="C72" s="570"/>
      <c r="D72" s="492"/>
      <c r="E72" s="465"/>
      <c r="F72" s="1019"/>
      <c r="G72" s="857"/>
      <c r="H72" s="695"/>
      <c r="I72" s="1144"/>
      <c r="J72" s="697"/>
      <c r="K72" s="697"/>
      <c r="L72" s="697"/>
      <c r="M72" s="1145"/>
      <c r="N72" s="697"/>
      <c r="O72" s="697"/>
      <c r="P72" s="697"/>
    </row>
    <row r="73" spans="2:16" ht="31.5" customHeight="1" x14ac:dyDescent="0.25">
      <c r="B73" s="153" t="s">
        <v>1583</v>
      </c>
      <c r="C73" s="685" t="s">
        <v>806</v>
      </c>
      <c r="D73" s="749" t="s">
        <v>1572</v>
      </c>
      <c r="E73" s="281" t="s">
        <v>1063</v>
      </c>
      <c r="F73" s="855">
        <v>45992</v>
      </c>
      <c r="G73" s="855">
        <v>46143</v>
      </c>
      <c r="H73" s="626">
        <v>120000</v>
      </c>
      <c r="I73" s="1169">
        <v>0</v>
      </c>
      <c r="J73" s="468">
        <v>120000</v>
      </c>
      <c r="K73" s="468">
        <v>3444</v>
      </c>
      <c r="L73" s="468">
        <v>16809.87</v>
      </c>
      <c r="M73" s="1149">
        <v>3648</v>
      </c>
      <c r="N73" s="468">
        <v>2568.4</v>
      </c>
      <c r="O73" s="468">
        <f>+K73+L73+M73+N73</f>
        <v>26470.27</v>
      </c>
      <c r="P73" s="626">
        <f>+J73-O73</f>
        <v>93529.73</v>
      </c>
    </row>
    <row r="74" spans="2:16" s="259" customFormat="1" ht="21" customHeight="1" x14ac:dyDescent="0.25">
      <c r="B74" s="1251" t="s">
        <v>1750</v>
      </c>
      <c r="C74" s="1252" t="s">
        <v>807</v>
      </c>
      <c r="D74" s="1246" t="s">
        <v>1751</v>
      </c>
      <c r="E74" s="1247" t="s">
        <v>1063</v>
      </c>
      <c r="F74" s="855">
        <v>45992</v>
      </c>
      <c r="G74" s="855">
        <v>46143</v>
      </c>
      <c r="H74" s="1100">
        <v>50000</v>
      </c>
      <c r="I74" s="1249">
        <v>0</v>
      </c>
      <c r="J74" s="1100">
        <v>50000</v>
      </c>
      <c r="K74" s="1100">
        <v>1435</v>
      </c>
      <c r="L74" s="1103">
        <v>1854</v>
      </c>
      <c r="M74" s="1250">
        <v>1520</v>
      </c>
      <c r="N74" s="626">
        <v>25</v>
      </c>
      <c r="O74" s="468">
        <f>+K74+L74+M74+N74</f>
        <v>4834</v>
      </c>
      <c r="P74" s="675">
        <f>+J74-O74</f>
        <v>45166</v>
      </c>
    </row>
    <row r="75" spans="2:16" ht="21" customHeight="1" x14ac:dyDescent="0.25">
      <c r="B75" s="496" t="s">
        <v>1352</v>
      </c>
      <c r="C75" s="684" t="s">
        <v>806</v>
      </c>
      <c r="D75" s="286" t="s">
        <v>1635</v>
      </c>
      <c r="E75" s="281" t="s">
        <v>1063</v>
      </c>
      <c r="F75" s="855">
        <v>45931</v>
      </c>
      <c r="G75" s="855">
        <v>46082</v>
      </c>
      <c r="H75" s="626">
        <v>55000</v>
      </c>
      <c r="I75" s="1111">
        <v>0</v>
      </c>
      <c r="J75" s="457">
        <v>55000</v>
      </c>
      <c r="K75" s="457">
        <v>1578.5</v>
      </c>
      <c r="L75" s="457">
        <v>2559.6799999999998</v>
      </c>
      <c r="M75" s="1149">
        <v>1672</v>
      </c>
      <c r="N75" s="468">
        <v>25</v>
      </c>
      <c r="O75" s="468">
        <v>5835.18</v>
      </c>
      <c r="P75" s="498">
        <f>+J75-O75</f>
        <v>49164.82</v>
      </c>
    </row>
    <row r="76" spans="2:16" ht="21" customHeight="1" x14ac:dyDescent="0.25">
      <c r="B76" s="275" t="s">
        <v>875</v>
      </c>
      <c r="C76" s="1245" t="s">
        <v>807</v>
      </c>
      <c r="D76" s="1246" t="s">
        <v>1784</v>
      </c>
      <c r="E76" s="1247" t="s">
        <v>1063</v>
      </c>
      <c r="F76" s="855">
        <v>45992</v>
      </c>
      <c r="G76" s="855">
        <v>46143</v>
      </c>
      <c r="H76" s="626">
        <v>70000</v>
      </c>
      <c r="I76" s="1169">
        <v>0</v>
      </c>
      <c r="J76" s="626">
        <v>70000</v>
      </c>
      <c r="K76" s="626">
        <v>2009</v>
      </c>
      <c r="L76" s="626">
        <v>5368.48</v>
      </c>
      <c r="M76" s="1149">
        <v>2128</v>
      </c>
      <c r="N76" s="626">
        <v>2517.7399999999998</v>
      </c>
      <c r="O76" s="626">
        <f>SUM(K76:N76)</f>
        <v>12023.22</v>
      </c>
      <c r="P76" s="626">
        <f>+H76-O76</f>
        <v>57976.78</v>
      </c>
    </row>
    <row r="77" spans="2:16" ht="21" customHeight="1" x14ac:dyDescent="0.25">
      <c r="B77" s="466" t="s">
        <v>813</v>
      </c>
      <c r="C77" s="569"/>
      <c r="D77" s="492">
        <v>4</v>
      </c>
      <c r="E77" s="465"/>
      <c r="F77" s="500"/>
      <c r="G77" s="855"/>
      <c r="H77" s="697">
        <f>SUM(H73:H76)</f>
        <v>295000</v>
      </c>
      <c r="I77" s="1144">
        <v>0</v>
      </c>
      <c r="J77" s="697">
        <f t="shared" ref="J77:P77" si="7">SUM(J73:J76)</f>
        <v>295000</v>
      </c>
      <c r="K77" s="697">
        <f t="shared" si="7"/>
        <v>8466.5</v>
      </c>
      <c r="L77" s="676">
        <f t="shared" si="7"/>
        <v>26592.03</v>
      </c>
      <c r="M77" s="697">
        <f t="shared" si="7"/>
        <v>8968</v>
      </c>
      <c r="N77" s="697">
        <f t="shared" si="7"/>
        <v>5136.1399999999994</v>
      </c>
      <c r="O77" s="697">
        <f t="shared" si="7"/>
        <v>49162.67</v>
      </c>
      <c r="P77" s="697">
        <f t="shared" si="7"/>
        <v>245837.33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66" t="s">
        <v>1791</v>
      </c>
      <c r="C79" s="569"/>
      <c r="D79" s="492"/>
      <c r="E79" s="465"/>
      <c r="F79" s="500"/>
      <c r="G79" s="855"/>
      <c r="H79" s="697"/>
      <c r="I79" s="1144"/>
      <c r="J79" s="697"/>
      <c r="K79" s="697"/>
      <c r="L79" s="697"/>
      <c r="M79" s="1145"/>
      <c r="N79" s="697"/>
      <c r="O79" s="697"/>
      <c r="P79" s="697"/>
    </row>
    <row r="80" spans="2:16" ht="21" customHeight="1" x14ac:dyDescent="0.25">
      <c r="B80" s="286" t="s">
        <v>1793</v>
      </c>
      <c r="C80" s="685" t="s">
        <v>807</v>
      </c>
      <c r="D80" s="282" t="s">
        <v>1794</v>
      </c>
      <c r="E80" s="281" t="s">
        <v>1063</v>
      </c>
      <c r="F80" s="855">
        <v>45992</v>
      </c>
      <c r="G80" s="855">
        <v>46143</v>
      </c>
      <c r="H80" s="626">
        <v>120000</v>
      </c>
      <c r="I80" s="1169">
        <v>0</v>
      </c>
      <c r="J80" s="468">
        <v>120000</v>
      </c>
      <c r="K80" s="468">
        <v>3444</v>
      </c>
      <c r="L80" s="468">
        <v>16809.87</v>
      </c>
      <c r="M80" s="1149">
        <v>3648</v>
      </c>
      <c r="N80" s="468">
        <v>25</v>
      </c>
      <c r="O80" s="468">
        <f>SUM(K80:N80)</f>
        <v>23926.87</v>
      </c>
      <c r="P80" s="468">
        <f>+H80-O80</f>
        <v>96073.13</v>
      </c>
    </row>
    <row r="81" spans="2:16" ht="21" customHeight="1" x14ac:dyDescent="0.25">
      <c r="B81" s="466" t="s">
        <v>813</v>
      </c>
      <c r="C81" s="569"/>
      <c r="D81" s="492">
        <v>1</v>
      </c>
      <c r="E81" s="465"/>
      <c r="F81" s="500"/>
      <c r="G81" s="855"/>
      <c r="H81" s="695">
        <v>120000</v>
      </c>
      <c r="I81" s="1144">
        <v>0</v>
      </c>
      <c r="J81" s="697">
        <v>120000</v>
      </c>
      <c r="K81" s="697">
        <v>3444</v>
      </c>
      <c r="L81" s="676">
        <v>16809.87</v>
      </c>
      <c r="M81" s="1145">
        <v>3648</v>
      </c>
      <c r="N81" s="697">
        <v>25</v>
      </c>
      <c r="O81" s="697">
        <f>SUM(K81:N81)</f>
        <v>23926.87</v>
      </c>
      <c r="P81" s="697">
        <f>+H81-O81</f>
        <v>96073.13</v>
      </c>
    </row>
    <row r="82" spans="2:16" ht="21" customHeight="1" x14ac:dyDescent="0.25">
      <c r="B82" s="466"/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453" t="s">
        <v>1515</v>
      </c>
      <c r="C83" s="569"/>
      <c r="D83" s="492"/>
      <c r="E83" s="465"/>
      <c r="F83" s="1019"/>
      <c r="G83" s="857"/>
      <c r="H83" s="695"/>
      <c r="I83" s="1144"/>
      <c r="J83" s="697"/>
      <c r="K83" s="697"/>
      <c r="L83" s="697"/>
      <c r="M83" s="1145"/>
      <c r="N83" s="697"/>
      <c r="O83" s="697"/>
      <c r="P83" s="697"/>
    </row>
    <row r="84" spans="2:16" ht="32.25" customHeight="1" x14ac:dyDescent="0.25">
      <c r="B84" s="280" t="s">
        <v>1584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ref="O84:O89" si="8">+K84+L84+M84+N84</f>
        <v>25398.49</v>
      </c>
      <c r="P84" s="498">
        <f t="shared" ref="P84:P89" si="9">+J84-O84</f>
        <v>99601.51</v>
      </c>
    </row>
    <row r="85" spans="2:16" ht="32.25" customHeight="1" x14ac:dyDescent="0.25">
      <c r="B85" s="280" t="s">
        <v>1585</v>
      </c>
      <c r="C85" s="685" t="s">
        <v>806</v>
      </c>
      <c r="D85" s="282" t="s">
        <v>1357</v>
      </c>
      <c r="E85" s="281" t="s">
        <v>1063</v>
      </c>
      <c r="F85" s="855">
        <v>45931</v>
      </c>
      <c r="G85" s="855">
        <v>45717</v>
      </c>
      <c r="H85" s="626">
        <v>125000</v>
      </c>
      <c r="I85" s="1111">
        <v>0</v>
      </c>
      <c r="J85" s="1038">
        <v>125000</v>
      </c>
      <c r="K85" s="1038">
        <v>3587.5</v>
      </c>
      <c r="L85" s="1037">
        <v>17985.990000000002</v>
      </c>
      <c r="M85" s="1150">
        <v>3800</v>
      </c>
      <c r="N85" s="1038">
        <v>25</v>
      </c>
      <c r="O85" s="468">
        <f t="shared" si="8"/>
        <v>25398.49</v>
      </c>
      <c r="P85" s="498">
        <f t="shared" si="9"/>
        <v>99601.51</v>
      </c>
    </row>
    <row r="86" spans="2:16" ht="32.25" customHeight="1" x14ac:dyDescent="0.25">
      <c r="B86" s="280" t="s">
        <v>1586</v>
      </c>
      <c r="C86" s="685" t="s">
        <v>806</v>
      </c>
      <c r="D86" s="282" t="s">
        <v>1355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si="8"/>
        <v>25398.49</v>
      </c>
      <c r="P86" s="498">
        <f t="shared" si="9"/>
        <v>99601.51</v>
      </c>
    </row>
    <row r="87" spans="2:16" ht="32.25" customHeight="1" x14ac:dyDescent="0.25">
      <c r="B87" s="153" t="s">
        <v>1587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1588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46082</v>
      </c>
      <c r="H88" s="626">
        <v>125000</v>
      </c>
      <c r="I88" s="1169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626">
        <f t="shared" si="9"/>
        <v>99601.51</v>
      </c>
    </row>
    <row r="89" spans="2:16" ht="32.25" customHeight="1" x14ac:dyDescent="0.25">
      <c r="B89" s="280" t="s">
        <v>1589</v>
      </c>
      <c r="C89" s="685" t="s">
        <v>807</v>
      </c>
      <c r="D89" s="282" t="s">
        <v>1357</v>
      </c>
      <c r="E89" s="281" t="s">
        <v>1063</v>
      </c>
      <c r="F89" s="855">
        <v>45931</v>
      </c>
      <c r="G89" s="855">
        <v>46082</v>
      </c>
      <c r="H89" s="626">
        <v>135000</v>
      </c>
      <c r="I89" s="1169">
        <v>0</v>
      </c>
      <c r="J89" s="1038">
        <v>135000</v>
      </c>
      <c r="K89" s="1038">
        <v>3874.5</v>
      </c>
      <c r="L89" s="1038">
        <v>19858.3</v>
      </c>
      <c r="M89" s="1150">
        <v>4104</v>
      </c>
      <c r="N89" s="1038">
        <v>1944.78</v>
      </c>
      <c r="O89" s="468">
        <f t="shared" si="8"/>
        <v>29781.579999999998</v>
      </c>
      <c r="P89" s="626">
        <f t="shared" si="9"/>
        <v>105218.42</v>
      </c>
    </row>
    <row r="90" spans="2:16" ht="33" customHeight="1" x14ac:dyDescent="0.25">
      <c r="B90" s="153" t="s">
        <v>1590</v>
      </c>
      <c r="C90" s="685" t="s">
        <v>807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8">
        <v>17985.990000000002</v>
      </c>
      <c r="M90" s="1150">
        <v>3800</v>
      </c>
      <c r="N90" s="1038">
        <v>25</v>
      </c>
      <c r="O90" s="468">
        <v>25398.49</v>
      </c>
      <c r="P90" s="498">
        <v>99601.51</v>
      </c>
    </row>
    <row r="91" spans="2:16" ht="21" customHeight="1" x14ac:dyDescent="0.25">
      <c r="B91" s="466" t="s">
        <v>813</v>
      </c>
      <c r="C91" s="569"/>
      <c r="D91" s="492">
        <v>7</v>
      </c>
      <c r="E91" s="465"/>
      <c r="F91" s="500"/>
      <c r="G91" s="855"/>
      <c r="H91" s="697">
        <f>SUM(H84:H90)</f>
        <v>885000</v>
      </c>
      <c r="I91" s="1112">
        <v>0</v>
      </c>
      <c r="J91" s="697">
        <f t="shared" ref="J91:P91" si="10">SUM(J84:J90)</f>
        <v>885000</v>
      </c>
      <c r="K91" s="697">
        <f t="shared" si="10"/>
        <v>25399.5</v>
      </c>
      <c r="L91" s="676">
        <f t="shared" si="10"/>
        <v>127774.24000000002</v>
      </c>
      <c r="M91" s="1145">
        <f t="shared" si="10"/>
        <v>26904</v>
      </c>
      <c r="N91" s="697">
        <f t="shared" si="10"/>
        <v>2094.7799999999997</v>
      </c>
      <c r="O91" s="697">
        <f t="shared" si="10"/>
        <v>182172.52</v>
      </c>
      <c r="P91" s="697">
        <f t="shared" si="10"/>
        <v>702827.48</v>
      </c>
    </row>
    <row r="92" spans="2:16" ht="21" customHeight="1" x14ac:dyDescent="0.25">
      <c r="B92" s="466"/>
      <c r="C92" s="569"/>
      <c r="D92" s="492"/>
      <c r="E92" s="465"/>
      <c r="F92" s="500"/>
      <c r="G92" s="855"/>
      <c r="H92" s="697"/>
      <c r="I92" s="1145"/>
      <c r="J92" s="697"/>
      <c r="K92" s="697"/>
      <c r="L92" s="697"/>
      <c r="M92" s="1145"/>
      <c r="N92" s="697"/>
      <c r="O92" s="697"/>
      <c r="P92" s="697"/>
    </row>
    <row r="93" spans="2:16" ht="21" customHeight="1" x14ac:dyDescent="0.25">
      <c r="B93" s="466" t="s">
        <v>821</v>
      </c>
      <c r="C93" s="569"/>
      <c r="D93" s="492"/>
      <c r="E93" s="465"/>
      <c r="F93" s="500"/>
      <c r="G93" s="855"/>
      <c r="H93" s="695"/>
      <c r="I93" s="1144"/>
      <c r="J93" s="697"/>
      <c r="K93" s="697"/>
      <c r="L93" s="697"/>
      <c r="M93" s="1145"/>
      <c r="N93" s="697"/>
      <c r="O93" s="697"/>
      <c r="P93" s="697"/>
    </row>
    <row r="94" spans="2:16" ht="30.75" customHeight="1" x14ac:dyDescent="0.25">
      <c r="B94" s="286" t="s">
        <v>593</v>
      </c>
      <c r="C94" s="685" t="s">
        <v>806</v>
      </c>
      <c r="D94" s="282" t="s">
        <v>1541</v>
      </c>
      <c r="E94" s="281" t="s">
        <v>1063</v>
      </c>
      <c r="F94" s="855">
        <v>45931</v>
      </c>
      <c r="G94" s="855">
        <v>46082</v>
      </c>
      <c r="H94" s="626">
        <v>150000</v>
      </c>
      <c r="I94" s="1169">
        <v>0</v>
      </c>
      <c r="J94" s="468">
        <v>150000</v>
      </c>
      <c r="K94" s="468">
        <v>4305</v>
      </c>
      <c r="L94" s="468">
        <v>23866.62</v>
      </c>
      <c r="M94" s="1149">
        <v>4560</v>
      </c>
      <c r="N94" s="468">
        <v>2568.4</v>
      </c>
      <c r="O94" s="468">
        <v>35300.019999999997</v>
      </c>
      <c r="P94" s="468">
        <f t="shared" ref="P94:P100" si="11">+J94-O94</f>
        <v>114699.98000000001</v>
      </c>
    </row>
    <row r="95" spans="2:16" ht="24.75" customHeight="1" x14ac:dyDescent="0.25">
      <c r="B95" s="286" t="s">
        <v>1591</v>
      </c>
      <c r="C95" s="684" t="s">
        <v>806</v>
      </c>
      <c r="D95" s="282" t="s">
        <v>489</v>
      </c>
      <c r="E95" s="281" t="s">
        <v>1063</v>
      </c>
      <c r="F95" s="855">
        <v>45931</v>
      </c>
      <c r="G95" s="855">
        <v>46082</v>
      </c>
      <c r="H95" s="626">
        <v>70000</v>
      </c>
      <c r="I95" s="1111">
        <v>0</v>
      </c>
      <c r="J95" s="457">
        <v>70000</v>
      </c>
      <c r="K95" s="457">
        <v>2009</v>
      </c>
      <c r="L95" s="457">
        <v>5368.48</v>
      </c>
      <c r="M95" s="1149">
        <v>2128</v>
      </c>
      <c r="N95" s="468">
        <v>25</v>
      </c>
      <c r="O95" s="468">
        <f t="shared" ref="O95:O100" si="12">+K95+L95+M95+N95</f>
        <v>9530.48</v>
      </c>
      <c r="P95" s="457">
        <f t="shared" si="11"/>
        <v>60469.520000000004</v>
      </c>
    </row>
    <row r="96" spans="2:16" ht="24.75" customHeight="1" x14ac:dyDescent="0.25">
      <c r="B96" s="286" t="s">
        <v>1288</v>
      </c>
      <c r="C96" s="685" t="s">
        <v>807</v>
      </c>
      <c r="D96" s="282" t="s">
        <v>417</v>
      </c>
      <c r="E96" s="281" t="s">
        <v>1063</v>
      </c>
      <c r="F96" s="855">
        <v>45931</v>
      </c>
      <c r="G96" s="855">
        <v>46082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2"/>
        <v>9530.48</v>
      </c>
      <c r="P96" s="468">
        <f t="shared" si="11"/>
        <v>60469.520000000004</v>
      </c>
    </row>
    <row r="97" spans="2:16" ht="24.75" customHeight="1" x14ac:dyDescent="0.25">
      <c r="B97" s="286" t="s">
        <v>1496</v>
      </c>
      <c r="C97" s="684" t="s">
        <v>806</v>
      </c>
      <c r="D97" s="282" t="s">
        <v>489</v>
      </c>
      <c r="E97" s="281" t="s">
        <v>1063</v>
      </c>
      <c r="F97" s="855">
        <v>45931</v>
      </c>
      <c r="G97" s="855">
        <v>46082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4984.5200000000004</v>
      </c>
      <c r="M97" s="1149">
        <v>2128</v>
      </c>
      <c r="N97" s="468">
        <v>3944.78</v>
      </c>
      <c r="O97" s="468">
        <f t="shared" si="12"/>
        <v>13066.300000000001</v>
      </c>
      <c r="P97" s="457">
        <f t="shared" si="11"/>
        <v>56933.7</v>
      </c>
    </row>
    <row r="98" spans="2:16" ht="21" customHeight="1" x14ac:dyDescent="0.25">
      <c r="B98" s="153" t="s">
        <v>1599</v>
      </c>
      <c r="C98" s="684" t="s">
        <v>806</v>
      </c>
      <c r="D98" s="282" t="s">
        <v>417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si="12"/>
        <v>9530.48</v>
      </c>
      <c r="P98" s="457">
        <f t="shared" si="11"/>
        <v>60469.520000000004</v>
      </c>
    </row>
    <row r="99" spans="2:16" ht="21" customHeight="1" x14ac:dyDescent="0.25">
      <c r="B99" s="153" t="s">
        <v>1786</v>
      </c>
      <c r="C99" s="684" t="s">
        <v>806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60000</v>
      </c>
      <c r="I99" s="1111">
        <v>0</v>
      </c>
      <c r="J99" s="457">
        <v>60000</v>
      </c>
      <c r="K99" s="457">
        <v>1722</v>
      </c>
      <c r="L99" s="457">
        <v>3486.68</v>
      </c>
      <c r="M99" s="1149">
        <v>1824</v>
      </c>
      <c r="N99" s="468">
        <v>25</v>
      </c>
      <c r="O99" s="468">
        <f t="shared" si="12"/>
        <v>7057.68</v>
      </c>
      <c r="P99" s="457">
        <f t="shared" si="11"/>
        <v>52942.32</v>
      </c>
    </row>
    <row r="100" spans="2:16" ht="21" customHeight="1" x14ac:dyDescent="0.25">
      <c r="B100" s="153" t="s">
        <v>1849</v>
      </c>
      <c r="C100" s="684" t="s">
        <v>806</v>
      </c>
      <c r="D100" s="282" t="s">
        <v>417</v>
      </c>
      <c r="E100" s="281" t="s">
        <v>1063</v>
      </c>
      <c r="F100" s="855">
        <v>45992</v>
      </c>
      <c r="G100" s="855">
        <v>46143</v>
      </c>
      <c r="H100" s="626">
        <v>80000</v>
      </c>
      <c r="I100" s="1111">
        <v>0</v>
      </c>
      <c r="J100" s="457">
        <v>80000</v>
      </c>
      <c r="K100" s="457">
        <v>2296</v>
      </c>
      <c r="L100" s="457">
        <v>7400.87</v>
      </c>
      <c r="M100" s="1149">
        <v>2432</v>
      </c>
      <c r="N100" s="468">
        <v>25</v>
      </c>
      <c r="O100" s="468">
        <f t="shared" si="12"/>
        <v>12153.869999999999</v>
      </c>
      <c r="P100" s="457">
        <f t="shared" si="11"/>
        <v>67846.13</v>
      </c>
    </row>
    <row r="101" spans="2:16" ht="21" customHeight="1" x14ac:dyDescent="0.25">
      <c r="B101" s="466" t="s">
        <v>813</v>
      </c>
      <c r="C101" s="569"/>
      <c r="D101" s="492">
        <v>7</v>
      </c>
      <c r="E101" s="465"/>
      <c r="F101" s="500"/>
      <c r="G101" s="855"/>
      <c r="H101" s="695">
        <f>SUM(H94:H100)</f>
        <v>570000</v>
      </c>
      <c r="I101" s="1112">
        <v>0</v>
      </c>
      <c r="J101" s="695">
        <f t="shared" ref="J101:P101" si="13">SUM(J94:J100)</f>
        <v>570000</v>
      </c>
      <c r="K101" s="695">
        <f t="shared" si="13"/>
        <v>16359</v>
      </c>
      <c r="L101" s="1099">
        <f t="shared" si="13"/>
        <v>55844.130000000005</v>
      </c>
      <c r="M101" s="695">
        <f t="shared" si="13"/>
        <v>17328</v>
      </c>
      <c r="N101" s="695">
        <f t="shared" si="13"/>
        <v>6638.18</v>
      </c>
      <c r="O101" s="695">
        <f t="shared" si="13"/>
        <v>96169.31</v>
      </c>
      <c r="P101" s="695">
        <f t="shared" si="13"/>
        <v>473830.69000000006</v>
      </c>
    </row>
    <row r="102" spans="2:16" ht="21" customHeight="1" x14ac:dyDescent="0.25">
      <c r="B102" s="490"/>
      <c r="C102" s="1223"/>
      <c r="D102" s="492"/>
      <c r="E102" s="465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1542</v>
      </c>
      <c r="C103" s="1223"/>
      <c r="D103" s="492"/>
      <c r="E103" s="1015"/>
      <c r="F103" s="856"/>
      <c r="G103" s="857"/>
      <c r="H103" s="695"/>
      <c r="I103" s="1112"/>
      <c r="J103" s="463"/>
      <c r="K103" s="463"/>
      <c r="L103" s="463"/>
      <c r="M103" s="1145"/>
      <c r="N103" s="697"/>
      <c r="O103" s="697"/>
      <c r="P103" s="463"/>
    </row>
    <row r="104" spans="2:16" ht="21" customHeight="1" x14ac:dyDescent="0.25">
      <c r="B104" s="496" t="s">
        <v>1592</v>
      </c>
      <c r="C104" s="684" t="s">
        <v>807</v>
      </c>
      <c r="D104" s="282" t="s">
        <v>1427</v>
      </c>
      <c r="E104" s="281" t="s">
        <v>1063</v>
      </c>
      <c r="F104" s="855">
        <v>45931</v>
      </c>
      <c r="G104" s="855">
        <v>46082</v>
      </c>
      <c r="H104" s="626">
        <v>185000</v>
      </c>
      <c r="I104" s="1111">
        <v>0</v>
      </c>
      <c r="J104" s="457">
        <v>185000</v>
      </c>
      <c r="K104" s="457">
        <v>5309.5</v>
      </c>
      <c r="L104" s="457">
        <v>32099.49</v>
      </c>
      <c r="M104" s="1149">
        <v>5624</v>
      </c>
      <c r="N104" s="468">
        <v>5010.4799999999996</v>
      </c>
      <c r="O104" s="468">
        <f>+K104+L104+M104+N104</f>
        <v>48043.47</v>
      </c>
      <c r="P104" s="457">
        <f>+J104-O104</f>
        <v>136956.53</v>
      </c>
    </row>
    <row r="105" spans="2:16" ht="21" customHeight="1" x14ac:dyDescent="0.25">
      <c r="B105" s="466" t="s">
        <v>813</v>
      </c>
      <c r="C105" s="569"/>
      <c r="D105" s="492">
        <v>1</v>
      </c>
      <c r="E105" s="1015"/>
      <c r="F105" s="1016"/>
      <c r="G105" s="855"/>
      <c r="H105" s="695">
        <f>+H104</f>
        <v>185000</v>
      </c>
      <c r="I105" s="1144">
        <f t="shared" ref="I105:P105" si="14">SUM(I104)</f>
        <v>0</v>
      </c>
      <c r="J105" s="695">
        <f t="shared" si="14"/>
        <v>185000</v>
      </c>
      <c r="K105" s="695">
        <f t="shared" si="14"/>
        <v>5309.5</v>
      </c>
      <c r="L105" s="1099">
        <f t="shared" si="14"/>
        <v>32099.49</v>
      </c>
      <c r="M105" s="1145">
        <f t="shared" si="14"/>
        <v>5624</v>
      </c>
      <c r="N105" s="695">
        <f>SUM(N104)</f>
        <v>5010.4799999999996</v>
      </c>
      <c r="O105" s="695">
        <f t="shared" si="14"/>
        <v>48043.47</v>
      </c>
      <c r="P105" s="695">
        <f t="shared" si="14"/>
        <v>136956.53</v>
      </c>
    </row>
    <row r="106" spans="2:16" ht="21" customHeight="1" x14ac:dyDescent="0.25">
      <c r="B106" s="490"/>
      <c r="C106" s="1223"/>
      <c r="D106" s="492"/>
      <c r="E106" s="1015"/>
      <c r="F106" s="856"/>
      <c r="G106" s="857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" customHeight="1" x14ac:dyDescent="0.25">
      <c r="B107" s="469" t="s">
        <v>1565</v>
      </c>
      <c r="C107" s="1223"/>
      <c r="D107" s="625"/>
      <c r="E107" s="281"/>
      <c r="F107" s="856"/>
      <c r="G107" s="857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s="259" customFormat="1" ht="21" customHeight="1" x14ac:dyDescent="0.25">
      <c r="B108" s="1251" t="s">
        <v>946</v>
      </c>
      <c r="C108" s="1252" t="s">
        <v>806</v>
      </c>
      <c r="D108" s="1246" t="s">
        <v>945</v>
      </c>
      <c r="E108" s="1247" t="s">
        <v>1063</v>
      </c>
      <c r="F108" s="855">
        <v>45931</v>
      </c>
      <c r="G108" s="855">
        <v>46082</v>
      </c>
      <c r="H108" s="1100">
        <v>65000</v>
      </c>
      <c r="I108" s="1249">
        <v>0</v>
      </c>
      <c r="J108" s="1100">
        <v>65000</v>
      </c>
      <c r="K108" s="1100">
        <v>1865.5</v>
      </c>
      <c r="L108" s="1103">
        <v>4043.62</v>
      </c>
      <c r="M108" s="1250">
        <v>1976</v>
      </c>
      <c r="N108" s="626">
        <v>10233.58</v>
      </c>
      <c r="O108" s="468">
        <f>SUM(K108:N108)</f>
        <v>18118.7</v>
      </c>
      <c r="P108" s="675">
        <f>+J108-O108</f>
        <v>46881.3</v>
      </c>
    </row>
    <row r="109" spans="2:16" ht="21" customHeight="1" x14ac:dyDescent="0.25">
      <c r="B109" s="1384" t="s">
        <v>1697</v>
      </c>
      <c r="C109" s="1322" t="s">
        <v>806</v>
      </c>
      <c r="D109" s="1246" t="s">
        <v>945</v>
      </c>
      <c r="E109" s="1247" t="s">
        <v>1063</v>
      </c>
      <c r="F109" s="855">
        <v>45931</v>
      </c>
      <c r="G109" s="855">
        <v>46082</v>
      </c>
      <c r="H109" s="626">
        <v>70000</v>
      </c>
      <c r="I109" s="1249">
        <v>0</v>
      </c>
      <c r="J109" s="1323">
        <v>70000</v>
      </c>
      <c r="K109" s="1323">
        <v>2009</v>
      </c>
      <c r="L109" s="1323">
        <v>5368.48</v>
      </c>
      <c r="M109" s="1150">
        <v>2128</v>
      </c>
      <c r="N109" s="1323">
        <v>25</v>
      </c>
      <c r="O109" s="1038">
        <f>SUM(K109:N109)</f>
        <v>9530.48</v>
      </c>
      <c r="P109" s="1038">
        <f>+H109-O109</f>
        <v>60469.520000000004</v>
      </c>
    </row>
    <row r="110" spans="2:16" ht="21" customHeight="1" x14ac:dyDescent="0.25">
      <c r="B110" s="460" t="s">
        <v>1593</v>
      </c>
      <c r="C110" s="1226" t="s">
        <v>806</v>
      </c>
      <c r="D110" s="625" t="s">
        <v>1773</v>
      </c>
      <c r="E110" s="281" t="s">
        <v>1063</v>
      </c>
      <c r="F110" s="855">
        <v>45931</v>
      </c>
      <c r="G110" s="855">
        <v>46082</v>
      </c>
      <c r="H110" s="626">
        <v>65000</v>
      </c>
      <c r="I110" s="1169">
        <v>0</v>
      </c>
      <c r="J110" s="626">
        <v>65000</v>
      </c>
      <c r="K110" s="626">
        <v>1865.5</v>
      </c>
      <c r="L110" s="626">
        <v>4427.58</v>
      </c>
      <c r="M110" s="1149">
        <v>1976</v>
      </c>
      <c r="N110" s="626">
        <v>25</v>
      </c>
      <c r="O110" s="468">
        <f>+K110+L110+M110+N110</f>
        <v>8294.08</v>
      </c>
      <c r="P110" s="468">
        <f>+J110-O110</f>
        <v>56705.919999999998</v>
      </c>
    </row>
    <row r="111" spans="2:16" ht="21" customHeight="1" x14ac:dyDescent="0.25">
      <c r="B111" s="466" t="s">
        <v>813</v>
      </c>
      <c r="C111" s="569"/>
      <c r="D111" s="492">
        <v>3</v>
      </c>
      <c r="E111" s="1015"/>
      <c r="F111" s="1016"/>
      <c r="G111" s="860"/>
      <c r="H111" s="695">
        <f>SUM(H108:H110)</f>
        <v>200000</v>
      </c>
      <c r="I111" s="1144">
        <f>SUM(I110)</f>
        <v>0</v>
      </c>
      <c r="J111" s="695">
        <f t="shared" ref="J111:P111" si="15">SUM(J108:J110)</f>
        <v>200000</v>
      </c>
      <c r="K111" s="695">
        <f t="shared" si="15"/>
        <v>5740</v>
      </c>
      <c r="L111" s="1099">
        <f t="shared" si="15"/>
        <v>13839.679999999998</v>
      </c>
      <c r="M111" s="1145">
        <f t="shared" si="15"/>
        <v>6080</v>
      </c>
      <c r="N111" s="695">
        <f t="shared" si="15"/>
        <v>10283.58</v>
      </c>
      <c r="O111" s="695">
        <f t="shared" si="15"/>
        <v>35943.26</v>
      </c>
      <c r="P111" s="695">
        <f t="shared" si="15"/>
        <v>164056.74</v>
      </c>
    </row>
    <row r="112" spans="2:16" ht="21" customHeight="1" x14ac:dyDescent="0.25">
      <c r="B112" s="490"/>
      <c r="C112" s="1223"/>
      <c r="D112" s="492"/>
      <c r="E112" s="1015"/>
      <c r="F112" s="859"/>
      <c r="G112" s="860"/>
      <c r="H112" s="695"/>
      <c r="I112" s="1112"/>
      <c r="J112" s="494"/>
      <c r="K112" s="494"/>
      <c r="L112" s="494"/>
      <c r="M112" s="1145"/>
      <c r="N112" s="695"/>
      <c r="O112" s="695"/>
      <c r="P112" s="494"/>
    </row>
    <row r="113" spans="2:16" ht="21" customHeight="1" x14ac:dyDescent="0.25">
      <c r="B113" s="490" t="s">
        <v>1421</v>
      </c>
      <c r="C113" s="1223"/>
      <c r="D113" s="492"/>
      <c r="E113" s="1015"/>
      <c r="F113" s="859"/>
      <c r="G113" s="860"/>
      <c r="H113" s="695"/>
      <c r="I113" s="1112"/>
      <c r="J113" s="494"/>
      <c r="K113" s="494"/>
      <c r="L113" s="494"/>
      <c r="M113" s="1145"/>
      <c r="N113" s="695"/>
      <c r="O113" s="695"/>
      <c r="P113" s="494"/>
    </row>
    <row r="114" spans="2:16" ht="30.75" customHeight="1" x14ac:dyDescent="0.25">
      <c r="B114" s="153" t="s">
        <v>1594</v>
      </c>
      <c r="C114" s="685" t="s">
        <v>807</v>
      </c>
      <c r="D114" s="282" t="s">
        <v>1422</v>
      </c>
      <c r="E114" s="281" t="s">
        <v>1063</v>
      </c>
      <c r="F114" s="855">
        <v>45931</v>
      </c>
      <c r="G114" s="855">
        <v>46082</v>
      </c>
      <c r="H114" s="626">
        <v>100000</v>
      </c>
      <c r="I114" s="1111">
        <v>0</v>
      </c>
      <c r="J114" s="498">
        <v>100000</v>
      </c>
      <c r="K114" s="498">
        <v>2870</v>
      </c>
      <c r="L114" s="498">
        <v>11625.42</v>
      </c>
      <c r="M114" s="1149">
        <v>3040</v>
      </c>
      <c r="N114" s="626">
        <v>5558.92</v>
      </c>
      <c r="O114" s="468">
        <f>+K114+L114+M114+N114</f>
        <v>23094.339999999997</v>
      </c>
      <c r="P114" s="468">
        <f>+J114-O114</f>
        <v>76905.66</v>
      </c>
    </row>
    <row r="115" spans="2:16" ht="21" customHeight="1" x14ac:dyDescent="0.25">
      <c r="B115" s="466" t="s">
        <v>813</v>
      </c>
      <c r="C115" s="685"/>
      <c r="D115" s="492">
        <v>1</v>
      </c>
      <c r="E115" s="281"/>
      <c r="F115" s="859"/>
      <c r="G115" s="860"/>
      <c r="H115" s="695">
        <v>100000</v>
      </c>
      <c r="I115" s="1112">
        <v>0</v>
      </c>
      <c r="J115" s="494">
        <v>100000</v>
      </c>
      <c r="K115" s="494">
        <v>2870</v>
      </c>
      <c r="L115" s="1099">
        <v>11625.42</v>
      </c>
      <c r="M115" s="1145">
        <v>3040</v>
      </c>
      <c r="N115" s="695">
        <f>SUM(N114)</f>
        <v>5558.92</v>
      </c>
      <c r="O115" s="697">
        <f>SUM(O114)</f>
        <v>23094.339999999997</v>
      </c>
      <c r="P115" s="494">
        <f>SUM(P114)</f>
        <v>76905.66</v>
      </c>
    </row>
    <row r="116" spans="2:16" ht="21" customHeight="1" x14ac:dyDescent="0.25">
      <c r="B116" s="286"/>
      <c r="C116" s="685"/>
      <c r="D116" s="28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28.5" customHeight="1" x14ac:dyDescent="0.25">
      <c r="B117" s="1014" t="s">
        <v>1477</v>
      </c>
      <c r="C117" s="570"/>
      <c r="D117" s="492"/>
      <c r="E117" s="465"/>
      <c r="F117" s="1016"/>
      <c r="G117" s="860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s="259" customFormat="1" ht="33" customHeight="1" x14ac:dyDescent="0.25">
      <c r="B118" s="1251" t="s">
        <v>1752</v>
      </c>
      <c r="C118" s="1252" t="s">
        <v>807</v>
      </c>
      <c r="D118" s="1246" t="s">
        <v>1753</v>
      </c>
      <c r="E118" s="1247" t="s">
        <v>1063</v>
      </c>
      <c r="F118" s="855">
        <v>45992</v>
      </c>
      <c r="G118" s="855">
        <v>46143</v>
      </c>
      <c r="H118" s="1100">
        <v>120000</v>
      </c>
      <c r="I118" s="1249">
        <v>0</v>
      </c>
      <c r="J118" s="1100">
        <v>120000</v>
      </c>
      <c r="K118" s="1100">
        <v>3444</v>
      </c>
      <c r="L118" s="1103">
        <v>16809.87</v>
      </c>
      <c r="M118" s="1250">
        <v>3648</v>
      </c>
      <c r="N118" s="626">
        <v>1296.7</v>
      </c>
      <c r="O118" s="468">
        <f t="shared" ref="O118:O124" si="16">+K118+L118+M118+N118</f>
        <v>25198.57</v>
      </c>
      <c r="P118" s="675">
        <f t="shared" ref="P118:P124" si="17">+J118-O118</f>
        <v>94801.43</v>
      </c>
    </row>
    <row r="119" spans="2:16" ht="21" customHeight="1" x14ac:dyDescent="0.25">
      <c r="B119" s="1017" t="s">
        <v>1595</v>
      </c>
      <c r="C119" s="1227" t="s">
        <v>806</v>
      </c>
      <c r="D119" s="282" t="s">
        <v>414</v>
      </c>
      <c r="E119" s="281" t="s">
        <v>1063</v>
      </c>
      <c r="F119" s="855">
        <v>45931</v>
      </c>
      <c r="G119" s="855">
        <v>46082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6"/>
        <v>9530.48</v>
      </c>
      <c r="P119" s="468">
        <f t="shared" si="17"/>
        <v>60469.520000000004</v>
      </c>
    </row>
    <row r="120" spans="2:16" ht="21" customHeight="1" x14ac:dyDescent="0.25">
      <c r="B120" s="153" t="s">
        <v>1596</v>
      </c>
      <c r="C120" s="685" t="s">
        <v>807</v>
      </c>
      <c r="D120" s="282" t="s">
        <v>414</v>
      </c>
      <c r="E120" s="281" t="s">
        <v>1063</v>
      </c>
      <c r="F120" s="855">
        <v>45931</v>
      </c>
      <c r="G120" s="855">
        <v>46082</v>
      </c>
      <c r="H120" s="626">
        <v>70000</v>
      </c>
      <c r="I120" s="1169">
        <v>0</v>
      </c>
      <c r="J120" s="468">
        <v>70000</v>
      </c>
      <c r="K120" s="468">
        <v>2009</v>
      </c>
      <c r="L120" s="468">
        <v>4984.5200000000004</v>
      </c>
      <c r="M120" s="1149">
        <v>2128</v>
      </c>
      <c r="N120" s="468">
        <v>1944.78</v>
      </c>
      <c r="O120" s="468">
        <f t="shared" si="16"/>
        <v>11066.300000000001</v>
      </c>
      <c r="P120" s="468">
        <f t="shared" si="17"/>
        <v>58933.7</v>
      </c>
    </row>
    <row r="121" spans="2:16" ht="21" customHeight="1" x14ac:dyDescent="0.25">
      <c r="B121" s="286" t="s">
        <v>610</v>
      </c>
      <c r="C121" s="685" t="s">
        <v>806</v>
      </c>
      <c r="D121" s="282" t="s">
        <v>414</v>
      </c>
      <c r="E121" s="281" t="s">
        <v>1063</v>
      </c>
      <c r="F121" s="855">
        <v>45931</v>
      </c>
      <c r="G121" s="855">
        <v>46082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5368.48</v>
      </c>
      <c r="M121" s="1149">
        <v>2128</v>
      </c>
      <c r="N121" s="468">
        <v>25</v>
      </c>
      <c r="O121" s="468">
        <f t="shared" si="16"/>
        <v>9530.48</v>
      </c>
      <c r="P121" s="468">
        <f t="shared" si="17"/>
        <v>60469.520000000004</v>
      </c>
    </row>
    <row r="122" spans="2:16" ht="21" customHeight="1" x14ac:dyDescent="0.25">
      <c r="B122" s="153" t="s">
        <v>1792</v>
      </c>
      <c r="C122" s="685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286" t="s">
        <v>1295</v>
      </c>
      <c r="C123" s="685" t="s">
        <v>1296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1293</v>
      </c>
      <c r="C124" s="685" t="s">
        <v>807</v>
      </c>
      <c r="D124" s="282" t="s">
        <v>1294</v>
      </c>
      <c r="E124" s="281" t="s">
        <v>1063</v>
      </c>
      <c r="F124" s="1084">
        <v>46023</v>
      </c>
      <c r="G124" s="1084">
        <v>46174</v>
      </c>
      <c r="H124" s="626">
        <v>55000</v>
      </c>
      <c r="I124" s="1169">
        <v>0</v>
      </c>
      <c r="J124" s="468">
        <v>55000</v>
      </c>
      <c r="K124" s="468">
        <v>1578.5</v>
      </c>
      <c r="L124" s="468">
        <v>2559.6799999999998</v>
      </c>
      <c r="M124" s="1149">
        <v>1672</v>
      </c>
      <c r="N124" s="468">
        <v>25</v>
      </c>
      <c r="O124" s="468">
        <f t="shared" si="16"/>
        <v>5835.18</v>
      </c>
      <c r="P124" s="468">
        <f t="shared" si="17"/>
        <v>49164.82</v>
      </c>
    </row>
    <row r="125" spans="2:16" ht="21" customHeight="1" x14ac:dyDescent="0.25">
      <c r="B125" s="466" t="s">
        <v>813</v>
      </c>
      <c r="C125" s="569"/>
      <c r="D125" s="492">
        <v>7</v>
      </c>
      <c r="E125" s="465"/>
      <c r="F125" s="1016"/>
      <c r="G125" s="860"/>
      <c r="H125" s="695">
        <f>SUM(H118:H124)</f>
        <v>525000</v>
      </c>
      <c r="I125" s="1144">
        <f>SUM(I124)</f>
        <v>0</v>
      </c>
      <c r="J125" s="695">
        <f t="shared" ref="J125:P125" si="18">SUM(J118:J124)</f>
        <v>525000</v>
      </c>
      <c r="K125" s="695">
        <f t="shared" si="18"/>
        <v>15067.5</v>
      </c>
      <c r="L125" s="1099">
        <f t="shared" si="18"/>
        <v>45444.030000000006</v>
      </c>
      <c r="M125" s="695">
        <f t="shared" si="18"/>
        <v>15960</v>
      </c>
      <c r="N125" s="695">
        <f t="shared" si="18"/>
        <v>5286.26</v>
      </c>
      <c r="O125" s="695">
        <f t="shared" si="18"/>
        <v>81757.790000000008</v>
      </c>
      <c r="P125" s="695">
        <f t="shared" si="18"/>
        <v>443242.21000000008</v>
      </c>
    </row>
    <row r="126" spans="2:16" ht="21" customHeight="1" x14ac:dyDescent="0.25">
      <c r="B126" s="490"/>
      <c r="C126" s="1223"/>
      <c r="D126" s="492"/>
      <c r="E126" s="465"/>
      <c r="F126" s="856"/>
      <c r="G126" s="857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014" t="s">
        <v>1476</v>
      </c>
      <c r="C127" s="570"/>
      <c r="D127" s="492"/>
      <c r="E127" s="465"/>
      <c r="F127" s="1019"/>
      <c r="G127" s="857"/>
      <c r="H127" s="695"/>
      <c r="I127" s="1144"/>
      <c r="J127" s="697"/>
      <c r="K127" s="697"/>
      <c r="L127" s="697"/>
      <c r="M127" s="1145"/>
      <c r="N127" s="697"/>
      <c r="O127" s="697"/>
      <c r="P127" s="697"/>
    </row>
    <row r="128" spans="2:16" ht="28.5" customHeight="1" x14ac:dyDescent="0.25">
      <c r="B128" s="153" t="s">
        <v>1754</v>
      </c>
      <c r="C128" s="684" t="s">
        <v>807</v>
      </c>
      <c r="D128" s="749" t="s">
        <v>1755</v>
      </c>
      <c r="E128" s="637" t="s">
        <v>1281</v>
      </c>
      <c r="F128" s="855">
        <v>45992</v>
      </c>
      <c r="G128" s="855">
        <v>46143</v>
      </c>
      <c r="H128" s="626">
        <v>120000</v>
      </c>
      <c r="I128" s="1111">
        <v>0</v>
      </c>
      <c r="J128" s="498">
        <v>120000</v>
      </c>
      <c r="K128" s="498">
        <v>3444</v>
      </c>
      <c r="L128" s="498">
        <v>16809.87</v>
      </c>
      <c r="M128" s="1149">
        <v>3648</v>
      </c>
      <c r="N128" s="626">
        <v>2568.4</v>
      </c>
      <c r="O128" s="468">
        <f>+K128+L128+M128+N128</f>
        <v>26470.27</v>
      </c>
      <c r="P128" s="457">
        <f>+J128-O128</f>
        <v>93529.73</v>
      </c>
    </row>
    <row r="129" spans="2:16" ht="28.5" customHeight="1" x14ac:dyDescent="0.25">
      <c r="B129" s="466" t="s">
        <v>813</v>
      </c>
      <c r="C129" s="684"/>
      <c r="D129" s="492">
        <v>1</v>
      </c>
      <c r="E129" s="637"/>
      <c r="F129" s="855"/>
      <c r="G129" s="855"/>
      <c r="H129" s="695">
        <f>SUM(H127:H128)</f>
        <v>120000</v>
      </c>
      <c r="I129" s="1112">
        <v>0</v>
      </c>
      <c r="J129" s="695">
        <f t="shared" ref="J129:O129" si="19">SUM(J127:J128)</f>
        <v>120000</v>
      </c>
      <c r="K129" s="695">
        <f t="shared" si="19"/>
        <v>3444</v>
      </c>
      <c r="L129" s="1099">
        <f t="shared" si="19"/>
        <v>16809.87</v>
      </c>
      <c r="M129" s="695">
        <f t="shared" si="19"/>
        <v>3648</v>
      </c>
      <c r="N129" s="695">
        <f>SUM(N127:N128)</f>
        <v>2568.4</v>
      </c>
      <c r="O129" s="695">
        <f t="shared" si="19"/>
        <v>26470.27</v>
      </c>
      <c r="P129" s="695">
        <f>SUM(P127:P128)</f>
        <v>93529.73</v>
      </c>
    </row>
    <row r="130" spans="2:16" ht="21" customHeight="1" x14ac:dyDescent="0.25">
      <c r="B130" s="490"/>
      <c r="C130" s="1223"/>
      <c r="D130" s="492"/>
      <c r="E130" s="465"/>
      <c r="F130" s="859"/>
      <c r="G130" s="860"/>
      <c r="H130" s="695"/>
      <c r="I130" s="1112"/>
      <c r="J130" s="494"/>
      <c r="K130" s="494"/>
      <c r="L130" s="494"/>
      <c r="M130" s="1145"/>
      <c r="N130" s="695"/>
      <c r="O130" s="695"/>
      <c r="P130" s="494"/>
    </row>
    <row r="131" spans="2:16" ht="21" customHeight="1" x14ac:dyDescent="0.25">
      <c r="B131" s="466" t="s">
        <v>827</v>
      </c>
      <c r="C131" s="569"/>
      <c r="D131" s="492"/>
      <c r="E131" s="465"/>
      <c r="F131" s="1272"/>
      <c r="G131" s="711"/>
      <c r="H131" s="695"/>
      <c r="I131" s="1144"/>
      <c r="J131" s="697"/>
      <c r="K131" s="697"/>
      <c r="L131" s="697"/>
      <c r="M131" s="1145"/>
      <c r="N131" s="697"/>
      <c r="O131" s="697"/>
      <c r="P131" s="697"/>
    </row>
    <row r="132" spans="2:16" ht="21" customHeight="1" x14ac:dyDescent="0.25">
      <c r="B132" s="490" t="s">
        <v>1788</v>
      </c>
      <c r="C132" s="1223"/>
      <c r="D132" s="492"/>
      <c r="E132" s="465"/>
      <c r="F132" s="710"/>
      <c r="G132" s="711"/>
      <c r="H132" s="695"/>
      <c r="I132" s="1112"/>
      <c r="J132" s="463"/>
      <c r="K132" s="463"/>
      <c r="L132" s="463"/>
      <c r="M132" s="1145"/>
      <c r="N132" s="697"/>
      <c r="O132" s="697"/>
      <c r="P132" s="463"/>
    </row>
    <row r="133" spans="2:16" ht="30" customHeight="1" x14ac:dyDescent="0.25">
      <c r="B133" s="153" t="s">
        <v>1602</v>
      </c>
      <c r="C133" s="281" t="s">
        <v>807</v>
      </c>
      <c r="D133" s="282" t="s">
        <v>1032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>+K133+L133+M133+N133</f>
        <v>9530.48</v>
      </c>
      <c r="P133" s="468">
        <f>+J133-O133</f>
        <v>60469.520000000004</v>
      </c>
    </row>
    <row r="134" spans="2:16" ht="30" customHeight="1" x14ac:dyDescent="0.25">
      <c r="B134" s="153" t="s">
        <v>1613</v>
      </c>
      <c r="C134" s="281" t="s">
        <v>807</v>
      </c>
      <c r="D134" s="282" t="s">
        <v>417</v>
      </c>
      <c r="E134" s="281" t="s">
        <v>1063</v>
      </c>
      <c r="F134" s="855">
        <v>45931</v>
      </c>
      <c r="G134" s="855">
        <v>46082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4216.6099999999997</v>
      </c>
      <c r="M134" s="1149">
        <v>2128</v>
      </c>
      <c r="N134" s="468">
        <v>5784.34</v>
      </c>
      <c r="O134" s="468">
        <f>+K134+L134+M134+N134</f>
        <v>14137.95</v>
      </c>
      <c r="P134" s="468">
        <f>+J134-O134</f>
        <v>55862.05</v>
      </c>
    </row>
    <row r="135" spans="2:16" ht="30" customHeight="1" x14ac:dyDescent="0.25">
      <c r="B135" s="153" t="s">
        <v>1606</v>
      </c>
      <c r="C135" s="281" t="s">
        <v>807</v>
      </c>
      <c r="D135" s="282" t="s">
        <v>414</v>
      </c>
      <c r="E135" s="281" t="s">
        <v>1063</v>
      </c>
      <c r="F135" s="855">
        <v>45931</v>
      </c>
      <c r="G135" s="855">
        <v>46082</v>
      </c>
      <c r="H135" s="626">
        <v>70000</v>
      </c>
      <c r="I135" s="1169">
        <v>0</v>
      </c>
      <c r="J135" s="468">
        <v>70000</v>
      </c>
      <c r="K135" s="468">
        <v>2009</v>
      </c>
      <c r="L135" s="861">
        <v>4984.5200000000004</v>
      </c>
      <c r="M135" s="1149">
        <v>2128</v>
      </c>
      <c r="N135" s="468">
        <v>1944.78</v>
      </c>
      <c r="O135" s="468">
        <f t="shared" ref="O135:O140" si="20">+K135+L135+M135+N135</f>
        <v>11066.300000000001</v>
      </c>
      <c r="P135" s="468">
        <f t="shared" ref="P135:P142" si="21">+J135-O135</f>
        <v>58933.7</v>
      </c>
    </row>
    <row r="136" spans="2:16" ht="30" customHeight="1" x14ac:dyDescent="0.25">
      <c r="B136" s="286" t="s">
        <v>725</v>
      </c>
      <c r="C136" s="281" t="s">
        <v>806</v>
      </c>
      <c r="D136" s="282" t="s">
        <v>823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 t="shared" si="20"/>
        <v>9530.48</v>
      </c>
      <c r="P136" s="468">
        <f t="shared" si="21"/>
        <v>60469.520000000004</v>
      </c>
    </row>
    <row r="137" spans="2:16" ht="30" customHeight="1" x14ac:dyDescent="0.25">
      <c r="B137" s="153" t="s">
        <v>1735</v>
      </c>
      <c r="C137" s="281" t="s">
        <v>806</v>
      </c>
      <c r="D137" s="282" t="s">
        <v>414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si="20"/>
        <v>9530.48</v>
      </c>
      <c r="P137" s="468">
        <f t="shared" si="21"/>
        <v>60469.520000000004</v>
      </c>
    </row>
    <row r="138" spans="2:16" ht="30" customHeight="1" x14ac:dyDescent="0.25">
      <c r="B138" s="153" t="s">
        <v>1609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0"/>
        <v>9530.48</v>
      </c>
      <c r="P138" s="468">
        <f t="shared" si="21"/>
        <v>60469.520000000004</v>
      </c>
    </row>
    <row r="139" spans="2:16" ht="30" customHeight="1" x14ac:dyDescent="0.25">
      <c r="B139" s="286" t="s">
        <v>1409</v>
      </c>
      <c r="C139" s="281" t="s">
        <v>807</v>
      </c>
      <c r="D139" s="282" t="s">
        <v>414</v>
      </c>
      <c r="E139" s="281" t="s">
        <v>1063</v>
      </c>
      <c r="F139" s="855">
        <v>45992</v>
      </c>
      <c r="G139" s="855">
        <v>46143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286" t="s">
        <v>1787</v>
      </c>
      <c r="C140" s="281" t="s">
        <v>806</v>
      </c>
      <c r="D140" s="282" t="s">
        <v>823</v>
      </c>
      <c r="E140" s="281" t="s">
        <v>1063</v>
      </c>
      <c r="F140" s="855">
        <v>45992</v>
      </c>
      <c r="G140" s="855">
        <v>46143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1622</v>
      </c>
      <c r="C141" s="281" t="s">
        <v>806</v>
      </c>
      <c r="D141" s="282" t="s">
        <v>1357</v>
      </c>
      <c r="E141" s="281" t="s">
        <v>1063</v>
      </c>
      <c r="F141" s="855">
        <v>45931</v>
      </c>
      <c r="G141" s="855">
        <v>46082</v>
      </c>
      <c r="H141" s="626">
        <v>125000</v>
      </c>
      <c r="I141" s="1169">
        <v>0</v>
      </c>
      <c r="J141" s="468">
        <v>125000</v>
      </c>
      <c r="K141" s="1038">
        <v>3587.5</v>
      </c>
      <c r="L141" s="1037">
        <v>17985.990000000002</v>
      </c>
      <c r="M141" s="1150">
        <v>3800</v>
      </c>
      <c r="N141" s="1038">
        <v>25</v>
      </c>
      <c r="O141" s="468">
        <f>+K141+L141+M141+N141</f>
        <v>25398.49</v>
      </c>
      <c r="P141" s="468">
        <f t="shared" si="21"/>
        <v>99601.51</v>
      </c>
    </row>
    <row r="142" spans="2:16" ht="30" customHeight="1" x14ac:dyDescent="0.25">
      <c r="B142" s="153" t="s">
        <v>1624</v>
      </c>
      <c r="C142" s="281" t="s">
        <v>806</v>
      </c>
      <c r="D142" s="282" t="s">
        <v>1683</v>
      </c>
      <c r="E142" s="281" t="s">
        <v>1063</v>
      </c>
      <c r="F142" s="855">
        <v>45931</v>
      </c>
      <c r="G142" s="855">
        <v>46082</v>
      </c>
      <c r="H142" s="626">
        <v>55000</v>
      </c>
      <c r="I142" s="1169">
        <v>0</v>
      </c>
      <c r="J142" s="468">
        <v>55000</v>
      </c>
      <c r="K142" s="468">
        <v>1578.5</v>
      </c>
      <c r="L142" s="468">
        <v>2271.71</v>
      </c>
      <c r="M142" s="1149">
        <v>1672</v>
      </c>
      <c r="N142" s="468">
        <v>1944.78</v>
      </c>
      <c r="O142" s="468">
        <f>+K142+L142+M142+N142</f>
        <v>7466.99</v>
      </c>
      <c r="P142" s="468">
        <f t="shared" si="21"/>
        <v>47533.01</v>
      </c>
    </row>
    <row r="143" spans="2:16" ht="21" customHeight="1" x14ac:dyDescent="0.25">
      <c r="B143" s="466" t="s">
        <v>813</v>
      </c>
      <c r="C143" s="569"/>
      <c r="D143" s="492">
        <v>10</v>
      </c>
      <c r="E143" s="465"/>
      <c r="F143" s="1016"/>
      <c r="G143" s="860"/>
      <c r="H143" s="695">
        <f>SUM(H133:H142)</f>
        <v>740000</v>
      </c>
      <c r="I143" s="1144">
        <v>0</v>
      </c>
      <c r="J143" s="695">
        <f t="shared" ref="J143:P143" si="22">SUM(J133:J142)</f>
        <v>740000</v>
      </c>
      <c r="K143" s="695">
        <f t="shared" si="22"/>
        <v>21238</v>
      </c>
      <c r="L143" s="695">
        <f t="shared" si="22"/>
        <v>61669.71</v>
      </c>
      <c r="M143" s="695">
        <f t="shared" si="22"/>
        <v>22496</v>
      </c>
      <c r="N143" s="695">
        <f t="shared" si="22"/>
        <v>9848.9</v>
      </c>
      <c r="O143" s="695">
        <f t="shared" si="22"/>
        <v>115252.61</v>
      </c>
      <c r="P143" s="695">
        <f t="shared" si="22"/>
        <v>624747.39000000013</v>
      </c>
    </row>
    <row r="144" spans="2:16" ht="28.5" customHeight="1" x14ac:dyDescent="0.25">
      <c r="B144" s="286"/>
      <c r="C144" s="569"/>
      <c r="D144" s="282"/>
      <c r="E144" s="465"/>
      <c r="F144" s="1272"/>
      <c r="G144" s="711"/>
      <c r="H144" s="695"/>
      <c r="I144" s="1144"/>
      <c r="J144" s="697"/>
      <c r="K144" s="697"/>
      <c r="L144" s="697"/>
      <c r="M144" s="1145"/>
      <c r="N144" s="697"/>
      <c r="O144" s="697"/>
      <c r="P144" s="697"/>
    </row>
    <row r="145" spans="2:16" ht="28.5" customHeight="1" x14ac:dyDescent="0.25">
      <c r="B145" s="1014" t="s">
        <v>1804</v>
      </c>
      <c r="C145" s="569"/>
      <c r="D145" s="282"/>
      <c r="E145" s="465"/>
      <c r="F145" s="1272"/>
      <c r="G145" s="711"/>
      <c r="H145" s="695"/>
      <c r="I145" s="1144"/>
      <c r="J145" s="697"/>
      <c r="K145" s="697"/>
      <c r="L145" s="697"/>
      <c r="M145" s="1145"/>
      <c r="N145" s="697"/>
      <c r="O145" s="697"/>
      <c r="P145" s="697"/>
    </row>
    <row r="146" spans="2:16" ht="28.5" customHeight="1" x14ac:dyDescent="0.25">
      <c r="B146" s="153" t="s">
        <v>1087</v>
      </c>
      <c r="C146" s="680" t="s">
        <v>807</v>
      </c>
      <c r="D146" s="282" t="s">
        <v>414</v>
      </c>
      <c r="E146" s="281" t="s">
        <v>1063</v>
      </c>
      <c r="F146" s="855">
        <v>45931</v>
      </c>
      <c r="G146" s="855">
        <v>46082</v>
      </c>
      <c r="H146" s="626">
        <v>70000</v>
      </c>
      <c r="I146" s="1169">
        <v>0</v>
      </c>
      <c r="J146" s="628">
        <v>70000</v>
      </c>
      <c r="K146" s="628">
        <v>2009</v>
      </c>
      <c r="L146" s="628">
        <v>5368.48</v>
      </c>
      <c r="M146" s="1149">
        <v>2128</v>
      </c>
      <c r="N146" s="628">
        <v>25</v>
      </c>
      <c r="O146" s="628">
        <f t="shared" ref="O146:O153" si="23">+K146+L146+M146+N146</f>
        <v>9530.48</v>
      </c>
      <c r="P146" s="628">
        <f t="shared" ref="P146:P153" si="24">+J146-O146</f>
        <v>60469.520000000004</v>
      </c>
    </row>
    <row r="147" spans="2:16" ht="24" customHeight="1" x14ac:dyDescent="0.25">
      <c r="B147" s="153" t="s">
        <v>1833</v>
      </c>
      <c r="C147" s="281" t="s">
        <v>807</v>
      </c>
      <c r="D147" s="282" t="s">
        <v>1773</v>
      </c>
      <c r="E147" s="281" t="s">
        <v>1063</v>
      </c>
      <c r="F147" s="855">
        <v>45931</v>
      </c>
      <c r="G147" s="855">
        <v>46082</v>
      </c>
      <c r="H147" s="626">
        <v>70000</v>
      </c>
      <c r="I147" s="1169">
        <v>0</v>
      </c>
      <c r="J147" s="468">
        <v>70000</v>
      </c>
      <c r="K147" s="468">
        <v>2009</v>
      </c>
      <c r="L147" s="468">
        <v>5368.48</v>
      </c>
      <c r="M147" s="1149">
        <v>2128</v>
      </c>
      <c r="N147" s="468">
        <v>25</v>
      </c>
      <c r="O147" s="468">
        <f>+K147+L147+M147+N147</f>
        <v>9530.48</v>
      </c>
      <c r="P147" s="468">
        <f>+J147-O147</f>
        <v>60469.520000000004</v>
      </c>
    </row>
    <row r="148" spans="2:16" ht="28.5" customHeight="1" x14ac:dyDescent="0.25">
      <c r="B148" s="153" t="s">
        <v>1603</v>
      </c>
      <c r="C148" s="281" t="s">
        <v>806</v>
      </c>
      <c r="D148" s="282" t="s">
        <v>489</v>
      </c>
      <c r="E148" s="281" t="s">
        <v>1063</v>
      </c>
      <c r="F148" s="855">
        <v>45931</v>
      </c>
      <c r="G148" s="855">
        <v>46082</v>
      </c>
      <c r="H148" s="626">
        <v>70000</v>
      </c>
      <c r="I148" s="1169">
        <v>0</v>
      </c>
      <c r="J148" s="628">
        <v>70000</v>
      </c>
      <c r="K148" s="628">
        <v>2009</v>
      </c>
      <c r="L148" s="628">
        <v>5368.48</v>
      </c>
      <c r="M148" s="1149">
        <v>2128</v>
      </c>
      <c r="N148" s="628">
        <v>25</v>
      </c>
      <c r="O148" s="628">
        <f t="shared" si="23"/>
        <v>9530.48</v>
      </c>
      <c r="P148" s="628">
        <f t="shared" si="24"/>
        <v>60469.520000000004</v>
      </c>
    </row>
    <row r="149" spans="2:16" ht="28.5" customHeight="1" x14ac:dyDescent="0.25">
      <c r="B149" s="153" t="s">
        <v>1618</v>
      </c>
      <c r="C149" s="281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si="23"/>
        <v>9530.48</v>
      </c>
      <c r="P149" s="628">
        <f t="shared" si="24"/>
        <v>60469.520000000004</v>
      </c>
    </row>
    <row r="150" spans="2:16" ht="28.5" customHeight="1" x14ac:dyDescent="0.25">
      <c r="B150" s="153" t="s">
        <v>1612</v>
      </c>
      <c r="C150" s="281" t="s">
        <v>1296</v>
      </c>
      <c r="D150" s="282" t="s">
        <v>417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1619</v>
      </c>
      <c r="C151" s="281" t="s">
        <v>806</v>
      </c>
      <c r="D151" s="282" t="s">
        <v>823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4984.5200000000004</v>
      </c>
      <c r="M151" s="1149">
        <v>2128</v>
      </c>
      <c r="N151" s="628">
        <v>1944.78</v>
      </c>
      <c r="O151" s="628">
        <f t="shared" si="23"/>
        <v>11066.300000000001</v>
      </c>
      <c r="P151" s="628">
        <f t="shared" si="24"/>
        <v>58933.7</v>
      </c>
    </row>
    <row r="152" spans="2:16" ht="28.5" customHeight="1" x14ac:dyDescent="0.25">
      <c r="B152" s="153" t="s">
        <v>1626</v>
      </c>
      <c r="C152" s="281" t="s">
        <v>1296</v>
      </c>
      <c r="D152" s="282" t="s">
        <v>1637</v>
      </c>
      <c r="E152" s="281" t="s">
        <v>1063</v>
      </c>
      <c r="F152" s="855">
        <v>45931</v>
      </c>
      <c r="G152" s="855">
        <v>46082</v>
      </c>
      <c r="H152" s="626">
        <v>43500</v>
      </c>
      <c r="I152" s="1169">
        <v>0</v>
      </c>
      <c r="J152" s="628">
        <v>43500</v>
      </c>
      <c r="K152" s="628">
        <v>1248.45</v>
      </c>
      <c r="L152" s="628">
        <v>936.62</v>
      </c>
      <c r="M152" s="1149">
        <v>1322.4</v>
      </c>
      <c r="N152" s="628">
        <v>25</v>
      </c>
      <c r="O152" s="628">
        <f>+K152+L152+M152+N152</f>
        <v>3532.4700000000003</v>
      </c>
      <c r="P152" s="628">
        <f t="shared" si="24"/>
        <v>39967.53</v>
      </c>
    </row>
    <row r="153" spans="2:16" ht="28.5" customHeight="1" x14ac:dyDescent="0.25">
      <c r="B153" s="153" t="s">
        <v>1627</v>
      </c>
      <c r="C153" s="281" t="s">
        <v>806</v>
      </c>
      <c r="D153" s="282" t="s">
        <v>105</v>
      </c>
      <c r="E153" s="281" t="s">
        <v>1063</v>
      </c>
      <c r="F153" s="855">
        <v>45992</v>
      </c>
      <c r="G153" s="855">
        <v>46143</v>
      </c>
      <c r="H153" s="626">
        <v>25000</v>
      </c>
      <c r="I153" s="1169">
        <v>0</v>
      </c>
      <c r="J153" s="628">
        <v>25000</v>
      </c>
      <c r="K153" s="628">
        <v>717.5</v>
      </c>
      <c r="L153" s="627">
        <v>0</v>
      </c>
      <c r="M153" s="1149">
        <v>760</v>
      </c>
      <c r="N153" s="628">
        <v>25</v>
      </c>
      <c r="O153" s="628">
        <f t="shared" si="23"/>
        <v>1502.5</v>
      </c>
      <c r="P153" s="628">
        <f t="shared" si="24"/>
        <v>23497.5</v>
      </c>
    </row>
    <row r="154" spans="2:16" ht="21" customHeight="1" x14ac:dyDescent="0.25">
      <c r="B154" s="466" t="s">
        <v>813</v>
      </c>
      <c r="C154" s="569"/>
      <c r="D154" s="492">
        <v>8</v>
      </c>
      <c r="E154" s="465"/>
      <c r="F154" s="1016"/>
      <c r="G154" s="860"/>
      <c r="H154" s="695">
        <f>SUM(H146:H153)</f>
        <v>488500</v>
      </c>
      <c r="I154" s="1144">
        <v>0</v>
      </c>
      <c r="J154" s="695">
        <f t="shared" ref="J154:P154" si="25">SUM(J146:J153)</f>
        <v>488500</v>
      </c>
      <c r="K154" s="695">
        <f t="shared" si="25"/>
        <v>14019.95</v>
      </c>
      <c r="L154" s="695">
        <f t="shared" si="25"/>
        <v>32763.539999999997</v>
      </c>
      <c r="M154" s="695">
        <f t="shared" si="25"/>
        <v>14850.4</v>
      </c>
      <c r="N154" s="695">
        <f t="shared" si="25"/>
        <v>2119.7799999999997</v>
      </c>
      <c r="O154" s="695">
        <f t="shared" si="25"/>
        <v>63753.67</v>
      </c>
      <c r="P154" s="695">
        <f t="shared" si="25"/>
        <v>424746.33000000007</v>
      </c>
    </row>
    <row r="155" spans="2:16" ht="25.5" customHeight="1" x14ac:dyDescent="0.25">
      <c r="B155" s="466"/>
      <c r="C155" s="569"/>
      <c r="D155" s="492"/>
      <c r="E155" s="465"/>
      <c r="F155" s="1272"/>
      <c r="G155" s="711"/>
      <c r="H155" s="695"/>
      <c r="I155" s="1144"/>
      <c r="J155" s="697"/>
      <c r="K155" s="697"/>
      <c r="L155" s="697"/>
      <c r="M155" s="1145"/>
      <c r="N155" s="697"/>
      <c r="O155" s="697"/>
      <c r="P155" s="697"/>
    </row>
    <row r="156" spans="2:16" ht="28.5" customHeight="1" x14ac:dyDescent="0.25">
      <c r="B156" s="466" t="s">
        <v>1789</v>
      </c>
      <c r="C156" s="569"/>
      <c r="D156" s="492"/>
      <c r="E156" s="465"/>
      <c r="F156" s="1272"/>
      <c r="G156" s="711"/>
      <c r="H156" s="695"/>
      <c r="I156" s="1144"/>
      <c r="J156" s="697"/>
      <c r="K156" s="697"/>
      <c r="L156" s="697"/>
      <c r="M156" s="1145"/>
      <c r="N156" s="697"/>
      <c r="O156" s="697"/>
      <c r="P156" s="697"/>
    </row>
    <row r="157" spans="2:16" ht="28.5" customHeight="1" x14ac:dyDescent="0.25">
      <c r="B157" s="153" t="s">
        <v>1601</v>
      </c>
      <c r="C157" s="497" t="s">
        <v>806</v>
      </c>
      <c r="D157" s="749" t="s">
        <v>1782</v>
      </c>
      <c r="E157" s="637" t="s">
        <v>1063</v>
      </c>
      <c r="F157" s="855">
        <v>45931</v>
      </c>
      <c r="G157" s="855">
        <v>46082</v>
      </c>
      <c r="H157" s="626">
        <v>120000</v>
      </c>
      <c r="I157" s="1111">
        <v>0</v>
      </c>
      <c r="J157" s="498">
        <v>120000</v>
      </c>
      <c r="K157" s="498">
        <v>3444</v>
      </c>
      <c r="L157" s="498">
        <v>16329.92</v>
      </c>
      <c r="M157" s="1149">
        <v>3648</v>
      </c>
      <c r="N157" s="626">
        <v>1944.78</v>
      </c>
      <c r="O157" s="468">
        <f>+K157+L157+M157+N157</f>
        <v>25366.699999999997</v>
      </c>
      <c r="P157" s="457">
        <f>+J157-O157</f>
        <v>94633.3</v>
      </c>
    </row>
    <row r="158" spans="2:16" ht="28.5" customHeight="1" x14ac:dyDescent="0.25">
      <c r="B158" s="153" t="s">
        <v>1607</v>
      </c>
      <c r="C158" s="281" t="s">
        <v>807</v>
      </c>
      <c r="D158" s="282" t="s">
        <v>414</v>
      </c>
      <c r="E158" s="281" t="s">
        <v>1063</v>
      </c>
      <c r="F158" s="855">
        <v>45931</v>
      </c>
      <c r="G158" s="855">
        <v>46082</v>
      </c>
      <c r="H158" s="626">
        <v>70000</v>
      </c>
      <c r="I158" s="1169">
        <v>0</v>
      </c>
      <c r="J158" s="468">
        <v>70000</v>
      </c>
      <c r="K158" s="468">
        <v>2009</v>
      </c>
      <c r="L158" s="468">
        <v>5368.48</v>
      </c>
      <c r="M158" s="1149">
        <v>2128</v>
      </c>
      <c r="N158" s="468">
        <v>25</v>
      </c>
      <c r="O158" s="468">
        <f t="shared" ref="O158:O163" si="26">+K158+L158+M158+N158</f>
        <v>9530.48</v>
      </c>
      <c r="P158" s="468">
        <f t="shared" ref="P158:P163" si="27">+J158-O158</f>
        <v>60469.520000000004</v>
      </c>
    </row>
    <row r="159" spans="2:16" ht="28.5" customHeight="1" x14ac:dyDescent="0.25">
      <c r="B159" s="153" t="s">
        <v>1608</v>
      </c>
      <c r="C159" s="281" t="s">
        <v>807</v>
      </c>
      <c r="D159" s="282" t="s">
        <v>417</v>
      </c>
      <c r="E159" s="281" t="s">
        <v>1063</v>
      </c>
      <c r="F159" s="855">
        <v>45931</v>
      </c>
      <c r="G159" s="855">
        <v>46082</v>
      </c>
      <c r="H159" s="626">
        <v>70000</v>
      </c>
      <c r="I159" s="1169">
        <v>0</v>
      </c>
      <c r="J159" s="468">
        <v>70000</v>
      </c>
      <c r="K159" s="468">
        <v>2009</v>
      </c>
      <c r="L159" s="468">
        <v>5368.48</v>
      </c>
      <c r="M159" s="1149">
        <v>2128</v>
      </c>
      <c r="N159" s="468">
        <v>25</v>
      </c>
      <c r="O159" s="468">
        <f t="shared" si="26"/>
        <v>9530.48</v>
      </c>
      <c r="P159" s="468">
        <f t="shared" si="27"/>
        <v>60469.520000000004</v>
      </c>
    </row>
    <row r="160" spans="2:16" ht="28.5" customHeight="1" x14ac:dyDescent="0.25">
      <c r="B160" s="153" t="s">
        <v>1614</v>
      </c>
      <c r="C160" s="281" t="s">
        <v>806</v>
      </c>
      <c r="D160" s="282" t="s">
        <v>417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si="26"/>
        <v>9530.48</v>
      </c>
      <c r="P160" s="468">
        <f t="shared" si="27"/>
        <v>60469.520000000004</v>
      </c>
    </row>
    <row r="161" spans="2:16" ht="28.5" customHeight="1" x14ac:dyDescent="0.25">
      <c r="B161" s="153" t="s">
        <v>1617</v>
      </c>
      <c r="C161" s="281" t="s">
        <v>807</v>
      </c>
      <c r="D161" s="282" t="s">
        <v>414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4984.5200000000004</v>
      </c>
      <c r="M161" s="1149">
        <v>2128</v>
      </c>
      <c r="N161" s="468">
        <v>1944.78</v>
      </c>
      <c r="O161" s="468">
        <f t="shared" si="26"/>
        <v>11066.300000000001</v>
      </c>
      <c r="P161" s="468">
        <f t="shared" si="27"/>
        <v>58933.7</v>
      </c>
    </row>
    <row r="162" spans="2:16" ht="28.5" customHeight="1" x14ac:dyDescent="0.25">
      <c r="B162" s="153" t="s">
        <v>1363</v>
      </c>
      <c r="C162" s="281" t="s">
        <v>806</v>
      </c>
      <c r="D162" s="282" t="s">
        <v>414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1620</v>
      </c>
      <c r="C163" s="281" t="s">
        <v>807</v>
      </c>
      <c r="D163" s="280" t="s">
        <v>417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286" t="s">
        <v>1299</v>
      </c>
      <c r="C164" s="281" t="s">
        <v>1296</v>
      </c>
      <c r="D164" s="282" t="s">
        <v>1636</v>
      </c>
      <c r="E164" s="281" t="s">
        <v>1063</v>
      </c>
      <c r="F164" s="855">
        <v>45931</v>
      </c>
      <c r="G164" s="855">
        <v>46082</v>
      </c>
      <c r="H164" s="626">
        <v>43500</v>
      </c>
      <c r="I164" s="1169">
        <v>0</v>
      </c>
      <c r="J164" s="468">
        <v>43500</v>
      </c>
      <c r="K164" s="468">
        <v>1248.45</v>
      </c>
      <c r="L164" s="468">
        <v>936.62</v>
      </c>
      <c r="M164" s="1149">
        <v>1322.4</v>
      </c>
      <c r="N164" s="468">
        <v>25</v>
      </c>
      <c r="O164" s="468">
        <f>+K164+L164+M164+N164</f>
        <v>3532.4700000000003</v>
      </c>
      <c r="P164" s="468">
        <f>+J164-O164</f>
        <v>39967.53</v>
      </c>
    </row>
    <row r="165" spans="2:16" ht="28.5" customHeight="1" x14ac:dyDescent="0.25">
      <c r="B165" s="153" t="s">
        <v>1623</v>
      </c>
      <c r="C165" s="281" t="s">
        <v>806</v>
      </c>
      <c r="D165" s="282" t="s">
        <v>529</v>
      </c>
      <c r="E165" s="281" t="s">
        <v>1063</v>
      </c>
      <c r="F165" s="855">
        <v>45931</v>
      </c>
      <c r="G165" s="855">
        <v>46082</v>
      </c>
      <c r="H165" s="626">
        <v>55000</v>
      </c>
      <c r="I165" s="1169">
        <v>0</v>
      </c>
      <c r="J165" s="468">
        <v>55000</v>
      </c>
      <c r="K165" s="468">
        <v>1578.5</v>
      </c>
      <c r="L165" s="468">
        <v>2559.6799999999998</v>
      </c>
      <c r="M165" s="1149">
        <v>1672</v>
      </c>
      <c r="N165" s="468">
        <v>25</v>
      </c>
      <c r="O165" s="468">
        <f>+K165+L165+M165+N165</f>
        <v>5835.18</v>
      </c>
      <c r="P165" s="468">
        <f>+J165-O165</f>
        <v>49164.82</v>
      </c>
    </row>
    <row r="166" spans="2:16" ht="21" customHeight="1" x14ac:dyDescent="0.25">
      <c r="B166" s="466" t="s">
        <v>813</v>
      </c>
      <c r="C166" s="569"/>
      <c r="D166" s="492">
        <v>9</v>
      </c>
      <c r="E166" s="465"/>
      <c r="F166" s="1016"/>
      <c r="G166" s="860"/>
      <c r="H166" s="695">
        <f>SUM(H157:H165)</f>
        <v>638500</v>
      </c>
      <c r="I166" s="1144">
        <v>0</v>
      </c>
      <c r="J166" s="695">
        <f t="shared" ref="J166:P166" si="28">SUM(J157:J165)</f>
        <v>638500</v>
      </c>
      <c r="K166" s="695">
        <f t="shared" si="28"/>
        <v>18324.95</v>
      </c>
      <c r="L166" s="695">
        <f t="shared" si="28"/>
        <v>51653.14</v>
      </c>
      <c r="M166" s="695">
        <f t="shared" si="28"/>
        <v>19410.400000000001</v>
      </c>
      <c r="N166" s="695">
        <f t="shared" si="28"/>
        <v>4064.56</v>
      </c>
      <c r="O166" s="695">
        <f t="shared" si="28"/>
        <v>93453.049999999988</v>
      </c>
      <c r="P166" s="695">
        <f t="shared" si="28"/>
        <v>545046.95000000007</v>
      </c>
    </row>
    <row r="167" spans="2:16" ht="23.25" customHeight="1" x14ac:dyDescent="0.25">
      <c r="B167" s="466"/>
      <c r="C167" s="569"/>
      <c r="D167" s="492"/>
      <c r="E167" s="465"/>
      <c r="F167" s="1272"/>
      <c r="G167" s="711"/>
      <c r="H167" s="695"/>
      <c r="I167" s="1144"/>
      <c r="J167" s="697"/>
      <c r="K167" s="697"/>
      <c r="L167" s="697"/>
      <c r="M167" s="1145"/>
      <c r="N167" s="697"/>
      <c r="O167" s="697"/>
      <c r="P167" s="697"/>
    </row>
    <row r="168" spans="2:16" ht="28.5" customHeight="1" x14ac:dyDescent="0.25">
      <c r="B168" s="466" t="s">
        <v>1790</v>
      </c>
      <c r="C168" s="569"/>
      <c r="D168" s="492"/>
      <c r="E168" s="465"/>
      <c r="F168" s="1272"/>
      <c r="G168" s="711"/>
      <c r="H168" s="695"/>
      <c r="I168" s="1144"/>
      <c r="J168" s="697"/>
      <c r="K168" s="697"/>
      <c r="L168" s="697"/>
      <c r="M168" s="1145"/>
      <c r="N168" s="697"/>
      <c r="O168" s="697"/>
      <c r="P168" s="697"/>
    </row>
    <row r="169" spans="2:16" ht="24" customHeight="1" x14ac:dyDescent="0.25">
      <c r="B169" s="153" t="s">
        <v>1600</v>
      </c>
      <c r="C169" s="281" t="s">
        <v>806</v>
      </c>
      <c r="D169" s="282" t="s">
        <v>1463</v>
      </c>
      <c r="E169" s="281" t="s">
        <v>1063</v>
      </c>
      <c r="F169" s="855">
        <v>45931</v>
      </c>
      <c r="G169" s="855">
        <v>46082</v>
      </c>
      <c r="H169" s="626">
        <v>120000</v>
      </c>
      <c r="I169" s="1169">
        <v>0</v>
      </c>
      <c r="J169" s="468">
        <v>120000</v>
      </c>
      <c r="K169" s="468">
        <v>3444</v>
      </c>
      <c r="L169" s="468">
        <v>16809.87</v>
      </c>
      <c r="M169" s="1149">
        <v>3648</v>
      </c>
      <c r="N169" s="468">
        <v>25</v>
      </c>
      <c r="O169" s="468">
        <f t="shared" ref="O169:O175" si="29">+K169+L169+M169+N169</f>
        <v>23926.87</v>
      </c>
      <c r="P169" s="468">
        <f t="shared" ref="P169:P175" si="30">+J169-O169</f>
        <v>96073.13</v>
      </c>
    </row>
    <row r="170" spans="2:16" ht="24" customHeight="1" x14ac:dyDescent="0.25">
      <c r="B170" s="153" t="s">
        <v>1604</v>
      </c>
      <c r="C170" s="685" t="s">
        <v>806</v>
      </c>
      <c r="D170" s="282" t="s">
        <v>417</v>
      </c>
      <c r="E170" s="281" t="s">
        <v>1063</v>
      </c>
      <c r="F170" s="855">
        <v>45931</v>
      </c>
      <c r="G170" s="855">
        <v>46082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4984.5200000000004</v>
      </c>
      <c r="M170" s="1149">
        <v>2128</v>
      </c>
      <c r="N170" s="468">
        <v>1944.78</v>
      </c>
      <c r="O170" s="468">
        <f t="shared" si="29"/>
        <v>11066.300000000001</v>
      </c>
      <c r="P170" s="468">
        <f t="shared" si="30"/>
        <v>58933.7</v>
      </c>
    </row>
    <row r="171" spans="2:16" ht="24" customHeight="1" x14ac:dyDescent="0.25">
      <c r="B171" s="153" t="s">
        <v>1605</v>
      </c>
      <c r="C171" s="685" t="s">
        <v>806</v>
      </c>
      <c r="D171" s="282" t="s">
        <v>1773</v>
      </c>
      <c r="E171" s="281" t="s">
        <v>1063</v>
      </c>
      <c r="F171" s="855">
        <v>45931</v>
      </c>
      <c r="G171" s="855">
        <v>46082</v>
      </c>
      <c r="H171" s="626">
        <v>70000</v>
      </c>
      <c r="I171" s="1169">
        <v>0</v>
      </c>
      <c r="J171" s="468">
        <v>70000</v>
      </c>
      <c r="K171" s="468">
        <v>2009</v>
      </c>
      <c r="L171" s="468">
        <v>4600.5600000000004</v>
      </c>
      <c r="M171" s="1149">
        <v>2128</v>
      </c>
      <c r="N171" s="468">
        <v>3864.56</v>
      </c>
      <c r="O171" s="468">
        <f t="shared" si="29"/>
        <v>12602.12</v>
      </c>
      <c r="P171" s="468">
        <f t="shared" si="30"/>
        <v>57397.88</v>
      </c>
    </row>
    <row r="172" spans="2:16" ht="24" customHeight="1" x14ac:dyDescent="0.25">
      <c r="B172" s="153" t="s">
        <v>1611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1610</v>
      </c>
      <c r="C173" s="685" t="s">
        <v>806</v>
      </c>
      <c r="D173" s="282" t="s">
        <v>417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4984.5200000000004</v>
      </c>
      <c r="M173" s="1149">
        <v>2128</v>
      </c>
      <c r="N173" s="468">
        <v>1944.78</v>
      </c>
      <c r="O173" s="468">
        <f t="shared" si="29"/>
        <v>11066.300000000001</v>
      </c>
      <c r="P173" s="468">
        <f t="shared" si="30"/>
        <v>58933.7</v>
      </c>
    </row>
    <row r="174" spans="2:16" ht="24" customHeight="1" x14ac:dyDescent="0.25">
      <c r="B174" s="153" t="s">
        <v>1616</v>
      </c>
      <c r="C174" s="685" t="s">
        <v>806</v>
      </c>
      <c r="D174" s="282" t="s">
        <v>414</v>
      </c>
      <c r="E174" s="281" t="s">
        <v>1063</v>
      </c>
      <c r="F174" s="1084">
        <v>46023</v>
      </c>
      <c r="G174" s="1084">
        <v>46174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1615</v>
      </c>
      <c r="C175" s="685" t="s">
        <v>1296</v>
      </c>
      <c r="D175" s="282" t="s">
        <v>414</v>
      </c>
      <c r="E175" s="281" t="s">
        <v>1063</v>
      </c>
      <c r="F175" s="1084">
        <v>46023</v>
      </c>
      <c r="G175" s="1084">
        <v>46174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5368.48</v>
      </c>
      <c r="M175" s="1149">
        <v>2128</v>
      </c>
      <c r="N175" s="468">
        <v>25</v>
      </c>
      <c r="O175" s="468">
        <f t="shared" si="29"/>
        <v>9530.48</v>
      </c>
      <c r="P175" s="468">
        <f t="shared" si="30"/>
        <v>60469.520000000004</v>
      </c>
    </row>
    <row r="176" spans="2:16" ht="24" customHeight="1" x14ac:dyDescent="0.25">
      <c r="B176" s="153" t="s">
        <v>1625</v>
      </c>
      <c r="C176" s="685" t="s">
        <v>1296</v>
      </c>
      <c r="D176" s="282" t="s">
        <v>1636</v>
      </c>
      <c r="E176" s="281" t="s">
        <v>1063</v>
      </c>
      <c r="F176" s="1084">
        <v>46023</v>
      </c>
      <c r="G176" s="1084">
        <v>46174</v>
      </c>
      <c r="H176" s="626">
        <v>43500</v>
      </c>
      <c r="I176" s="1169">
        <v>0</v>
      </c>
      <c r="J176" s="468">
        <v>43500</v>
      </c>
      <c r="K176" s="468">
        <v>1248.45</v>
      </c>
      <c r="L176" s="468">
        <v>936.62</v>
      </c>
      <c r="M176" s="1149">
        <v>1322.4</v>
      </c>
      <c r="N176" s="468">
        <v>25</v>
      </c>
      <c r="O176" s="468">
        <f>+K176+L176+M176+N176</f>
        <v>3532.4700000000003</v>
      </c>
      <c r="P176" s="468">
        <f>+J176-O176</f>
        <v>39967.53</v>
      </c>
    </row>
    <row r="177" spans="2:17" ht="21" customHeight="1" x14ac:dyDescent="0.25">
      <c r="B177" s="466" t="s">
        <v>813</v>
      </c>
      <c r="C177" s="569"/>
      <c r="D177" s="492">
        <v>8</v>
      </c>
      <c r="E177" s="465"/>
      <c r="F177" s="1016"/>
      <c r="G177" s="860"/>
      <c r="H177" s="695">
        <f>SUM(H169:H176)</f>
        <v>583500</v>
      </c>
      <c r="I177" s="1144">
        <v>0</v>
      </c>
      <c r="J177" s="695">
        <f t="shared" ref="J177:P177" si="31">SUM(J169:J176)</f>
        <v>583500</v>
      </c>
      <c r="K177" s="695">
        <f t="shared" si="31"/>
        <v>16746.45</v>
      </c>
      <c r="L177" s="695">
        <f t="shared" si="31"/>
        <v>48037.57</v>
      </c>
      <c r="M177" s="695">
        <f t="shared" si="31"/>
        <v>17738.400000000001</v>
      </c>
      <c r="N177" s="695">
        <f t="shared" si="31"/>
        <v>9798.9</v>
      </c>
      <c r="O177" s="695">
        <f t="shared" si="31"/>
        <v>92321.319999999992</v>
      </c>
      <c r="P177" s="695">
        <f t="shared" si="31"/>
        <v>491178.68000000005</v>
      </c>
    </row>
    <row r="178" spans="2:17" ht="21" customHeight="1" x14ac:dyDescent="0.25">
      <c r="B178" s="466"/>
      <c r="C178" s="569"/>
      <c r="D178" s="492"/>
      <c r="E178" s="465"/>
      <c r="F178" s="1016"/>
      <c r="G178" s="860"/>
      <c r="H178" s="695">
        <f>+H177+H166+H154+H143</f>
        <v>2450500</v>
      </c>
      <c r="I178" s="1144">
        <v>0</v>
      </c>
      <c r="J178" s="695">
        <f t="shared" ref="J178:P178" si="32">+J177+J166+J154+J143</f>
        <v>2450500</v>
      </c>
      <c r="K178" s="695">
        <f t="shared" si="32"/>
        <v>70329.350000000006</v>
      </c>
      <c r="L178" s="695">
        <f t="shared" si="32"/>
        <v>194123.96</v>
      </c>
      <c r="M178" s="695">
        <f t="shared" si="32"/>
        <v>74495.200000000012</v>
      </c>
      <c r="N178" s="695">
        <f t="shared" si="32"/>
        <v>25832.14</v>
      </c>
      <c r="O178" s="695">
        <f t="shared" si="32"/>
        <v>364780.64999999997</v>
      </c>
      <c r="P178" s="695">
        <f t="shared" si="32"/>
        <v>2085719.3500000003</v>
      </c>
    </row>
    <row r="179" spans="2:17" ht="21" customHeight="1" x14ac:dyDescent="0.25">
      <c r="B179" s="490"/>
      <c r="C179" s="1223"/>
      <c r="D179" s="492"/>
      <c r="E179" s="465"/>
      <c r="F179" s="710"/>
      <c r="G179" s="711"/>
      <c r="H179" s="695"/>
      <c r="I179" s="1112"/>
      <c r="J179" s="463"/>
      <c r="K179" s="463"/>
      <c r="L179" s="463"/>
      <c r="M179" s="1145"/>
      <c r="N179" s="697"/>
      <c r="O179" s="697"/>
      <c r="P179" s="463"/>
    </row>
    <row r="180" spans="2:17" ht="23.25" customHeight="1" x14ac:dyDescent="0.25">
      <c r="B180" s="1048" t="s">
        <v>865</v>
      </c>
      <c r="C180" s="1053"/>
      <c r="D180" s="1125">
        <f>+D177+D166+D154+D143+D15+D19+D25+D32+D50+D54+D58+D66+D70+D77+D91+D101+D105+D111+D115+D125+D129+D41+D81+D29+D62+D45+D36</f>
        <v>87</v>
      </c>
      <c r="E180" s="1397"/>
      <c r="F180" s="1125"/>
      <c r="G180" s="1125"/>
      <c r="H180" s="1126">
        <f>+H15+H19+H25+H32+H41+H50+H54+H58+H66+H70+H77+H91+H101+H105+H111+H115+H125+H129+H143+H154+H166+H177+H81+H62+H29+H45+H36</f>
        <v>7210500</v>
      </c>
      <c r="I180" s="1114">
        <v>0</v>
      </c>
      <c r="J180" s="1126">
        <f t="shared" ref="J180:P180" si="33">+J15+J19+J25+J32+J41+J50+J54+J58+J66+J70+J77+J91+J101+J105+J111+J115+J125+J129+J143+J154+J166+J177+J81+J62+J29+J45+J36</f>
        <v>7210500</v>
      </c>
      <c r="K180" s="1126">
        <f t="shared" si="33"/>
        <v>206941.35000000003</v>
      </c>
      <c r="L180" s="1126">
        <f t="shared" si="33"/>
        <v>732844.42999999993</v>
      </c>
      <c r="M180" s="1126">
        <f t="shared" si="33"/>
        <v>219199.19999999998</v>
      </c>
      <c r="N180" s="1126">
        <f t="shared" si="33"/>
        <v>135584.27999999997</v>
      </c>
      <c r="O180" s="1126">
        <f t="shared" si="33"/>
        <v>1294569.2600000002</v>
      </c>
      <c r="P180" s="1126">
        <f t="shared" si="33"/>
        <v>5915930.7399999993</v>
      </c>
    </row>
    <row r="181" spans="2:17" ht="17.25" customHeight="1" x14ac:dyDescent="0.25">
      <c r="B181" s="259"/>
      <c r="C181" s="1220"/>
      <c r="D181" s="259"/>
      <c r="E181" s="546"/>
      <c r="F181" s="546"/>
      <c r="G181" s="546"/>
      <c r="H181" s="862"/>
      <c r="I181" s="259"/>
      <c r="J181" s="259"/>
      <c r="K181" s="660"/>
      <c r="L181" s="660"/>
      <c r="M181" s="531"/>
      <c r="N181" s="660"/>
      <c r="O181" s="660"/>
      <c r="P181" s="259"/>
      <c r="Q181" s="259"/>
    </row>
    <row r="182" spans="2:17" ht="17.25" customHeight="1" x14ac:dyDescent="0.25">
      <c r="B182" s="259"/>
      <c r="C182" s="1220"/>
      <c r="D182" s="259"/>
      <c r="E182" s="546"/>
      <c r="F182" s="546"/>
      <c r="G182" s="546"/>
      <c r="H182" s="1179"/>
      <c r="I182" s="259"/>
      <c r="J182" s="259"/>
      <c r="K182" s="660"/>
      <c r="L182" s="660"/>
      <c r="M182" s="531"/>
      <c r="N182" s="660"/>
      <c r="O182" s="660"/>
      <c r="P182" s="259"/>
      <c r="Q182" s="259"/>
    </row>
    <row r="183" spans="2:17" ht="17.25" customHeight="1" x14ac:dyDescent="0.3">
      <c r="B183" s="259"/>
      <c r="C183" s="1220"/>
      <c r="D183" s="1576"/>
      <c r="E183" s="546"/>
      <c r="F183" s="546"/>
      <c r="G183" s="546"/>
      <c r="H183" s="1179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25">
      <c r="B184" s="259"/>
      <c r="C184" s="1220"/>
      <c r="D184" s="259"/>
      <c r="E184" s="531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7.25" customHeight="1" x14ac:dyDescent="0.25">
      <c r="B185" s="259"/>
      <c r="C185" s="1220"/>
      <c r="D185" s="259"/>
      <c r="E185" s="531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 t="s">
        <v>641</v>
      </c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537"/>
      <c r="C194" s="1062"/>
      <c r="D194" s="537"/>
      <c r="E194" s="1398"/>
      <c r="F194" s="692"/>
      <c r="G194" s="692"/>
      <c r="H194" s="537"/>
      <c r="I194" s="537"/>
      <c r="J194" s="537"/>
      <c r="K194" s="537"/>
      <c r="L194" s="537"/>
      <c r="M194" s="542"/>
      <c r="N194" s="537"/>
      <c r="O194" s="537"/>
      <c r="P194" s="537"/>
      <c r="Q194" s="537"/>
    </row>
    <row r="195" spans="2:17" ht="17.25" customHeight="1" x14ac:dyDescent="0.25">
      <c r="B195" s="537"/>
      <c r="C195" s="1062"/>
      <c r="D195" s="537"/>
      <c r="E195" s="1398"/>
      <c r="F195" s="692"/>
      <c r="G195" s="692"/>
      <c r="H195" s="537"/>
      <c r="I195" s="537"/>
      <c r="J195" s="537"/>
      <c r="K195" s="537"/>
      <c r="L195" s="537"/>
      <c r="M195" s="542"/>
      <c r="N195" s="537"/>
      <c r="O195" s="537"/>
      <c r="P195" s="537"/>
      <c r="Q195" s="537"/>
    </row>
    <row r="196" spans="2:17" ht="17.25" customHeight="1" x14ac:dyDescent="0.25">
      <c r="B196" s="537"/>
      <c r="C196" s="1062"/>
      <c r="D196" s="537"/>
      <c r="E196" s="542"/>
      <c r="F196" s="537"/>
      <c r="G196" s="537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42" t="s">
        <v>1449</v>
      </c>
      <c r="C197" s="1202"/>
      <c r="D197" s="542"/>
      <c r="E197" s="691"/>
      <c r="F197" s="691"/>
      <c r="G197" s="691"/>
      <c r="H197" s="866"/>
      <c r="I197" s="674" t="s">
        <v>1377</v>
      </c>
      <c r="K197" s="674"/>
      <c r="L197" s="674"/>
      <c r="M197" s="1153"/>
      <c r="N197" s="1097"/>
      <c r="P197" s="674"/>
      <c r="Q197" s="544"/>
    </row>
    <row r="198" spans="2:17" ht="17.25" customHeight="1" x14ac:dyDescent="0.25">
      <c r="B198" s="546" t="s">
        <v>935</v>
      </c>
      <c r="C198" s="1203"/>
      <c r="D198" s="546"/>
      <c r="E198" s="1399"/>
      <c r="F198" s="538"/>
      <c r="G198" s="538"/>
      <c r="H198" s="467"/>
      <c r="I198" s="537"/>
      <c r="J198" s="1622" t="s">
        <v>1375</v>
      </c>
      <c r="K198" s="1622"/>
      <c r="L198" s="1622"/>
      <c r="M198" s="1622"/>
      <c r="N198" s="1622"/>
      <c r="O198" s="1622"/>
      <c r="P198" s="1622"/>
      <c r="Q198" s="539"/>
    </row>
    <row r="199" spans="2:17" ht="17.25" customHeight="1" x14ac:dyDescent="0.25">
      <c r="B199" s="542" t="s">
        <v>1231</v>
      </c>
      <c r="C199" s="1202"/>
      <c r="D199" s="542"/>
      <c r="E199" s="542"/>
      <c r="G199" s="1062"/>
      <c r="H199" s="1062"/>
      <c r="I199" s="1062"/>
      <c r="J199" s="1623" t="s">
        <v>1554</v>
      </c>
      <c r="K199" s="1623"/>
      <c r="L199" s="1623"/>
      <c r="M199" s="1623"/>
      <c r="N199" s="1623"/>
      <c r="O199" s="1623"/>
      <c r="P199" s="1623"/>
      <c r="Q199" s="537"/>
    </row>
    <row r="200" spans="2:17" ht="213" customHeight="1" x14ac:dyDescent="0.25">
      <c r="B200" s="546"/>
      <c r="C200" s="1203"/>
      <c r="D200" s="546"/>
      <c r="E200" s="546"/>
      <c r="F200" s="547"/>
      <c r="G200" s="547"/>
      <c r="H200" s="546"/>
      <c r="I200" s="541"/>
      <c r="J200" s="540"/>
      <c r="K200" s="537"/>
      <c r="L200" s="673" t="s">
        <v>1374</v>
      </c>
      <c r="M200" s="866"/>
      <c r="N200" s="673"/>
      <c r="O200" s="673"/>
      <c r="P200" s="673"/>
      <c r="Q200" s="673"/>
    </row>
    <row r="201" spans="2:17" ht="12" customHeight="1" x14ac:dyDescent="0.25">
      <c r="B201" s="267"/>
      <c r="C201" s="1228"/>
      <c r="D201" s="267"/>
      <c r="E201" s="267"/>
      <c r="F201" s="268"/>
      <c r="G201" s="268"/>
      <c r="H201" s="268"/>
      <c r="I201" s="269"/>
      <c r="J201" s="268"/>
      <c r="K201" s="268"/>
      <c r="L201" s="268"/>
      <c r="M201" s="267"/>
      <c r="N201" s="205"/>
      <c r="O201" s="1324"/>
      <c r="P201" s="271"/>
      <c r="Q201" s="259"/>
    </row>
    <row r="202" spans="2:17" s="259" customFormat="1" ht="24" hidden="1" customHeight="1" x14ac:dyDescent="0.25">
      <c r="C202" s="1220"/>
      <c r="E202" s="668"/>
      <c r="F202" s="668"/>
      <c r="G202" s="668"/>
      <c r="M202" s="531"/>
      <c r="N202"/>
      <c r="O202"/>
    </row>
    <row r="203" spans="2:17" x14ac:dyDescent="0.25">
      <c r="L203" s="259"/>
      <c r="M203" s="531"/>
    </row>
  </sheetData>
  <mergeCells count="21">
    <mergeCell ref="N10:N11"/>
    <mergeCell ref="O10:O11"/>
    <mergeCell ref="P10:P11"/>
    <mergeCell ref="J198:P198"/>
    <mergeCell ref="J199:P199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6" min="1" max="15" man="1"/>
    <brk id="154" min="1" max="15" man="1"/>
  </rowBreaks>
  <drawing r:id="rId2"/>
</worksheet>
</file>

<file path=xl/worksheets/sheet3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E42DD-E8F5-4ECD-8F82-6AF917288AFB}">
  <sheetPr>
    <pageSetUpPr fitToPage="1"/>
  </sheetPr>
  <dimension ref="A1:M83"/>
  <sheetViews>
    <sheetView showGridLines="0" topLeftCell="B1" zoomScale="80" zoomScaleNormal="80" workbookViewId="0">
      <selection activeCell="T19" sqref="T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5.425781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732" t="s">
        <v>0</v>
      </c>
      <c r="C6" s="1732"/>
      <c r="D6" s="1732"/>
      <c r="E6" s="1732"/>
      <c r="F6" s="1732"/>
      <c r="G6" s="1732"/>
      <c r="H6" s="1732"/>
      <c r="I6" s="1732"/>
      <c r="J6" s="1732"/>
      <c r="K6" s="1732"/>
      <c r="L6" s="1732"/>
      <c r="M6" s="1732"/>
    </row>
    <row r="7" spans="2:13" s="1412" customFormat="1" ht="12.75" customHeight="1" x14ac:dyDescent="0.25">
      <c r="B7" s="1732" t="s">
        <v>1</v>
      </c>
      <c r="C7" s="1732"/>
      <c r="D7" s="1732"/>
      <c r="E7" s="1732"/>
      <c r="F7" s="1732"/>
      <c r="G7" s="1732"/>
      <c r="H7" s="1732"/>
      <c r="I7" s="1732"/>
      <c r="J7" s="1732"/>
      <c r="K7" s="1732"/>
      <c r="L7" s="1732"/>
      <c r="M7" s="1732"/>
    </row>
    <row r="8" spans="2:13" s="1412" customFormat="1" ht="12.75" customHeight="1" x14ac:dyDescent="0.25">
      <c r="B8" s="1732" t="s">
        <v>3</v>
      </c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2:13" s="1412" customFormat="1" ht="12.75" customHeight="1" x14ac:dyDescent="0.25">
      <c r="B9" s="1732" t="s">
        <v>1866</v>
      </c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2:13" s="1412" customFormat="1" ht="12.75" customHeight="1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40" t="s">
        <v>7</v>
      </c>
      <c r="C12" s="1941" t="s">
        <v>802</v>
      </c>
      <c r="D12" s="1941" t="s">
        <v>9</v>
      </c>
      <c r="E12" s="1541" t="s">
        <v>12</v>
      </c>
      <c r="F12" s="1942" t="s">
        <v>13</v>
      </c>
      <c r="G12" s="1938" t="s">
        <v>14</v>
      </c>
      <c r="H12" s="1938" t="s">
        <v>15</v>
      </c>
      <c r="I12" s="1938" t="s">
        <v>16</v>
      </c>
      <c r="J12" s="1938" t="s">
        <v>17</v>
      </c>
      <c r="K12" s="1938" t="s">
        <v>18</v>
      </c>
      <c r="L12" s="1938" t="s">
        <v>19</v>
      </c>
      <c r="M12" s="1938" t="s">
        <v>20</v>
      </c>
    </row>
    <row r="13" spans="2:13" s="205" customFormat="1" ht="15" customHeight="1" x14ac:dyDescent="0.25">
      <c r="B13" s="1940"/>
      <c r="C13" s="1941"/>
      <c r="D13" s="1941"/>
      <c r="E13" s="1541" t="s">
        <v>21</v>
      </c>
      <c r="F13" s="1942"/>
      <c r="G13" s="1938"/>
      <c r="H13" s="1938"/>
      <c r="I13" s="1938"/>
      <c r="J13" s="1938"/>
      <c r="K13" s="1938"/>
      <c r="L13" s="1938"/>
      <c r="M13" s="1938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606" t="s">
        <v>1732</v>
      </c>
      <c r="C42" s="1607"/>
      <c r="D42" s="1366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6" customFormat="1" ht="37.5" customHeight="1" x14ac:dyDescent="0.3">
      <c r="B43" s="1608" t="s">
        <v>1643</v>
      </c>
      <c r="C43" s="1607" t="s">
        <v>807</v>
      </c>
      <c r="D43" s="1363" t="s">
        <v>1204</v>
      </c>
      <c r="E43" s="1078">
        <v>12500</v>
      </c>
      <c r="F43" s="1004">
        <v>0</v>
      </c>
      <c r="G43" s="1003">
        <v>12500</v>
      </c>
      <c r="H43" s="1003">
        <v>358.75</v>
      </c>
      <c r="I43" s="1003">
        <v>1797.34</v>
      </c>
      <c r="J43" s="1003">
        <v>380</v>
      </c>
      <c r="K43" s="1592">
        <v>0</v>
      </c>
      <c r="L43" s="1003">
        <f>SUM(H43:K43)</f>
        <v>2536.09</v>
      </c>
      <c r="M43" s="1003">
        <f>+G43-L43</f>
        <v>9963.91</v>
      </c>
    </row>
    <row r="44" spans="2:13" s="206" customFormat="1" ht="37.5" customHeight="1" x14ac:dyDescent="0.3">
      <c r="B44" s="1608"/>
      <c r="C44" s="1607"/>
      <c r="D44" s="1366">
        <v>1</v>
      </c>
      <c r="E44" s="1595">
        <v>12500</v>
      </c>
      <c r="F44" s="1596">
        <v>0</v>
      </c>
      <c r="G44" s="1601">
        <v>12500</v>
      </c>
      <c r="H44" s="1601">
        <v>358.75</v>
      </c>
      <c r="I44" s="1601">
        <v>1797.34</v>
      </c>
      <c r="J44" s="1601">
        <v>380</v>
      </c>
      <c r="K44" s="1597">
        <v>0</v>
      </c>
      <c r="L44" s="1601">
        <f>SUM(H44:K44)</f>
        <v>2536.09</v>
      </c>
      <c r="M44" s="1601">
        <f>+G44-L44</f>
        <v>9963.91</v>
      </c>
    </row>
    <row r="45" spans="2:13" s="206" customFormat="1" ht="37.5" customHeight="1" x14ac:dyDescent="0.3">
      <c r="B45" s="1593"/>
      <c r="C45" s="1593"/>
      <c r="D45" s="1594"/>
      <c r="E45" s="1595"/>
      <c r="F45" s="1596"/>
      <c r="G45" s="1601"/>
      <c r="H45" s="1601"/>
      <c r="I45" s="1601"/>
      <c r="J45" s="1601"/>
      <c r="K45" s="1597"/>
      <c r="L45" s="1601"/>
      <c r="M45" s="1601"/>
    </row>
    <row r="46" spans="2:13" s="205" customFormat="1" ht="37.5" customHeight="1" x14ac:dyDescent="0.3">
      <c r="B46" s="1375" t="s">
        <v>865</v>
      </c>
      <c r="C46" s="1610"/>
      <c r="D46" s="1611">
        <f>+D16+D20+D28+D41+D44+D37+D24+D32</f>
        <v>8</v>
      </c>
      <c r="E46" s="1612">
        <f>+E16+E20+E24+E28+E37+E41+E44+E32</f>
        <v>217500</v>
      </c>
      <c r="F46" s="1613">
        <v>0</v>
      </c>
      <c r="G46" s="1612">
        <f t="shared" ref="G46:M46" si="1">+G16+G20+G24+G28+G37+G41+G44+G32</f>
        <v>217500</v>
      </c>
      <c r="H46" s="1612">
        <f t="shared" si="1"/>
        <v>6242.25</v>
      </c>
      <c r="I46" s="1612">
        <f t="shared" si="1"/>
        <v>47854.96</v>
      </c>
      <c r="J46" s="1612">
        <f t="shared" si="1"/>
        <v>6612</v>
      </c>
      <c r="K46" s="1614">
        <v>0</v>
      </c>
      <c r="L46" s="1612">
        <f t="shared" si="1"/>
        <v>60709.21</v>
      </c>
      <c r="M46" s="161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56.2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52.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10.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hidden="1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43" t="s">
        <v>1250</v>
      </c>
      <c r="H57" s="1943"/>
      <c r="I57" s="1943"/>
      <c r="J57" s="1943"/>
      <c r="K57" s="1943"/>
      <c r="L57" s="1943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44" t="s">
        <v>852</v>
      </c>
      <c r="H58" s="1944"/>
      <c r="I58" s="1944"/>
      <c r="J58" s="1944"/>
      <c r="K58" s="1944"/>
      <c r="L58" s="1944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45" t="s">
        <v>1506</v>
      </c>
      <c r="H59" s="1945"/>
      <c r="I59" s="1945"/>
      <c r="J59" s="1945"/>
      <c r="K59" s="1945"/>
      <c r="L59" s="1945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46"/>
      <c r="I60" s="1946"/>
      <c r="J60" s="1946"/>
      <c r="K60" s="1946"/>
      <c r="L60" s="1946"/>
      <c r="M60" s="1946"/>
    </row>
    <row r="61" spans="2:13" ht="53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68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49.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734"/>
      <c r="G73" s="1734"/>
      <c r="H73" s="1734"/>
      <c r="I73" s="1734"/>
      <c r="J73" s="1734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3" right="0.21" top="0.15" bottom="0.01" header="0.12" footer="0.02"/>
  <pageSetup scale="51" fitToHeight="0" orientation="landscape" r:id="rId1"/>
  <rowBreaks count="1" manualBreakCount="1">
    <brk id="38" min="1" max="12" man="1"/>
  </rowBreaks>
  <colBreaks count="1" manualBreakCount="1">
    <brk id="3" max="64" man="1"/>
  </colBreaks>
  <drawing r:id="rId2"/>
</worksheet>
</file>

<file path=xl/worksheets/sheet3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00DFA5-4BA2-45EF-BC7D-C1A61AD920FD}">
  <sheetPr>
    <pageSetUpPr fitToPage="1"/>
  </sheetPr>
  <dimension ref="A1:M80"/>
  <sheetViews>
    <sheetView zoomScale="80" zoomScaleNormal="80" zoomScaleSheetLayoutView="80" workbookViewId="0">
      <selection activeCell="C68" sqref="C68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765" t="s">
        <v>0</v>
      </c>
      <c r="B7" s="1765"/>
      <c r="C7" s="1765"/>
      <c r="D7" s="1765"/>
      <c r="E7" s="1765"/>
      <c r="F7" s="1765"/>
      <c r="G7" s="1765"/>
      <c r="H7" s="1765"/>
      <c r="I7" s="1765"/>
      <c r="J7" s="1765"/>
      <c r="K7" s="1765"/>
      <c r="L7" s="1765"/>
      <c r="M7" s="1765"/>
    </row>
    <row r="8" spans="1:13" x14ac:dyDescent="0.25">
      <c r="A8" s="1732" t="s">
        <v>1</v>
      </c>
      <c r="B8" s="1732"/>
      <c r="C8" s="1732"/>
      <c r="D8" s="1732"/>
      <c r="E8" s="1732"/>
      <c r="F8" s="1732"/>
      <c r="G8" s="1732"/>
      <c r="H8" s="1732"/>
      <c r="I8" s="1732"/>
      <c r="J8" s="1732"/>
      <c r="K8" s="1732"/>
      <c r="L8" s="1732"/>
      <c r="M8" s="1732"/>
    </row>
    <row r="9" spans="1:13" x14ac:dyDescent="0.25">
      <c r="A9" s="1732" t="s">
        <v>3</v>
      </c>
      <c r="B9" s="1732"/>
      <c r="C9" s="1732"/>
      <c r="D9" s="1732"/>
      <c r="E9" s="1732"/>
      <c r="F9" s="1732"/>
      <c r="G9" s="1732"/>
      <c r="H9" s="1732"/>
      <c r="I9" s="1732"/>
      <c r="J9" s="1732"/>
      <c r="K9" s="1732"/>
      <c r="L9" s="1732"/>
      <c r="M9" s="1732"/>
    </row>
    <row r="10" spans="1:13" x14ac:dyDescent="0.25">
      <c r="A10" s="1732" t="s">
        <v>1869</v>
      </c>
      <c r="B10" s="1732"/>
      <c r="C10" s="1732"/>
      <c r="D10" s="1732"/>
      <c r="E10" s="1732"/>
      <c r="F10" s="1732"/>
      <c r="G10" s="1732"/>
      <c r="H10" s="1732"/>
      <c r="I10" s="1732"/>
      <c r="J10" s="1732"/>
      <c r="K10" s="1732"/>
      <c r="L10" s="1732"/>
      <c r="M10" s="1732"/>
    </row>
    <row r="11" spans="1:13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887" t="s">
        <v>7</v>
      </c>
      <c r="B13" s="1887" t="s">
        <v>937</v>
      </c>
      <c r="C13" s="1887" t="s">
        <v>10</v>
      </c>
      <c r="D13" s="1887" t="s">
        <v>11</v>
      </c>
      <c r="E13" s="1047" t="s">
        <v>12</v>
      </c>
      <c r="F13" s="1887" t="s">
        <v>13</v>
      </c>
      <c r="G13" s="1887" t="s">
        <v>14</v>
      </c>
      <c r="H13" s="1887" t="s">
        <v>15</v>
      </c>
      <c r="I13" s="1887" t="s">
        <v>16</v>
      </c>
      <c r="J13" s="1887" t="s">
        <v>17</v>
      </c>
      <c r="K13" s="1887" t="s">
        <v>18</v>
      </c>
      <c r="L13" s="1887" t="s">
        <v>19</v>
      </c>
      <c r="M13" s="1887" t="s">
        <v>20</v>
      </c>
    </row>
    <row r="14" spans="1:13" x14ac:dyDescent="0.25">
      <c r="A14" s="1887"/>
      <c r="B14" s="1887"/>
      <c r="C14" s="1887"/>
      <c r="D14" s="1887"/>
      <c r="E14" s="1047" t="s">
        <v>21</v>
      </c>
      <c r="F14" s="1887"/>
      <c r="G14" s="1887"/>
      <c r="H14" s="1887"/>
      <c r="I14" s="1887"/>
      <c r="J14" s="1887"/>
      <c r="K14" s="1887"/>
      <c r="L14" s="1887"/>
      <c r="M14" s="188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1797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1799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15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15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527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870" t="s">
        <v>1269</v>
      </c>
      <c r="B64" s="1870"/>
      <c r="C64" s="753"/>
      <c r="D64" s="753"/>
      <c r="E64" s="754"/>
      <c r="F64" s="755"/>
      <c r="H64" s="1871" t="s">
        <v>852</v>
      </c>
      <c r="I64" s="1871"/>
      <c r="J64" s="1871"/>
      <c r="K64" s="1871"/>
      <c r="L64" s="1871"/>
      <c r="M64" s="1871"/>
    </row>
    <row r="65" spans="1:13" s="259" customFormat="1" ht="19.5" customHeight="1" x14ac:dyDescent="0.25">
      <c r="A65" s="1809" t="s">
        <v>1813</v>
      </c>
      <c r="B65" s="1809"/>
      <c r="C65" s="753"/>
      <c r="D65" s="753"/>
      <c r="E65" s="754"/>
      <c r="F65" s="755"/>
      <c r="H65" s="1623" t="s">
        <v>1505</v>
      </c>
      <c r="I65" s="1623"/>
      <c r="J65" s="1623"/>
      <c r="K65" s="1623"/>
      <c r="L65" s="1623"/>
      <c r="M65" s="1623"/>
    </row>
    <row r="66" spans="1:13" ht="153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810"/>
      <c r="I77" s="1810"/>
      <c r="J77" s="1810"/>
      <c r="K77" s="1810"/>
      <c r="L77" s="1810"/>
      <c r="M77" s="1810"/>
    </row>
    <row r="78" spans="1:13" ht="15.75" x14ac:dyDescent="0.25">
      <c r="A78" s="267"/>
      <c r="B78" s="267"/>
      <c r="C78" s="268"/>
      <c r="D78" s="268"/>
      <c r="E78" s="269"/>
      <c r="F78" s="1738"/>
      <c r="G78" s="1738"/>
      <c r="H78" s="1738"/>
      <c r="I78" s="1738"/>
      <c r="J78" s="1738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2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357</vt:i4>
      </vt:variant>
      <vt:variant>
        <vt:lpstr>Rangos con nombre</vt:lpstr>
      </vt:variant>
      <vt:variant>
        <vt:i4>103</vt:i4>
      </vt:variant>
    </vt:vector>
  </HeadingPairs>
  <TitlesOfParts>
    <vt:vector size="460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NOMINA FIJA DICIEMBRE 2025</vt:lpstr>
      <vt:lpstr>NOM EMPLE TEMPLO DICIEMBRE 2025</vt:lpstr>
      <vt:lpstr>NOMINA SUPLENCIA DICIEMBRE 2025</vt:lpstr>
      <vt:lpstr>NOMINA MILITAR DICIEMBRE 2025</vt:lpstr>
      <vt:lpstr>NOMINA FIJA ENERO 2026</vt:lpstr>
      <vt:lpstr>NOM EMPLE TEMPLO ENERO 2026</vt:lpstr>
      <vt:lpstr>NOMINA SUPLENCIA ENERO 2026</vt:lpstr>
      <vt:lpstr>NOMINA MILITAR ENERO 2026</vt:lpstr>
      <vt:lpstr>NOMINA FIJA FEBRERO 2026</vt:lpstr>
      <vt:lpstr>NOM EMPLE TEMPLO FEBRERO 2026</vt:lpstr>
      <vt:lpstr>NOMINA SUPLENCIA FEBRERO 2026</vt:lpstr>
      <vt:lpstr>NOMINA MILITAR FEBRERO 2026 </vt:lpstr>
      <vt:lpstr>'NOM EMPLE TEMPLO DICIEMBRE 2025'!Área_de_impresión</vt:lpstr>
      <vt:lpstr>'NOM EMPLE TEMPLO ENERO 2026'!Área_de_impresión</vt:lpstr>
      <vt:lpstr>'NOM EMPLE TEMPLO FEBRERO 2026'!Área_de_impresión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DICIEMBRE 2025'!Área_de_impresión</vt:lpstr>
      <vt:lpstr>'NOMINA FIJA ENERO 2025'!Área_de_impresión</vt:lpstr>
      <vt:lpstr>'NOMINA FIJA ENERO 2026'!Área_de_impresión</vt:lpstr>
      <vt:lpstr>'NOMINA FIJA FEBRERO 2024'!Área_de_impresión</vt:lpstr>
      <vt:lpstr>'NOMINA FIJA FEBRERO 2025'!Área_de_impresión</vt:lpstr>
      <vt:lpstr>'NOMINA FIJA FEBRERO 2026'!Área_de_impresión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DICIEMBRE 2025'!Área_de_impresión</vt:lpstr>
      <vt:lpstr>'NOMINA MILITAR ENERO 2025'!Área_de_impresión</vt:lpstr>
      <vt:lpstr>'NOMINA MILITAR ENERO 2026'!Área_de_impresión</vt:lpstr>
      <vt:lpstr>'NOMINA MILITAR FEBRERO 2025 '!Área_de_impresión</vt:lpstr>
      <vt:lpstr>'NOMINA MILITAR FEBRERO 2026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DICIEMBRE 2025'!Área_de_impresión</vt:lpstr>
      <vt:lpstr>'NOMINA SUPLENCIA ENERO 2025'!Área_de_impresión</vt:lpstr>
      <vt:lpstr>'NOMINA SUPLENCIA ENERO 2026'!Área_de_impresión</vt:lpstr>
      <vt:lpstr>'NOMINA SUPLENCIA FEBRERO 2025'!Área_de_impresión</vt:lpstr>
      <vt:lpstr>'NOMINA SUPLENCIA FEBRERO 2026'!Área_de_impresión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2026-02-24T20:41:44Z</cp:lastPrinted>
  <dcterms:created xsi:type="dcterms:W3CDTF">2021-05-01T19:45:01Z</dcterms:created>
  <dcterms:modified xsi:type="dcterms:W3CDTF">2026-03-03T14:34:32Z</dcterms:modified>
</cp:coreProperties>
</file>