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worksheets/sheet279.xml" ContentType="application/vnd.openxmlformats-officedocument.spreadsheetml.worksheet+xml"/>
  <Override PartName="/xl/worksheets/sheet280.xml" ContentType="application/vnd.openxmlformats-officedocument.spreadsheetml.worksheet+xml"/>
  <Override PartName="/xl/worksheets/sheet281.xml" ContentType="application/vnd.openxmlformats-officedocument.spreadsheetml.worksheet+xml"/>
  <Override PartName="/xl/worksheets/sheet282.xml" ContentType="application/vnd.openxmlformats-officedocument.spreadsheetml.worksheet+xml"/>
  <Override PartName="/xl/worksheets/sheet283.xml" ContentType="application/vnd.openxmlformats-officedocument.spreadsheetml.worksheet+xml"/>
  <Override PartName="/xl/worksheets/sheet284.xml" ContentType="application/vnd.openxmlformats-officedocument.spreadsheetml.worksheet+xml"/>
  <Override PartName="/xl/worksheets/sheet285.xml" ContentType="application/vnd.openxmlformats-officedocument.spreadsheetml.worksheet+xml"/>
  <Override PartName="/xl/worksheets/sheet286.xml" ContentType="application/vnd.openxmlformats-officedocument.spreadsheetml.worksheet+xml"/>
  <Override PartName="/xl/worksheets/sheet287.xml" ContentType="application/vnd.openxmlformats-officedocument.spreadsheetml.worksheet+xml"/>
  <Override PartName="/xl/worksheets/sheet288.xml" ContentType="application/vnd.openxmlformats-officedocument.spreadsheetml.worksheet+xml"/>
  <Override PartName="/xl/worksheets/sheet289.xml" ContentType="application/vnd.openxmlformats-officedocument.spreadsheetml.worksheet+xml"/>
  <Override PartName="/xl/worksheets/sheet290.xml" ContentType="application/vnd.openxmlformats-officedocument.spreadsheetml.worksheet+xml"/>
  <Override PartName="/xl/worksheets/sheet291.xml" ContentType="application/vnd.openxmlformats-officedocument.spreadsheetml.worksheet+xml"/>
  <Override PartName="/xl/worksheets/sheet292.xml" ContentType="application/vnd.openxmlformats-officedocument.spreadsheetml.worksheet+xml"/>
  <Override PartName="/xl/worksheets/sheet293.xml" ContentType="application/vnd.openxmlformats-officedocument.spreadsheetml.worksheet+xml"/>
  <Override PartName="/xl/worksheets/sheet294.xml" ContentType="application/vnd.openxmlformats-officedocument.spreadsheetml.worksheet+xml"/>
  <Override PartName="/xl/worksheets/sheet295.xml" ContentType="application/vnd.openxmlformats-officedocument.spreadsheetml.worksheet+xml"/>
  <Override PartName="/xl/worksheets/sheet296.xml" ContentType="application/vnd.openxmlformats-officedocument.spreadsheetml.worksheet+xml"/>
  <Override PartName="/xl/worksheets/sheet297.xml" ContentType="application/vnd.openxmlformats-officedocument.spreadsheetml.worksheet+xml"/>
  <Override PartName="/xl/worksheets/sheet298.xml" ContentType="application/vnd.openxmlformats-officedocument.spreadsheetml.worksheet+xml"/>
  <Override PartName="/xl/worksheets/sheet299.xml" ContentType="application/vnd.openxmlformats-officedocument.spreadsheetml.worksheet+xml"/>
  <Override PartName="/xl/worksheets/sheet300.xml" ContentType="application/vnd.openxmlformats-officedocument.spreadsheetml.worksheet+xml"/>
  <Override PartName="/xl/worksheets/sheet301.xml" ContentType="application/vnd.openxmlformats-officedocument.spreadsheetml.worksheet+xml"/>
  <Override PartName="/xl/worksheets/sheet302.xml" ContentType="application/vnd.openxmlformats-officedocument.spreadsheetml.worksheet+xml"/>
  <Override PartName="/xl/worksheets/sheet303.xml" ContentType="application/vnd.openxmlformats-officedocument.spreadsheetml.worksheet+xml"/>
  <Override PartName="/xl/worksheets/sheet304.xml" ContentType="application/vnd.openxmlformats-officedocument.spreadsheetml.worksheet+xml"/>
  <Override PartName="/xl/worksheets/sheet305.xml" ContentType="application/vnd.openxmlformats-officedocument.spreadsheetml.worksheet+xml"/>
  <Override PartName="/xl/worksheets/sheet306.xml" ContentType="application/vnd.openxmlformats-officedocument.spreadsheetml.worksheet+xml"/>
  <Override PartName="/xl/worksheets/sheet307.xml" ContentType="application/vnd.openxmlformats-officedocument.spreadsheetml.worksheet+xml"/>
  <Override PartName="/xl/worksheets/sheet308.xml" ContentType="application/vnd.openxmlformats-officedocument.spreadsheetml.worksheet+xml"/>
  <Override PartName="/xl/worksheets/sheet309.xml" ContentType="application/vnd.openxmlformats-officedocument.spreadsheetml.worksheet+xml"/>
  <Override PartName="/xl/worksheets/sheet310.xml" ContentType="application/vnd.openxmlformats-officedocument.spreadsheetml.worksheet+xml"/>
  <Override PartName="/xl/worksheets/sheet311.xml" ContentType="application/vnd.openxmlformats-officedocument.spreadsheetml.worksheet+xml"/>
  <Override PartName="/xl/worksheets/sheet312.xml" ContentType="application/vnd.openxmlformats-officedocument.spreadsheetml.worksheet+xml"/>
  <Override PartName="/xl/worksheets/sheet313.xml" ContentType="application/vnd.openxmlformats-officedocument.spreadsheetml.worksheet+xml"/>
  <Override PartName="/xl/worksheets/sheet314.xml" ContentType="application/vnd.openxmlformats-officedocument.spreadsheetml.worksheet+xml"/>
  <Override PartName="/xl/worksheets/sheet315.xml" ContentType="application/vnd.openxmlformats-officedocument.spreadsheetml.worksheet+xml"/>
  <Override PartName="/xl/worksheets/sheet316.xml" ContentType="application/vnd.openxmlformats-officedocument.spreadsheetml.worksheet+xml"/>
  <Override PartName="/xl/worksheets/sheet317.xml" ContentType="application/vnd.openxmlformats-officedocument.spreadsheetml.worksheet+xml"/>
  <Override PartName="/xl/worksheets/sheet318.xml" ContentType="application/vnd.openxmlformats-officedocument.spreadsheetml.worksheet+xml"/>
  <Override PartName="/xl/worksheets/sheet319.xml" ContentType="application/vnd.openxmlformats-officedocument.spreadsheetml.worksheet+xml"/>
  <Override PartName="/xl/worksheets/sheet320.xml" ContentType="application/vnd.openxmlformats-officedocument.spreadsheetml.worksheet+xml"/>
  <Override PartName="/xl/worksheets/sheet321.xml" ContentType="application/vnd.openxmlformats-officedocument.spreadsheetml.worksheet+xml"/>
  <Override PartName="/xl/worksheets/sheet322.xml" ContentType="application/vnd.openxmlformats-officedocument.spreadsheetml.worksheet+xml"/>
  <Override PartName="/xl/worksheets/sheet323.xml" ContentType="application/vnd.openxmlformats-officedocument.spreadsheetml.worksheet+xml"/>
  <Override PartName="/xl/worksheets/sheet324.xml" ContentType="application/vnd.openxmlformats-officedocument.spreadsheetml.worksheet+xml"/>
  <Override PartName="/xl/worksheets/sheet325.xml" ContentType="application/vnd.openxmlformats-officedocument.spreadsheetml.worksheet+xml"/>
  <Override PartName="/xl/worksheets/sheet326.xml" ContentType="application/vnd.openxmlformats-officedocument.spreadsheetml.worksheet+xml"/>
  <Override PartName="/xl/worksheets/sheet327.xml" ContentType="application/vnd.openxmlformats-officedocument.spreadsheetml.worksheet+xml"/>
  <Override PartName="/xl/worksheets/sheet328.xml" ContentType="application/vnd.openxmlformats-officedocument.spreadsheetml.worksheet+xml"/>
  <Override PartName="/xl/worksheets/sheet329.xml" ContentType="application/vnd.openxmlformats-officedocument.spreadsheetml.worksheet+xml"/>
  <Override PartName="/xl/worksheets/sheet330.xml" ContentType="application/vnd.openxmlformats-officedocument.spreadsheetml.worksheet+xml"/>
  <Override PartName="/xl/worksheets/sheet331.xml" ContentType="application/vnd.openxmlformats-officedocument.spreadsheetml.worksheet+xml"/>
  <Override PartName="/xl/worksheets/sheet332.xml" ContentType="application/vnd.openxmlformats-officedocument.spreadsheetml.worksheet+xml"/>
  <Override PartName="/xl/worksheets/sheet333.xml" ContentType="application/vnd.openxmlformats-officedocument.spreadsheetml.worksheet+xml"/>
  <Override PartName="/xl/worksheets/sheet334.xml" ContentType="application/vnd.openxmlformats-officedocument.spreadsheetml.worksheet+xml"/>
  <Override PartName="/xl/worksheets/sheet335.xml" ContentType="application/vnd.openxmlformats-officedocument.spreadsheetml.worksheet+xml"/>
  <Override PartName="/xl/worksheets/sheet336.xml" ContentType="application/vnd.openxmlformats-officedocument.spreadsheetml.worksheet+xml"/>
  <Override PartName="/xl/worksheets/sheet337.xml" ContentType="application/vnd.openxmlformats-officedocument.spreadsheetml.worksheet+xml"/>
  <Override PartName="/xl/worksheets/sheet338.xml" ContentType="application/vnd.openxmlformats-officedocument.spreadsheetml.worksheet+xml"/>
  <Override PartName="/xl/worksheets/sheet339.xml" ContentType="application/vnd.openxmlformats-officedocument.spreadsheetml.worksheet+xml"/>
  <Override PartName="/xl/worksheets/sheet340.xml" ContentType="application/vnd.openxmlformats-officedocument.spreadsheetml.worksheet+xml"/>
  <Override PartName="/xl/worksheets/sheet341.xml" ContentType="application/vnd.openxmlformats-officedocument.spreadsheetml.worksheet+xml"/>
  <Override PartName="/xl/worksheets/sheet342.xml" ContentType="application/vnd.openxmlformats-officedocument.spreadsheetml.worksheet+xml"/>
  <Override PartName="/xl/worksheets/sheet343.xml" ContentType="application/vnd.openxmlformats-officedocument.spreadsheetml.worksheet+xml"/>
  <Override PartName="/xl/worksheets/sheet344.xml" ContentType="application/vnd.openxmlformats-officedocument.spreadsheetml.worksheet+xml"/>
  <Override PartName="/xl/worksheets/sheet345.xml" ContentType="application/vnd.openxmlformats-officedocument.spreadsheetml.worksheet+xml"/>
  <Override PartName="/xl/worksheets/sheet346.xml" ContentType="application/vnd.openxmlformats-officedocument.spreadsheetml.worksheet+xml"/>
  <Override PartName="/xl/worksheets/sheet347.xml" ContentType="application/vnd.openxmlformats-officedocument.spreadsheetml.worksheet+xml"/>
  <Override PartName="/xl/worksheets/sheet348.xml" ContentType="application/vnd.openxmlformats-officedocument.spreadsheetml.worksheet+xml"/>
  <Override PartName="/xl/worksheets/sheet34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drawings/drawing279.xml" ContentType="application/vnd.openxmlformats-officedocument.drawing+xml"/>
  <Override PartName="/xl/drawings/drawing280.xml" ContentType="application/vnd.openxmlformats-officedocument.drawing+xml"/>
  <Override PartName="/xl/drawings/drawing281.xml" ContentType="application/vnd.openxmlformats-officedocument.drawing+xml"/>
  <Override PartName="/xl/drawings/drawing282.xml" ContentType="application/vnd.openxmlformats-officedocument.drawing+xml"/>
  <Override PartName="/xl/drawings/drawing283.xml" ContentType="application/vnd.openxmlformats-officedocument.drawing+xml"/>
  <Override PartName="/xl/drawings/drawing284.xml" ContentType="application/vnd.openxmlformats-officedocument.drawing+xml"/>
  <Override PartName="/xl/drawings/drawing285.xml" ContentType="application/vnd.openxmlformats-officedocument.drawing+xml"/>
  <Override PartName="/xl/drawings/drawing286.xml" ContentType="application/vnd.openxmlformats-officedocument.drawing+xml"/>
  <Override PartName="/xl/drawings/drawing287.xml" ContentType="application/vnd.openxmlformats-officedocument.drawing+xml"/>
  <Override PartName="/xl/drawings/drawing288.xml" ContentType="application/vnd.openxmlformats-officedocument.drawing+xml"/>
  <Override PartName="/xl/drawings/drawing289.xml" ContentType="application/vnd.openxmlformats-officedocument.drawing+xml"/>
  <Override PartName="/xl/drawings/drawing290.xml" ContentType="application/vnd.openxmlformats-officedocument.drawing+xml"/>
  <Override PartName="/xl/drawings/drawing291.xml" ContentType="application/vnd.openxmlformats-officedocument.drawing+xml"/>
  <Override PartName="/xl/drawings/drawing292.xml" ContentType="application/vnd.openxmlformats-officedocument.drawing+xml"/>
  <Override PartName="/xl/drawings/drawing293.xml" ContentType="application/vnd.openxmlformats-officedocument.drawing+xml"/>
  <Override PartName="/xl/drawings/drawing294.xml" ContentType="application/vnd.openxmlformats-officedocument.drawing+xml"/>
  <Override PartName="/xl/drawings/drawing295.xml" ContentType="application/vnd.openxmlformats-officedocument.drawing+xml"/>
  <Override PartName="/xl/drawings/drawing296.xml" ContentType="application/vnd.openxmlformats-officedocument.drawing+xml"/>
  <Override PartName="/xl/drawings/drawing297.xml" ContentType="application/vnd.openxmlformats-officedocument.drawing+xml"/>
  <Override PartName="/xl/drawings/drawing298.xml" ContentType="application/vnd.openxmlformats-officedocument.drawing+xml"/>
  <Override PartName="/xl/drawings/drawing299.xml" ContentType="application/vnd.openxmlformats-officedocument.drawing+xml"/>
  <Override PartName="/xl/drawings/drawing300.xml" ContentType="application/vnd.openxmlformats-officedocument.drawing+xml"/>
  <Override PartName="/xl/drawings/drawing301.xml" ContentType="application/vnd.openxmlformats-officedocument.drawing+xml"/>
  <Override PartName="/xl/drawings/drawing302.xml" ContentType="application/vnd.openxmlformats-officedocument.drawing+xml"/>
  <Override PartName="/xl/drawings/drawing303.xml" ContentType="application/vnd.openxmlformats-officedocument.drawing+xml"/>
  <Override PartName="/xl/drawings/drawing304.xml" ContentType="application/vnd.openxmlformats-officedocument.drawing+xml"/>
  <Override PartName="/xl/drawings/drawing305.xml" ContentType="application/vnd.openxmlformats-officedocument.drawing+xml"/>
  <Override PartName="/xl/drawings/drawing306.xml" ContentType="application/vnd.openxmlformats-officedocument.drawing+xml"/>
  <Override PartName="/xl/drawings/drawing307.xml" ContentType="application/vnd.openxmlformats-officedocument.drawing+xml"/>
  <Override PartName="/xl/drawings/drawing308.xml" ContentType="application/vnd.openxmlformats-officedocument.drawing+xml"/>
  <Override PartName="/xl/drawings/drawing309.xml" ContentType="application/vnd.openxmlformats-officedocument.drawing+xml"/>
  <Override PartName="/xl/drawings/drawing310.xml" ContentType="application/vnd.openxmlformats-officedocument.drawing+xml"/>
  <Override PartName="/xl/drawings/drawing311.xml" ContentType="application/vnd.openxmlformats-officedocument.drawing+xml"/>
  <Override PartName="/xl/drawings/drawing312.xml" ContentType="application/vnd.openxmlformats-officedocument.drawing+xml"/>
  <Override PartName="/xl/drawings/drawing313.xml" ContentType="application/vnd.openxmlformats-officedocument.drawing+xml"/>
  <Override PartName="/xl/drawings/drawing314.xml" ContentType="application/vnd.openxmlformats-officedocument.drawing+xml"/>
  <Override PartName="/xl/drawings/drawing315.xml" ContentType="application/vnd.openxmlformats-officedocument.drawing+xml"/>
  <Override PartName="/xl/drawings/drawing316.xml" ContentType="application/vnd.openxmlformats-officedocument.drawing+xml"/>
  <Override PartName="/xl/drawings/drawing317.xml" ContentType="application/vnd.openxmlformats-officedocument.drawing+xml"/>
  <Override PartName="/xl/drawings/drawing318.xml" ContentType="application/vnd.openxmlformats-officedocument.drawing+xml"/>
  <Override PartName="/xl/drawings/drawing319.xml" ContentType="application/vnd.openxmlformats-officedocument.drawing+xml"/>
  <Override PartName="/xl/drawings/drawing320.xml" ContentType="application/vnd.openxmlformats-officedocument.drawing+xml"/>
  <Override PartName="/xl/drawings/drawing321.xml" ContentType="application/vnd.openxmlformats-officedocument.drawing+xml"/>
  <Override PartName="/xl/drawings/drawing322.xml" ContentType="application/vnd.openxmlformats-officedocument.drawing+xml"/>
  <Override PartName="/xl/drawings/drawing323.xml" ContentType="application/vnd.openxmlformats-officedocument.drawing+xml"/>
  <Override PartName="/xl/drawings/drawing324.xml" ContentType="application/vnd.openxmlformats-officedocument.drawing+xml"/>
  <Override PartName="/xl/drawings/drawing325.xml" ContentType="application/vnd.openxmlformats-officedocument.drawing+xml"/>
  <Override PartName="/xl/drawings/drawing326.xml" ContentType="application/vnd.openxmlformats-officedocument.drawing+xml"/>
  <Override PartName="/xl/drawings/drawing327.xml" ContentType="application/vnd.openxmlformats-officedocument.drawing+xml"/>
  <Override PartName="/xl/drawings/drawing328.xml" ContentType="application/vnd.openxmlformats-officedocument.drawing+xml"/>
  <Override PartName="/xl/drawings/drawing329.xml" ContentType="application/vnd.openxmlformats-officedocument.drawing+xml"/>
  <Override PartName="/xl/drawings/drawing330.xml" ContentType="application/vnd.openxmlformats-officedocument.drawing+xml"/>
  <Override PartName="/xl/drawings/drawing331.xml" ContentType="application/vnd.openxmlformats-officedocument.drawing+xml"/>
  <Override PartName="/xl/drawings/drawing332.xml" ContentType="application/vnd.openxmlformats-officedocument.drawing+xml"/>
  <Override PartName="/xl/drawings/drawing333.xml" ContentType="application/vnd.openxmlformats-officedocument.drawing+xml"/>
  <Override PartName="/xl/drawings/drawing334.xml" ContentType="application/vnd.openxmlformats-officedocument.drawing+xml"/>
  <Override PartName="/xl/drawings/drawing335.xml" ContentType="application/vnd.openxmlformats-officedocument.drawing+xml"/>
  <Override PartName="/xl/drawings/drawing336.xml" ContentType="application/vnd.openxmlformats-officedocument.drawing+xml"/>
  <Override PartName="/xl/drawings/drawing337.xml" ContentType="application/vnd.openxmlformats-officedocument.drawing+xml"/>
  <Override PartName="/xl/drawings/drawing338.xml" ContentType="application/vnd.openxmlformats-officedocument.drawing+xml"/>
  <Override PartName="/xl/drawings/drawing339.xml" ContentType="application/vnd.openxmlformats-officedocument.drawing+xml"/>
  <Override PartName="/xl/drawings/drawing340.xml" ContentType="application/vnd.openxmlformats-officedocument.drawing+xml"/>
  <Override PartName="/xl/drawings/drawing341.xml" ContentType="application/vnd.openxmlformats-officedocument.drawing+xml"/>
  <Override PartName="/xl/drawings/drawing342.xml" ContentType="application/vnd.openxmlformats-officedocument.drawing+xml"/>
  <Override PartName="/xl/drawings/drawing343.xml" ContentType="application/vnd.openxmlformats-officedocument.drawing+xml"/>
  <Override PartName="/xl/drawings/drawing344.xml" ContentType="application/vnd.openxmlformats-officedocument.drawing+xml"/>
  <Override PartName="/xl/drawings/drawing345.xml" ContentType="application/vnd.openxmlformats-officedocument.drawing+xml"/>
  <Override PartName="/xl/drawings/drawing346.xml" ContentType="application/vnd.openxmlformats-officedocument.drawing+xml"/>
  <Override PartName="/xl/drawings/drawing347.xml" ContentType="application/vnd.openxmlformats-officedocument.drawing+xml"/>
  <Override PartName="/xl/drawings/drawing348.xml" ContentType="application/vnd.openxmlformats-officedocument.drawing+xml"/>
  <Override PartName="/xl/drawings/drawing34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328"/>
  <workbookPr/>
  <mc:AlternateContent xmlns:mc="http://schemas.openxmlformats.org/markup-compatibility/2006">
    <mc:Choice Requires="x15">
      <x15ac:absPath xmlns:x15ac="http://schemas.microsoft.com/office/spreadsheetml/2010/11/ac" url="C:\Users\yudy_santos\Desktop\NOMINA PORTAL NOVIEMBRE 2025\"/>
    </mc:Choice>
  </mc:AlternateContent>
  <xr:revisionPtr revIDLastSave="0" documentId="13_ncr:1_{33B7D1A2-C5A3-462A-AA66-24013D0A83FA}" xr6:coauthVersionLast="47" xr6:coauthVersionMax="47" xr10:uidLastSave="{00000000-0000-0000-0000-000000000000}"/>
  <bookViews>
    <workbookView xWindow="-120" yWindow="-120" windowWidth="29040" windowHeight="15720" tabRatio="751" firstSheet="345" activeTab="348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JUN 2024" sheetId="256" r:id="rId245"/>
    <sheet name="NOMINA FIJA JULIO  2024 " sheetId="257" r:id="rId246"/>
    <sheet name="NOMI EMPLEADO JULIO 2024   " sheetId="258" r:id="rId247"/>
    <sheet name="NOMINA MILITAR JULIO  2024 " sheetId="261" r:id="rId248"/>
    <sheet name="NOM INTERINATO JULIO  2024 " sheetId="259" r:id="rId249"/>
    <sheet name="NOMINA SUPLENCIA JULIO 2024 " sheetId="260" r:id="rId250"/>
    <sheet name="NOMINATRAMITE PENSION JULI 2024" sheetId="262" r:id="rId251"/>
    <sheet name="NOMINA FIJA AGOSTO 2024 " sheetId="263" r:id="rId252"/>
    <sheet name="NOMI EMPLEADO TEMPO AGOSTO 2024" sheetId="264" r:id="rId253"/>
    <sheet name="NOMINA MILITAR AGOSTO 2024" sheetId="265" r:id="rId254"/>
    <sheet name="NOM INTERINATO AGOST 2024" sheetId="266" r:id="rId255"/>
    <sheet name="NOMINA SUPLENCIA AGOSTO 2024" sheetId="268" r:id="rId256"/>
    <sheet name="NOMINATRAMITE PENSION AGOST 24" sheetId="269" r:id="rId257"/>
    <sheet name="NOMINA FIJA SEPTIEMBRE 2024" sheetId="270" r:id="rId258"/>
    <sheet name="NOMI EMPLEADO TEMPO SEPTIEM 24" sheetId="271" r:id="rId259"/>
    <sheet name="NOMINA MILITAR SEPTIEMBRE 2024" sheetId="272" r:id="rId260"/>
    <sheet name="NOM INTERINATO SEPTIEMBRE 2024" sheetId="273" r:id="rId261"/>
    <sheet name="NOMINA SUPLENCIA SEPTIEMBRE 24" sheetId="274" r:id="rId262"/>
    <sheet name="NOMINATRAMITE PENSION SEP 2024" sheetId="275" r:id="rId263"/>
    <sheet name="NOM PERIODO PRUEBA SEPTIE 2024" sheetId="276" r:id="rId264"/>
    <sheet name="NOMINA FIJA OCTUBRE 2024" sheetId="277" r:id="rId265"/>
    <sheet name="NOM EMPLE TEMPO OCTUBRE 2024 " sheetId="278" r:id="rId266"/>
    <sheet name="NOMINA MILITAR OCTUBR 2024" sheetId="279" r:id="rId267"/>
    <sheet name="NOM INTERINATO OCTUBRE 2024" sheetId="280" r:id="rId268"/>
    <sheet name="NOMINA SUPLENCIA OCTUBRE 2024" sheetId="283" r:id="rId269"/>
    <sheet name="NOM PERIODO PRUEBA OCTUBRE 24" sheetId="281" r:id="rId270"/>
    <sheet name="NOMI TRAMITE PENSION OCTUBRE 24" sheetId="282" r:id="rId271"/>
    <sheet name="NOMINA FIJA NOVIEMBRE 2024" sheetId="284" r:id="rId272"/>
    <sheet name="NOM EMPLEA TEMPO NOVIEMBRE 2024" sheetId="285" r:id="rId273"/>
    <sheet name="NOMINA MILITAR NOVIEMBRE 2024" sheetId="286" r:id="rId274"/>
    <sheet name="NOM INTERINATO NOVIEMBRE 2024" sheetId="287" r:id="rId275"/>
    <sheet name="NOM PERIODO PRUEBA NOVIEM 2024" sheetId="289" r:id="rId276"/>
    <sheet name="NOMINA SUPLENCIA NOVIEM 2024" sheetId="288" r:id="rId277"/>
    <sheet name="NOMI TRAMITE PENSION NOVIEM 24" sheetId="290" r:id="rId278"/>
    <sheet name="NOMINA FIJA DICIEMBRE 2024" sheetId="293" r:id="rId279"/>
    <sheet name="NOM EMPLEA TEMPO DICIEMBRE 2024" sheetId="294" r:id="rId280"/>
    <sheet name="NOMINA MILITAR DICIEMBRE 2024" sheetId="295" r:id="rId281"/>
    <sheet name="NOM INTERINATO DICIEMBRE 2024" sheetId="296" r:id="rId282"/>
    <sheet name="NOMINA SUPLENCIA DICIEMBRE 2024" sheetId="297" r:id="rId283"/>
    <sheet name="NOM PERIODO PRUEBA DICIEMBRE 24" sheetId="298" r:id="rId284"/>
    <sheet name="NOM TRAMITE PENSION DICIEMB 24" sheetId="299" r:id="rId285"/>
    <sheet name="NOMINA FIJA ENERO 2025" sheetId="300" r:id="rId286"/>
    <sheet name="NOM EMPLEA TEMPO ENERO 2025" sheetId="301" r:id="rId287"/>
    <sheet name="NOMINA MILITAR ENERO 2025" sheetId="302" r:id="rId288"/>
    <sheet name="NOM INTERINATO ENERO 2025" sheetId="303" r:id="rId289"/>
    <sheet name="NOMINA SUPLENCIA ENERO 2025" sheetId="304" r:id="rId290"/>
    <sheet name="NOM PERIODO PRUEBA ENERO 2025" sheetId="305" r:id="rId291"/>
    <sheet name="NOM TRAMITE PENSION ENERO 2025" sheetId="306" r:id="rId292"/>
    <sheet name="NOMINA FIJA FEBRERO 2025" sheetId="307" r:id="rId293"/>
    <sheet name="NOM EMPLEA TEMPO FEBRERO 25" sheetId="308" r:id="rId294"/>
    <sheet name="NOMINA MILITAR FEBRERO 2025 " sheetId="309" r:id="rId295"/>
    <sheet name="NOM INTERINATO FEBRERO 2025" sheetId="310" r:id="rId296"/>
    <sheet name="NOMINA SUPLENCIA FEBRERO 2025" sheetId="311" r:id="rId297"/>
    <sheet name="NOM PERIODO PRUEBA FEBRERO 2025" sheetId="312" r:id="rId298"/>
    <sheet name="NOM TRAMITE PENSION FEBRERO 25" sheetId="313" r:id="rId299"/>
    <sheet name="NOMINA FIJA MARZO 2025" sheetId="314" r:id="rId300"/>
    <sheet name="NOM EMPLEA TEMPO MARZO 2025" sheetId="315" r:id="rId301"/>
    <sheet name="NOMINA MILITAR MARZO 2025" sheetId="316" r:id="rId302"/>
    <sheet name="NOM INTERINATO MARZO 2025" sheetId="317" r:id="rId303"/>
    <sheet name="NOMINA SUPLENCIA MARZO 2025" sheetId="318" r:id="rId304"/>
    <sheet name="NOM PERIODO PRUEBA MARZO 2025" sheetId="319" r:id="rId305"/>
    <sheet name="NOM TRAMITE PENSION MARZO 2025" sheetId="320" r:id="rId306"/>
    <sheet name="NOMINA FIJA ABRIL 2025" sheetId="321" r:id="rId307"/>
    <sheet name="NOM EMPLEA TEMPO ABRIL 2025" sheetId="322" r:id="rId308"/>
    <sheet name="NOMINA MILITAR ABRIL 2025 " sheetId="323" r:id="rId309"/>
    <sheet name="NOM INTERINATO ABRIL 2025 " sheetId="324" r:id="rId310"/>
    <sheet name="NOMINA SUPLENCIA ABRIL 2025 " sheetId="325" r:id="rId311"/>
    <sheet name="NOM PERIODO PRUEBA ABRIL 2025" sheetId="326" r:id="rId312"/>
    <sheet name="NOM TRAMITE PENSION ABRIL 2025" sheetId="327" r:id="rId313"/>
    <sheet name="NOMINA FIJA MAYO 2025 (2)" sheetId="335" r:id="rId314"/>
    <sheet name="NOM EMPLEA TEMPO MAYO 2025" sheetId="329" r:id="rId315"/>
    <sheet name="NOMINA MILITAR MAYO 2025" sheetId="330" r:id="rId316"/>
    <sheet name="NOM INTERINATO MAYO 2025" sheetId="331" r:id="rId317"/>
    <sheet name="NOMINA SUPLENCIA MAYO 2025" sheetId="332" r:id="rId318"/>
    <sheet name="NOM TRAMITE PENSIÓN MAYO 2025" sheetId="333" r:id="rId319"/>
    <sheet name="NOMINA FIJA JUNIO 2025 " sheetId="336" r:id="rId320"/>
    <sheet name="NOM EMPLEA TEMPO JUNIO 2025 " sheetId="337" r:id="rId321"/>
    <sheet name="NOM INTERINATO JUNIO 2025 " sheetId="338" r:id="rId322"/>
    <sheet name="NOMINA SUPLENCIA JUNIO 2025" sheetId="339" r:id="rId323"/>
    <sheet name="NOM TRAMITE PENSIÓN JUNI 20 " sheetId="340" r:id="rId324"/>
    <sheet name="NOMINA MILITAR MAYO 2025 (2)" sheetId="341" r:id="rId325"/>
    <sheet name="NOMINA FIJA JULIO 2025" sheetId="342" r:id="rId326"/>
    <sheet name="NOM EMPLEA TEMPO JULIO 2025" sheetId="343" r:id="rId327"/>
    <sheet name="NOM INTERINATO JULIO 2025 " sheetId="344" r:id="rId328"/>
    <sheet name="NOMINA SUPLENCIA JULIO 2025" sheetId="345" r:id="rId329"/>
    <sheet name="NOMINA MILITAR JULIO 2025" sheetId="346" r:id="rId330"/>
    <sheet name="NOMINA FIJA AGOSTO 2025" sheetId="347" r:id="rId331"/>
    <sheet name="NOM EMPLEA TEMPO AGOSTO 2025" sheetId="348" r:id="rId332"/>
    <sheet name="NOMINA INTERINATO AGOSTO 2025" sheetId="349" r:id="rId333"/>
    <sheet name="NOMINA SUPLENCIA AGOSTO 2025" sheetId="350" r:id="rId334"/>
    <sheet name="NOMINA MILITAR AGOSTO 2025" sheetId="351" r:id="rId335"/>
    <sheet name="NOMINA FIJA SEPTIEMBRE 2025" sheetId="352" r:id="rId336"/>
    <sheet name="NOM EMPLEA TEMPO SEP 2025" sheetId="357" r:id="rId337"/>
    <sheet name="NOMINA INTERINATO SEPTIEMB 2025" sheetId="354" r:id="rId338"/>
    <sheet name="NOMINA SUPLENCIA SEPTIEMB 2025" sheetId="355" r:id="rId339"/>
    <sheet name="NOMINA MILITAR SEPTIEM 2025" sheetId="356" r:id="rId340"/>
    <sheet name="NOMINA FIJA OCTUBRE 2025" sheetId="358" r:id="rId341"/>
    <sheet name="NOM EMPLEA TEMPO OCTUBRE 2025" sheetId="359" r:id="rId342"/>
    <sheet name="NOMINA INTERINATO OCTUBRE 2025" sheetId="360" r:id="rId343"/>
    <sheet name="NOMINA SUPLENCIA OCTUBRE 2025" sheetId="361" r:id="rId344"/>
    <sheet name="NOMINA MILITAR OCTUBRE 2025 " sheetId="362" r:id="rId345"/>
    <sheet name="NOMINA FIJA NOVIEMBRE 2025" sheetId="363" r:id="rId346"/>
    <sheet name="NOM EMPLEA TEMPO NOVIEMBRE 2025" sheetId="364" r:id="rId347"/>
    <sheet name="NOMINA SUPLENCIA NOVIEMBRE 2025" sheetId="365" r:id="rId348"/>
    <sheet name="NOMINA MILITAR NOVIEMBRE 2025" sheetId="366" r:id="rId349"/>
  </sheets>
  <definedNames>
    <definedName name="_xlnm._FilterDatabase" localSheetId="265" hidden="1">'NOM EMPLE TEMPO OCTUBRE 2024 '!$A$92:$S$127</definedName>
    <definedName name="_xlnm._FilterDatabase" localSheetId="307" hidden="1">'NOM EMPLEA TEMPO ABRIL 2025'!$A$101:$S$136</definedName>
    <definedName name="_xlnm._FilterDatabase" localSheetId="331" hidden="1">'NOM EMPLEA TEMPO AGOSTO 2025'!$A$13:$Q$13</definedName>
    <definedName name="_xlnm._FilterDatabase" localSheetId="279" hidden="1">'NOM EMPLEA TEMPO DICIEMBRE 2024'!$A$101:$S$136</definedName>
    <definedName name="_xlnm._FilterDatabase" localSheetId="286" hidden="1">'NOM EMPLEA TEMPO ENERO 2025'!$A$99:$S$134</definedName>
    <definedName name="_xlnm._FilterDatabase" localSheetId="293" hidden="1">'NOM EMPLEA TEMPO FEBRERO 25'!$A$99:$S$134</definedName>
    <definedName name="_xlnm._FilterDatabase" localSheetId="326" hidden="1">'NOM EMPLEA TEMPO JULIO 2025'!$A$13:$Q$13</definedName>
    <definedName name="_xlnm._FilterDatabase" localSheetId="320" hidden="1">'NOM EMPLEA TEMPO JUNIO 2025 '!#REF!</definedName>
    <definedName name="_xlnm._FilterDatabase" localSheetId="300" hidden="1">'NOM EMPLEA TEMPO MARZO 2025'!$A$101:$S$136</definedName>
    <definedName name="_xlnm._FilterDatabase" localSheetId="314" hidden="1">'NOM EMPLEA TEMPO MAYO 2025'!#REF!</definedName>
    <definedName name="_xlnm._FilterDatabase" localSheetId="272" hidden="1">'NOM EMPLEA TEMPO NOVIEMBRE 2024'!$A$96:$S$131</definedName>
    <definedName name="_xlnm._FilterDatabase" localSheetId="346" hidden="1">'NOM EMPLEA TEMPO NOVIEMBRE 2025'!$B$3:$P$8</definedName>
    <definedName name="_xlnm._FilterDatabase" localSheetId="341" hidden="1">'NOM EMPLEA TEMPO OCTUBRE 2025'!$A$13:$Q$13</definedName>
    <definedName name="_xlnm._FilterDatabase" localSheetId="336" hidden="1">'NOM EMPLEA TEMPO SEP 2025'!$A$13:$Q$13</definedName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6" hidden="1">'NOMI EMPLEADO JULIO 2024   '!$A$11:$O$20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52" hidden="1">'NOMI EMPLEADO TEMPO AGOSTO 2024'!$A$11:$O$20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258" hidden="1">'NOMI EMPLEADO TEMPO SEPTIEM 24'!$A$98:$S$133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306" hidden="1">'NOMINA FIJA ABRIL 2025'!$A$187:$N$224</definedName>
    <definedName name="_xlnm._FilterDatabase" localSheetId="153" hidden="1">'NOMINA FIJA AGOSTO 2022   '!$A$14:$L$23</definedName>
    <definedName name="_xlnm._FilterDatabase" localSheetId="251" hidden="1">'NOMINA FIJA AGOSTO 2024 '!$B$12:$O$12</definedName>
    <definedName name="_xlnm._FilterDatabase" localSheetId="330" hidden="1">'NOMINA FIJA AGOSTO 2025'!$A$194:$N$241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278" hidden="1">'NOMINA FIJA DICIEMBRE 2024'!$A$186:$N$225</definedName>
    <definedName name="_xlnm._FilterDatabase" localSheetId="168" hidden="1">'NOMINA FIJA ENERO 2023'!$A$11:$M$19</definedName>
    <definedName name="_xlnm._FilterDatabase" localSheetId="285" hidden="1">'NOMINA FIJA ENERO 2025'!$A$185:$N$223</definedName>
    <definedName name="_xlnm._FilterDatabase" localSheetId="171" hidden="1">'NOMINA FIJA FEBRERO 2023'!$A$11:$M$19</definedName>
    <definedName name="_xlnm._FilterDatabase" localSheetId="292" hidden="1">'NOMINA FIJA FEBRERO 2025'!$A$186:$N$224</definedName>
    <definedName name="_xlnm._FilterDatabase" localSheetId="245" hidden="1">'NOMINA FIJA JULIO  2024 '!$B$185:$O$222</definedName>
    <definedName name="_xlnm._FilterDatabase" localSheetId="186" hidden="1">'NOMINA FIJA JULIO 2023 '!$A$10:$M$18</definedName>
    <definedName name="_xlnm._FilterDatabase" localSheetId="325" hidden="1">'NOMINA FIJA JULIO 2025'!$A$192:$N$239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319" hidden="1">'NOMINA FIJA JUNIO 2025 '!$A$196:$N$243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99" hidden="1">'NOMINA FIJA MARZO 2025'!$A$186:$N$223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313" hidden="1">'NOMINA FIJA MAYO 2025 (2)'!$A$191:$N$238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271" hidden="1">'NOMINA FIJA NOVIEMBRE 2024'!$A$13:$N$13</definedName>
    <definedName name="_xlnm._FilterDatabase" localSheetId="345" hidden="1">'NOMINA FIJA NOVIEMBRE 2025'!$A$193:$N$209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264" hidden="1">'NOMINA FIJA OCTUBRE 2024'!$A$13:$N$13</definedName>
    <definedName name="_xlnm._FilterDatabase" localSheetId="340" hidden="1">'NOMINA FIJA OCTUBRE 2025'!$A$195:$N$211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257" hidden="1">'NOMINA FIJA SEPTIEMBRE 2024'!$B$13:$O$13</definedName>
    <definedName name="_xlnm._FilterDatabase" localSheetId="335" hidden="1">'NOMINA FIJA SEPTIEMBRE 2025'!$A$195:$N$242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308" hidden="1">'NOMINA MILITAR ABRIL 2025 '!$A$14:$N$32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53" hidden="1">'NOMINA MILITAR AGOSTO 2024'!$B$13:$O$35</definedName>
    <definedName name="_xlnm._FilterDatabase" localSheetId="334" hidden="1">'NOMINA MILITAR AGOSTO 2025'!$A$15:$M$47</definedName>
    <definedName name="_xlnm._FilterDatabase" localSheetId="210" hidden="1">'NOMINA MILITAR DICIEMBRE 2023'!$A$13:$N$43</definedName>
    <definedName name="_xlnm._FilterDatabase" localSheetId="280" hidden="1">'NOMINA MILITAR DICIEMBRE 2024'!$B$14:$O$34</definedName>
    <definedName name="_xlnm._FilterDatabase" localSheetId="216" hidden="1">'NOMINA MILITAR ENERO 2024'!$A$13:$N$42</definedName>
    <definedName name="_xlnm._FilterDatabase" localSheetId="287" hidden="1">'NOMINA MILITAR ENERO 2025'!$A$14:$N$34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294" hidden="1">'NOMINA MILITAR FEBRERO 2025 '!$A$14:$N$34</definedName>
    <definedName name="_xlnm._FilterDatabase" localSheetId="247" hidden="1">'NOMINA MILITAR JULIO  2024 '!$B$13:$O$35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329" hidden="1">'NOMINA MILITAR JULIO 2025'!$A$15:$M$47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301" hidden="1">'NOMINA MILITAR MARZO 2025'!$A$14:$N$34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315" hidden="1">'NOMINA MILITAR MAYO 2025'!$A$14:$M$33</definedName>
    <definedName name="_xlnm._FilterDatabase" localSheetId="324" hidden="1">'NOMINA MILITAR MAYO 2025 (2)'!$A$14:$M$40</definedName>
    <definedName name="_xlnm._FilterDatabase" localSheetId="205" hidden="1">'NOMINA MILITAR NOVIEMBRE 2023'!$A$14:$N$32</definedName>
    <definedName name="_xlnm._FilterDatabase" localSheetId="273" hidden="1">'NOMINA MILITAR NOVIEMBRE 2024'!$B$13:$O$33</definedName>
    <definedName name="_xlnm._FilterDatabase" localSheetId="348" hidden="1">'NOMINA MILITAR NOVIEMBRE 2025'!$A$14:$M$39</definedName>
    <definedName name="_xlnm._FilterDatabase" localSheetId="266" hidden="1">'NOMINA MILITAR OCTUBR 2024'!$B$13:$O$33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344" hidden="1">'NOMINA MILITAR OCTUBRE 2025 '!$A$15:$M$47</definedName>
    <definedName name="_xlnm._FilterDatabase" localSheetId="339" hidden="1">'NOMINA MILITAR SEPTIEM 2025'!$A$15:$M$47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_FilterDatabase" localSheetId="259" hidden="1">'NOMINA MILITAR SEPTIEMBRE 2024'!$B$14:$O$35</definedName>
    <definedName name="_xlnm.Print_Area" localSheetId="265">'NOM EMPLE TEMPO OCTUBRE 2024 '!$A$1:$O$153</definedName>
    <definedName name="_xlnm.Print_Area" localSheetId="307">'NOM EMPLEA TEMPO ABRIL 2025'!$A$1:$O$162</definedName>
    <definedName name="_xlnm.Print_Area" localSheetId="331">'NOM EMPLEA TEMPO AGOSTO 2025'!$B$1:$P$196</definedName>
    <definedName name="_xlnm.Print_Area" localSheetId="279">'NOM EMPLEA TEMPO DICIEMBRE 2024'!$A$1:$O$162</definedName>
    <definedName name="_xlnm.Print_Area" localSheetId="286">'NOM EMPLEA TEMPO ENERO 2025'!$A$1:$O$167</definedName>
    <definedName name="_xlnm.Print_Area" localSheetId="293">'NOM EMPLEA TEMPO FEBRERO 25'!$A$1:$O$167</definedName>
    <definedName name="_xlnm.Print_Area" localSheetId="326">'NOM EMPLEA TEMPO JULIO 2025'!$B$1:$P$198</definedName>
    <definedName name="_xlnm.Print_Area" localSheetId="320">'NOM EMPLEA TEMPO JUNIO 2025 '!$B$1:$P$184</definedName>
    <definedName name="_xlnm.Print_Area" localSheetId="300">'NOM EMPLEA TEMPO MARZO 2025'!$A$1:$P$162</definedName>
    <definedName name="_xlnm.Print_Area" localSheetId="314">'NOM EMPLEA TEMPO MAYO 2025'!$B$1:$P$174</definedName>
    <definedName name="_xlnm.Print_Area" localSheetId="272">'NOM EMPLEA TEMPO NOVIEMBRE 2024'!$A$1:$O$157</definedName>
    <definedName name="_xlnm.Print_Area" localSheetId="346">'NOM EMPLEA TEMPO NOVIEMBRE 2025'!$B$1:$P$202</definedName>
    <definedName name="_xlnm.Print_Area" localSheetId="341">'NOM EMPLEA TEMPO OCTUBRE 2025'!$B$1:$P$197</definedName>
    <definedName name="_xlnm.Print_Area" localSheetId="336">'NOM EMPLEA TEMPO SEP 2025'!$B$1:$P$196</definedName>
    <definedName name="_xlnm.Print_Area" localSheetId="309">'NOM INTERINATO ABRIL 2025 '!$A$1:$N$90</definedName>
    <definedName name="_xlnm.Print_Area" localSheetId="327">'NOM INTERINATO JULIO 2025 '!$A$1:$M$60</definedName>
    <definedName name="_xlnm.Print_Area" localSheetId="321">'NOM INTERINATO JUNIO 2025 '!$A$1:$N$79</definedName>
    <definedName name="_xlnm.Print_Area" localSheetId="302">'NOM INTERINATO MARZO 2025'!$A$1:$N$90</definedName>
    <definedName name="_xlnm.Print_Area" localSheetId="316">'NOM INTERINATO MAYO 2025'!$A$1:$N$92</definedName>
    <definedName name="_xlnm.Print_Area" localSheetId="312">'NOM TRAMITE PENSION ABRIL 2025'!$A$1:$M$41</definedName>
    <definedName name="_xlnm.Print_Area" localSheetId="291">'NOM TRAMITE PENSION ENERO 2025'!$A$1:$M$43</definedName>
    <definedName name="_xlnm.Print_Area" localSheetId="298">'NOM TRAMITE PENSION FEBRERO 25'!$A$1:$L$41</definedName>
    <definedName name="_xlnm.Print_Area" localSheetId="323">'NOM TRAMITE PENSIÓN JUNI 20 '!$A$1:$M$37</definedName>
    <definedName name="_xlnm.Print_Area" localSheetId="305">'NOM TRAMITE PENSION MARZO 2025'!$A$1:$M$41</definedName>
    <definedName name="_xlnm.Print_Area" localSheetId="318">'NOM TRAMITE PENSIÓN MAYO 2025'!$A$1:$M$37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6">'NOMI EMPLEADO JULIO 2024   '!$A$1:$O$155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52">'NOMI EMPLEADO TEMPO AGOSTO 2024'!$A$1:$O$160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58">'NOMI EMPLEADO TEMPO SEPTIEM 24'!$A$1:$O$156</definedName>
    <definedName name="_xlnm.Print_Area" localSheetId="229">'NOMINA FIJA ABRIL  2024  )'!$A$1:$O$254</definedName>
    <definedName name="_xlnm.Print_Area" localSheetId="306">'NOMINA FIJA ABRIL 2025'!$A$1:$N$251</definedName>
    <definedName name="_xlnm.Print_Area" localSheetId="251">'NOMINA FIJA AGOSTO 2024 '!$A$1:$N$251</definedName>
    <definedName name="_xlnm.Print_Area" localSheetId="330">'NOMINA FIJA AGOSTO 2025'!$A$1:$M$269</definedName>
    <definedName name="_xlnm.Print_Area" localSheetId="278">'NOMINA FIJA DICIEMBRE 2024'!$A$1:$M$257</definedName>
    <definedName name="_xlnm.Print_Area" localSheetId="285">'NOMINA FIJA ENERO 2025'!$A$1:$N$260</definedName>
    <definedName name="_xlnm.Print_Area" localSheetId="219">'NOMINA FIJA FEBRERO 2024'!$A$1:$M$223</definedName>
    <definedName name="_xlnm.Print_Area" localSheetId="292">'NOMINA FIJA FEBRERO 2025'!$A$1:$N$261</definedName>
    <definedName name="_xlnm.Print_Area" localSheetId="245">'NOMINA FIJA JULIO  2024 '!$A$1:$O$263</definedName>
    <definedName name="_xlnm.Print_Area" localSheetId="325">'NOMINA FIJA JULIO 2025'!$A$1:$M$267</definedName>
    <definedName name="_xlnm.Print_Area" localSheetId="239">'NOMINA FIJA JUNIO  2024  '!$A$1:$O$266</definedName>
    <definedName name="_xlnm.Print_Area" localSheetId="319">'NOMINA FIJA JUNIO 2025 '!$A$1:$N$271</definedName>
    <definedName name="_xlnm.Print_Area" localSheetId="224">'NOMINA FIJA MARZO 2024 '!$A$1:$O$228</definedName>
    <definedName name="_xlnm.Print_Area" localSheetId="299">'NOMINA FIJA MARZO 2025'!$A$1:$N$253</definedName>
    <definedName name="_xlnm.Print_Area" localSheetId="234">'NOMINA FIJA MAYO  2024 '!$A$1:$O$263</definedName>
    <definedName name="_xlnm.Print_Area" localSheetId="313">'NOMINA FIJA MAYO 2025 (2)'!$A$1:$N$266</definedName>
    <definedName name="_xlnm.Print_Area" localSheetId="271">'NOMINA FIJA NOVIEMBRE 2024'!$A$1:$M$253</definedName>
    <definedName name="_xlnm.Print_Area" localSheetId="345">'NOMINA FIJA NOVIEMBRE 2025'!$A$1:$M$267</definedName>
    <definedName name="_xlnm.Print_Area" localSheetId="264">'NOMINA FIJA OCTUBRE 2024'!$A$1:$M$256</definedName>
    <definedName name="_xlnm.Print_Area" localSheetId="340">'NOMINA FIJA OCTUBRE 2025'!$A$1:$M$269</definedName>
    <definedName name="_xlnm.Print_Area" localSheetId="257">'NOMINA FIJA SEPTIEMBRE 2024'!$A$1:$N$256</definedName>
    <definedName name="_xlnm.Print_Area" localSheetId="335">'NOMINA FIJA SEPTIEMBRE 2025'!$A$1:$M$269</definedName>
    <definedName name="_xlnm.Print_Area" localSheetId="332">'NOMINA INTERINATO AGOSTO 2025'!$A$1:$M$50</definedName>
    <definedName name="_xlnm.Print_Area" localSheetId="342">'NOMINA INTERINATO OCTUBRE 2025'!$A$1:$M$50</definedName>
    <definedName name="_xlnm.Print_Area" localSheetId="337">'NOMINA INTERINATO SEPTIEMB 2025'!$A$1:$M$50</definedName>
    <definedName name="_xlnm.Print_Area" localSheetId="231">'NOMINA MILITAR ABRIL 2024'!$B$1:$O$63</definedName>
    <definedName name="_xlnm.Print_Area" localSheetId="308">'NOMINA MILITAR ABRIL 2025 '!$A$1:$O$56</definedName>
    <definedName name="_xlnm.Print_Area" localSheetId="253">'NOMINA MILITAR AGOSTO 2024'!$B$1:$O$57</definedName>
    <definedName name="_xlnm.Print_Area" localSheetId="334">'NOMINA MILITAR AGOSTO 2025'!$A$1:$M$76</definedName>
    <definedName name="_xlnm.Print_Area" localSheetId="280">'NOMINA MILITAR DICIEMBRE 2024'!$B$1:$O$55</definedName>
    <definedName name="_xlnm.Print_Area" localSheetId="287">'NOMINA MILITAR ENERO 2025'!$A$1:$N$62</definedName>
    <definedName name="_xlnm.Print_Area" localSheetId="294">'NOMINA MILITAR FEBRERO 2025 '!$A$1:$N$62</definedName>
    <definedName name="_xlnm.Print_Area" localSheetId="247">'NOMINA MILITAR JULIO  2024 '!$B$1:$O$57</definedName>
    <definedName name="_xlnm.Print_Area" localSheetId="329">'NOMINA MILITAR JULIO 2025'!$A$1:$N$75</definedName>
    <definedName name="_xlnm.Print_Area" localSheetId="241">'NOMINA MILITAR JUNIO 2024'!$B$1:$O$57</definedName>
    <definedName name="_xlnm.Print_Area" localSheetId="301">'NOMINA MILITAR MARZO 2025'!$A$1:$O$62</definedName>
    <definedName name="_xlnm.Print_Area" localSheetId="236">'NOMINA MILITAR MAYO 2024 '!$B$1:$O$66</definedName>
    <definedName name="_xlnm.Print_Area" localSheetId="315">'NOMINA MILITAR MAYO 2025'!$A$1:$N$56</definedName>
    <definedName name="_xlnm.Print_Area" localSheetId="324">'NOMINA MILITAR MAYO 2025 (2)'!$A$1:$N$74</definedName>
    <definedName name="_xlnm.Print_Area" localSheetId="273">'NOMINA MILITAR NOVIEMBRE 2024'!$B$1:$O$54</definedName>
    <definedName name="_xlnm.Print_Area" localSheetId="348">'NOMINA MILITAR NOVIEMBRE 2025'!$A$1:$M$75</definedName>
    <definedName name="_xlnm.Print_Area" localSheetId="266">'NOMINA MILITAR OCTUBR 2024'!$B$1:$O$55</definedName>
    <definedName name="_xlnm.Print_Area" localSheetId="344">'NOMINA MILITAR OCTUBRE 2025 '!$A$1:$M$76</definedName>
    <definedName name="_xlnm.Print_Area" localSheetId="339">'NOMINA MILITAR SEPTIEM 2025'!$A$1:$M$76</definedName>
    <definedName name="_xlnm.Print_Area" localSheetId="259">'NOMINA MILITAR SEPTIEMBRE 2024'!$B$1:$O$57</definedName>
    <definedName name="_xlnm.Print_Area" localSheetId="310">'NOMINA SUPLENCIA ABRIL 2025 '!$A$1:$N$67</definedName>
    <definedName name="_xlnm.Print_Area" localSheetId="333">'NOMINA SUPLENCIA AGOSTO 2025'!$A$1:$M$65</definedName>
    <definedName name="_xlnm.Print_Area" localSheetId="282">'NOMINA SUPLENCIA DICIEMBRE 2024'!$A$1:$M$56</definedName>
    <definedName name="_xlnm.Print_Area" localSheetId="289">'NOMINA SUPLENCIA ENERO 2025'!$A$1:$M$63</definedName>
    <definedName name="_xlnm.Print_Area" localSheetId="296">'NOMINA SUPLENCIA FEBRERO 2025'!$A$1:$M$63</definedName>
    <definedName name="_xlnm.Print_Area" localSheetId="328">'NOMINA SUPLENCIA JULIO 2025'!$A$1:$M$65</definedName>
    <definedName name="_xlnm.Print_Area" localSheetId="322">'NOMINA SUPLENCIA JUNIO 2025'!$A$1:$M$58</definedName>
    <definedName name="_xlnm.Print_Area" localSheetId="303">'NOMINA SUPLENCIA MARZO 2025'!$A$1:$N$63</definedName>
    <definedName name="_xlnm.Print_Area" localSheetId="317">'NOMINA SUPLENCIA MAYO 2025'!$A$1:$N$57</definedName>
    <definedName name="_xlnm.Print_Area" localSheetId="276">'NOMINA SUPLENCIA NOVIEM 2024'!$A$1:$M$56</definedName>
    <definedName name="_xlnm.Print_Area" localSheetId="347">'NOMINA SUPLENCIA NOVIEMBRE 2025'!$A$1:$M$65</definedName>
    <definedName name="_xlnm.Print_Area" localSheetId="343">'NOMINA SUPLENCIA OCTUBRE 2025'!$A$1:$M$63</definedName>
    <definedName name="_xlnm.Print_Area" localSheetId="338">'NOMINA SUPLENCIA SEPTIEMB 2025'!$A$1:$M$63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46" i="365" l="1"/>
  <c r="H46" i="365"/>
  <c r="I46" i="365"/>
  <c r="J46" i="365"/>
  <c r="L46" i="365"/>
  <c r="M46" i="365"/>
  <c r="D46" i="365"/>
  <c r="E46" i="365"/>
  <c r="L32" i="365"/>
  <c r="M32" i="365"/>
  <c r="M31" i="365"/>
  <c r="L31" i="365"/>
  <c r="O62" i="364"/>
  <c r="P62" i="364" s="1"/>
  <c r="O58" i="364"/>
  <c r="P58" i="364" s="1"/>
  <c r="L25" i="364"/>
  <c r="J50" i="364"/>
  <c r="K50" i="364"/>
  <c r="L50" i="364"/>
  <c r="M50" i="364"/>
  <c r="N50" i="364"/>
  <c r="H50" i="364"/>
  <c r="H25" i="364"/>
  <c r="D182" i="364"/>
  <c r="O57" i="364"/>
  <c r="P57" i="364" s="1"/>
  <c r="O32" i="364"/>
  <c r="P32" i="364"/>
  <c r="O36" i="364"/>
  <c r="P36" i="364" s="1"/>
  <c r="O35" i="364"/>
  <c r="P35" i="364" s="1"/>
  <c r="O45" i="364"/>
  <c r="P45" i="364" s="1"/>
  <c r="O44" i="364"/>
  <c r="P44" i="364" s="1"/>
  <c r="O31" i="364"/>
  <c r="P31" i="364" s="1"/>
  <c r="K209" i="363"/>
  <c r="K116" i="363"/>
  <c r="K112" i="363"/>
  <c r="K106" i="363"/>
  <c r="K101" i="363"/>
  <c r="K96" i="363"/>
  <c r="K92" i="363"/>
  <c r="K79" i="363"/>
  <c r="K61" i="363"/>
  <c r="K56" i="363"/>
  <c r="K48" i="363"/>
  <c r="K43" i="363"/>
  <c r="K39" i="363"/>
  <c r="K31" i="363"/>
  <c r="K24" i="363"/>
  <c r="E56" i="363"/>
  <c r="L208" i="363"/>
  <c r="M105" i="363"/>
  <c r="L105" i="363"/>
  <c r="L198" i="363"/>
  <c r="M198" i="363" s="1"/>
  <c r="G39" i="363"/>
  <c r="E39" i="363"/>
  <c r="L34" i="363"/>
  <c r="G79" i="363"/>
  <c r="H79" i="363"/>
  <c r="I79" i="363"/>
  <c r="J79" i="363"/>
  <c r="E79" i="363"/>
  <c r="L78" i="363"/>
  <c r="M78" i="363" s="1"/>
  <c r="L37" i="363"/>
  <c r="M37" i="363" s="1"/>
  <c r="C46" i="366"/>
  <c r="M44" i="366"/>
  <c r="K44" i="366"/>
  <c r="J44" i="366"/>
  <c r="I44" i="366"/>
  <c r="H44" i="366"/>
  <c r="G44" i="366"/>
  <c r="F44" i="366"/>
  <c r="E44" i="366"/>
  <c r="L43" i="366"/>
  <c r="L44" i="366" s="1"/>
  <c r="K39" i="366"/>
  <c r="J39" i="366"/>
  <c r="I39" i="366"/>
  <c r="H39" i="366"/>
  <c r="H46" i="366" s="1"/>
  <c r="G39" i="366"/>
  <c r="G46" i="366" s="1"/>
  <c r="F39" i="366"/>
  <c r="E39" i="366"/>
  <c r="L38" i="366"/>
  <c r="L37" i="366"/>
  <c r="L36" i="366"/>
  <c r="L35" i="366"/>
  <c r="L34" i="366"/>
  <c r="L33" i="366"/>
  <c r="L32" i="366"/>
  <c r="L31" i="366"/>
  <c r="L30" i="366"/>
  <c r="L29" i="366"/>
  <c r="L28" i="366"/>
  <c r="L27" i="366"/>
  <c r="L26" i="366"/>
  <c r="L25" i="366"/>
  <c r="L24" i="366"/>
  <c r="L23" i="366"/>
  <c r="L22" i="366"/>
  <c r="L21" i="366"/>
  <c r="L20" i="366"/>
  <c r="L19" i="366"/>
  <c r="L18" i="366"/>
  <c r="L17" i="366"/>
  <c r="M16" i="366"/>
  <c r="M39" i="366" s="1"/>
  <c r="M46" i="366" s="1"/>
  <c r="M43" i="365"/>
  <c r="M44" i="365" s="1"/>
  <c r="L37" i="365"/>
  <c r="M37" i="365" s="1"/>
  <c r="L36" i="365"/>
  <c r="M36" i="365" s="1"/>
  <c r="L28" i="365"/>
  <c r="M28" i="365" s="1"/>
  <c r="L27" i="365"/>
  <c r="M27" i="365" s="1"/>
  <c r="K24" i="365"/>
  <c r="J24" i="365"/>
  <c r="I24" i="365"/>
  <c r="H24" i="365"/>
  <c r="G24" i="365"/>
  <c r="E24" i="365"/>
  <c r="L23" i="365"/>
  <c r="M23" i="365" s="1"/>
  <c r="K20" i="365"/>
  <c r="J20" i="365"/>
  <c r="I20" i="365"/>
  <c r="H20" i="365"/>
  <c r="G20" i="365"/>
  <c r="F20" i="365"/>
  <c r="E20" i="365"/>
  <c r="L19" i="365"/>
  <c r="M19" i="365" s="1"/>
  <c r="K16" i="365"/>
  <c r="J16" i="365"/>
  <c r="I16" i="365"/>
  <c r="H16" i="365"/>
  <c r="G16" i="365"/>
  <c r="F16" i="365"/>
  <c r="E16" i="365"/>
  <c r="L15" i="365"/>
  <c r="M15" i="365" s="1"/>
  <c r="M16" i="365" s="1"/>
  <c r="N179" i="364"/>
  <c r="M179" i="364"/>
  <c r="L179" i="364"/>
  <c r="K179" i="364"/>
  <c r="J179" i="364"/>
  <c r="H179" i="364"/>
  <c r="O178" i="364"/>
  <c r="P178" i="364" s="1"/>
  <c r="O177" i="364"/>
  <c r="P177" i="364" s="1"/>
  <c r="O176" i="364"/>
  <c r="P176" i="364" s="1"/>
  <c r="O175" i="364"/>
  <c r="P175" i="364" s="1"/>
  <c r="O174" i="364"/>
  <c r="P174" i="364" s="1"/>
  <c r="O173" i="364"/>
  <c r="P173" i="364" s="1"/>
  <c r="O172" i="364"/>
  <c r="P172" i="364" s="1"/>
  <c r="O171" i="364"/>
  <c r="P171" i="364" s="1"/>
  <c r="O170" i="364"/>
  <c r="N167" i="364"/>
  <c r="M167" i="364"/>
  <c r="L167" i="364"/>
  <c r="K167" i="364"/>
  <c r="J167" i="364"/>
  <c r="H167" i="364"/>
  <c r="O166" i="364"/>
  <c r="P166" i="364" s="1"/>
  <c r="O165" i="364"/>
  <c r="P165" i="364" s="1"/>
  <c r="O164" i="364"/>
  <c r="P164" i="364" s="1"/>
  <c r="O163" i="364"/>
  <c r="P163" i="364" s="1"/>
  <c r="O162" i="364"/>
  <c r="P162" i="364" s="1"/>
  <c r="O161" i="364"/>
  <c r="P161" i="364" s="1"/>
  <c r="O160" i="364"/>
  <c r="P160" i="364" s="1"/>
  <c r="O159" i="364"/>
  <c r="P159" i="364" s="1"/>
  <c r="O158" i="364"/>
  <c r="P158" i="364" s="1"/>
  <c r="N155" i="364"/>
  <c r="M155" i="364"/>
  <c r="L155" i="364"/>
  <c r="K155" i="364"/>
  <c r="J155" i="364"/>
  <c r="H155" i="364"/>
  <c r="O154" i="364"/>
  <c r="P154" i="364" s="1"/>
  <c r="O153" i="364"/>
  <c r="P153" i="364" s="1"/>
  <c r="O152" i="364"/>
  <c r="P152" i="364" s="1"/>
  <c r="O151" i="364"/>
  <c r="P151" i="364" s="1"/>
  <c r="O150" i="364"/>
  <c r="P150" i="364" s="1"/>
  <c r="O149" i="364"/>
  <c r="P149" i="364" s="1"/>
  <c r="O148" i="364"/>
  <c r="P148" i="364" s="1"/>
  <c r="N145" i="364"/>
  <c r="M145" i="364"/>
  <c r="L145" i="364"/>
  <c r="K145" i="364"/>
  <c r="J145" i="364"/>
  <c r="H145" i="364"/>
  <c r="O144" i="364"/>
  <c r="P144" i="364" s="1"/>
  <c r="O143" i="364"/>
  <c r="P143" i="364" s="1"/>
  <c r="O142" i="364"/>
  <c r="P142" i="364" s="1"/>
  <c r="O141" i="364"/>
  <c r="P141" i="364" s="1"/>
  <c r="O140" i="364"/>
  <c r="P140" i="364" s="1"/>
  <c r="O139" i="364"/>
  <c r="P139" i="364" s="1"/>
  <c r="O138" i="364"/>
  <c r="P138" i="364" s="1"/>
  <c r="O137" i="364"/>
  <c r="P137" i="364" s="1"/>
  <c r="O136" i="364"/>
  <c r="P136" i="364" s="1"/>
  <c r="O135" i="364"/>
  <c r="N131" i="364"/>
  <c r="M131" i="364"/>
  <c r="L131" i="364"/>
  <c r="K131" i="364"/>
  <c r="J131" i="364"/>
  <c r="H131" i="364"/>
  <c r="O130" i="364"/>
  <c r="O131" i="364" s="1"/>
  <c r="N127" i="364"/>
  <c r="M127" i="364"/>
  <c r="L127" i="364"/>
  <c r="K127" i="364"/>
  <c r="J127" i="364"/>
  <c r="I127" i="364"/>
  <c r="H127" i="364"/>
  <c r="O126" i="364"/>
  <c r="P126" i="364" s="1"/>
  <c r="O125" i="364"/>
  <c r="P125" i="364" s="1"/>
  <c r="O124" i="364"/>
  <c r="P124" i="364" s="1"/>
  <c r="O123" i="364"/>
  <c r="P123" i="364" s="1"/>
  <c r="O122" i="364"/>
  <c r="P122" i="364" s="1"/>
  <c r="O121" i="364"/>
  <c r="P121" i="364" s="1"/>
  <c r="O120" i="364"/>
  <c r="P120" i="364" s="1"/>
  <c r="N117" i="364"/>
  <c r="O116" i="364"/>
  <c r="O117" i="364" s="1"/>
  <c r="N113" i="364"/>
  <c r="M113" i="364"/>
  <c r="L113" i="364"/>
  <c r="K113" i="364"/>
  <c r="J113" i="364"/>
  <c r="I113" i="364"/>
  <c r="H113" i="364"/>
  <c r="O112" i="364"/>
  <c r="P112" i="364" s="1"/>
  <c r="O111" i="364"/>
  <c r="P111" i="364" s="1"/>
  <c r="O110" i="364"/>
  <c r="N107" i="364"/>
  <c r="M107" i="364"/>
  <c r="L107" i="364"/>
  <c r="K107" i="364"/>
  <c r="J107" i="364"/>
  <c r="I107" i="364"/>
  <c r="H107" i="364"/>
  <c r="O106" i="364"/>
  <c r="P106" i="364" s="1"/>
  <c r="P107" i="364" s="1"/>
  <c r="N103" i="364"/>
  <c r="M103" i="364"/>
  <c r="L103" i="364"/>
  <c r="K103" i="364"/>
  <c r="J103" i="364"/>
  <c r="H103" i="364"/>
  <c r="O102" i="364"/>
  <c r="P102" i="364" s="1"/>
  <c r="O101" i="364"/>
  <c r="P101" i="364" s="1"/>
  <c r="O100" i="364"/>
  <c r="P100" i="364" s="1"/>
  <c r="O99" i="364"/>
  <c r="P99" i="364" s="1"/>
  <c r="O98" i="364"/>
  <c r="P97" i="364"/>
  <c r="N94" i="364"/>
  <c r="M94" i="364"/>
  <c r="L94" i="364"/>
  <c r="K94" i="364"/>
  <c r="J94" i="364"/>
  <c r="H94" i="364"/>
  <c r="O92" i="364"/>
  <c r="P92" i="364" s="1"/>
  <c r="O91" i="364"/>
  <c r="P91" i="364" s="1"/>
  <c r="O90" i="364"/>
  <c r="P90" i="364" s="1"/>
  <c r="O89" i="364"/>
  <c r="P89" i="364" s="1"/>
  <c r="O88" i="364"/>
  <c r="P88" i="364" s="1"/>
  <c r="O87" i="364"/>
  <c r="O84" i="364"/>
  <c r="P84" i="364" s="1"/>
  <c r="O83" i="364"/>
  <c r="P83" i="364" s="1"/>
  <c r="N80" i="364"/>
  <c r="M80" i="364"/>
  <c r="L80" i="364"/>
  <c r="K80" i="364"/>
  <c r="J80" i="364"/>
  <c r="H80" i="364"/>
  <c r="O79" i="364"/>
  <c r="P78" i="364"/>
  <c r="O77" i="364"/>
  <c r="P77" i="364" s="1"/>
  <c r="O76" i="364"/>
  <c r="P76" i="364" s="1"/>
  <c r="N73" i="364"/>
  <c r="M73" i="364"/>
  <c r="L73" i="364"/>
  <c r="K73" i="364"/>
  <c r="J73" i="364"/>
  <c r="I73" i="364"/>
  <c r="H73" i="364"/>
  <c r="O72" i="364"/>
  <c r="O73" i="364" s="1"/>
  <c r="O70" i="364"/>
  <c r="P70" i="364" s="1"/>
  <c r="O69" i="364"/>
  <c r="P69" i="364" s="1"/>
  <c r="N66" i="364"/>
  <c r="M66" i="364"/>
  <c r="L66" i="364"/>
  <c r="K66" i="364"/>
  <c r="J66" i="364"/>
  <c r="I66" i="364"/>
  <c r="H66" i="364"/>
  <c r="O65" i="364"/>
  <c r="P65" i="364" s="1"/>
  <c r="O64" i="364"/>
  <c r="P64" i="364" s="1"/>
  <c r="O61" i="364"/>
  <c r="P61" i="364" s="1"/>
  <c r="O54" i="364"/>
  <c r="P54" i="364" s="1"/>
  <c r="O53" i="364"/>
  <c r="P53" i="364" s="1"/>
  <c r="O49" i="364"/>
  <c r="P49" i="364" s="1"/>
  <c r="N41" i="364"/>
  <c r="M41" i="364"/>
  <c r="L41" i="364"/>
  <c r="K41" i="364"/>
  <c r="J41" i="364"/>
  <c r="H41" i="364"/>
  <c r="O40" i="364"/>
  <c r="P40" i="364" s="1"/>
  <c r="O39" i="364"/>
  <c r="P39" i="364" s="1"/>
  <c r="O48" i="364"/>
  <c r="P48" i="364" s="1"/>
  <c r="P50" i="364" s="1"/>
  <c r="N25" i="364"/>
  <c r="M25" i="364"/>
  <c r="K25" i="364"/>
  <c r="J25" i="364"/>
  <c r="O24" i="364"/>
  <c r="O23" i="364"/>
  <c r="P23" i="364" s="1"/>
  <c r="O29" i="364"/>
  <c r="P29" i="364" s="1"/>
  <c r="O28" i="364"/>
  <c r="P28" i="364" s="1"/>
  <c r="N19" i="364"/>
  <c r="M19" i="364"/>
  <c r="L19" i="364"/>
  <c r="K19" i="364"/>
  <c r="J19" i="364"/>
  <c r="I19" i="364"/>
  <c r="H19" i="364"/>
  <c r="O18" i="364"/>
  <c r="O19" i="364" s="1"/>
  <c r="N15" i="364"/>
  <c r="M15" i="364"/>
  <c r="L15" i="364"/>
  <c r="K15" i="364"/>
  <c r="J15" i="364"/>
  <c r="H15" i="364"/>
  <c r="O14" i="364"/>
  <c r="O15" i="364" s="1"/>
  <c r="P13" i="364"/>
  <c r="C243" i="363"/>
  <c r="K240" i="363"/>
  <c r="J240" i="363"/>
  <c r="I240" i="363"/>
  <c r="H240" i="363"/>
  <c r="G240" i="363"/>
  <c r="E240" i="363"/>
  <c r="L239" i="363"/>
  <c r="M239" i="363" s="1"/>
  <c r="L238" i="363"/>
  <c r="M238" i="363" s="1"/>
  <c r="L237" i="363"/>
  <c r="M237" i="363" s="1"/>
  <c r="M236" i="363"/>
  <c r="L235" i="363"/>
  <c r="M235" i="363" s="1"/>
  <c r="L234" i="363"/>
  <c r="K231" i="363"/>
  <c r="J231" i="363"/>
  <c r="I231" i="363"/>
  <c r="H231" i="363"/>
  <c r="G231" i="363"/>
  <c r="E231" i="363"/>
  <c r="M230" i="363"/>
  <c r="M229" i="363"/>
  <c r="L228" i="363"/>
  <c r="M228" i="363" s="1"/>
  <c r="L227" i="363"/>
  <c r="M227" i="363" s="1"/>
  <c r="L225" i="363"/>
  <c r="M225" i="363" s="1"/>
  <c r="L224" i="363"/>
  <c r="M224" i="363" s="1"/>
  <c r="K221" i="363"/>
  <c r="J221" i="363"/>
  <c r="I221" i="363"/>
  <c r="H221" i="363"/>
  <c r="G221" i="363"/>
  <c r="E221" i="363"/>
  <c r="M220" i="363"/>
  <c r="L219" i="363"/>
  <c r="M219" i="363" s="1"/>
  <c r="L218" i="363"/>
  <c r="M218" i="363" s="1"/>
  <c r="L217" i="363"/>
  <c r="M217" i="363" s="1"/>
  <c r="L215" i="363"/>
  <c r="M215" i="363" s="1"/>
  <c r="L214" i="363"/>
  <c r="M214" i="363" s="1"/>
  <c r="L213" i="363"/>
  <c r="M213" i="363" s="1"/>
  <c r="L212" i="363"/>
  <c r="J209" i="363"/>
  <c r="I209" i="363"/>
  <c r="H209" i="363"/>
  <c r="G209" i="363"/>
  <c r="E209" i="363"/>
  <c r="M208" i="363"/>
  <c r="L207" i="363"/>
  <c r="M207" i="363" s="1"/>
  <c r="L206" i="363"/>
  <c r="M206" i="363" s="1"/>
  <c r="L205" i="363"/>
  <c r="M205" i="363" s="1"/>
  <c r="L204" i="363"/>
  <c r="M204" i="363" s="1"/>
  <c r="L203" i="363"/>
  <c r="M203" i="363" s="1"/>
  <c r="L201" i="363"/>
  <c r="M201" i="363" s="1"/>
  <c r="L200" i="363"/>
  <c r="M200" i="363" s="1"/>
  <c r="L199" i="363"/>
  <c r="M199" i="363" s="1"/>
  <c r="L197" i="363"/>
  <c r="M197" i="363" s="1"/>
  <c r="L196" i="363"/>
  <c r="M196" i="363" s="1"/>
  <c r="L195" i="363"/>
  <c r="K191" i="363"/>
  <c r="J191" i="363"/>
  <c r="I191" i="363"/>
  <c r="H191" i="363"/>
  <c r="G191" i="363"/>
  <c r="E191" i="363"/>
  <c r="L188" i="363"/>
  <c r="M188" i="363" s="1"/>
  <c r="L187" i="363"/>
  <c r="M187" i="363" s="1"/>
  <c r="L186" i="363"/>
  <c r="M186" i="363" s="1"/>
  <c r="K183" i="363"/>
  <c r="J183" i="363"/>
  <c r="I183" i="363"/>
  <c r="H183" i="363"/>
  <c r="G183" i="363"/>
  <c r="E183" i="363"/>
  <c r="L182" i="363"/>
  <c r="M182" i="363" s="1"/>
  <c r="L181" i="363"/>
  <c r="M181" i="363" s="1"/>
  <c r="L180" i="363"/>
  <c r="M180" i="363" s="1"/>
  <c r="L179" i="363"/>
  <c r="M179" i="363" s="1"/>
  <c r="L178" i="363"/>
  <c r="K171" i="363"/>
  <c r="J171" i="363"/>
  <c r="I171" i="363"/>
  <c r="H171" i="363"/>
  <c r="G171" i="363"/>
  <c r="F171" i="363"/>
  <c r="E171" i="363"/>
  <c r="L170" i="363"/>
  <c r="M170" i="363" s="1"/>
  <c r="L169" i="363"/>
  <c r="M169" i="363" s="1"/>
  <c r="K166" i="363"/>
  <c r="J166" i="363"/>
  <c r="I166" i="363"/>
  <c r="H166" i="363"/>
  <c r="G166" i="363"/>
  <c r="E166" i="363"/>
  <c r="L165" i="363"/>
  <c r="M165" i="363" s="1"/>
  <c r="M166" i="363" s="1"/>
  <c r="K162" i="363"/>
  <c r="J162" i="363"/>
  <c r="I162" i="363"/>
  <c r="H162" i="363"/>
  <c r="G162" i="363"/>
  <c r="F162" i="363"/>
  <c r="E162" i="363"/>
  <c r="L161" i="363"/>
  <c r="M161" i="363" s="1"/>
  <c r="L160" i="363"/>
  <c r="M160" i="363" s="1"/>
  <c r="L159" i="363"/>
  <c r="M159" i="363" s="1"/>
  <c r="K156" i="363"/>
  <c r="J156" i="363"/>
  <c r="I156" i="363"/>
  <c r="H156" i="363"/>
  <c r="G156" i="363"/>
  <c r="F156" i="363"/>
  <c r="E156" i="363"/>
  <c r="L155" i="363"/>
  <c r="L156" i="363" s="1"/>
  <c r="K152" i="363"/>
  <c r="J152" i="363"/>
  <c r="I152" i="363"/>
  <c r="H152" i="363"/>
  <c r="G152" i="363"/>
  <c r="E152" i="363"/>
  <c r="L151" i="363"/>
  <c r="M151" i="363" s="1"/>
  <c r="L150" i="363"/>
  <c r="M150" i="363" s="1"/>
  <c r="K147" i="363"/>
  <c r="J147" i="363"/>
  <c r="I147" i="363"/>
  <c r="H147" i="363"/>
  <c r="G147" i="363"/>
  <c r="E147" i="363"/>
  <c r="L146" i="363"/>
  <c r="M146" i="363" s="1"/>
  <c r="L145" i="363"/>
  <c r="M145" i="363" s="1"/>
  <c r="L144" i="363"/>
  <c r="M144" i="363" s="1"/>
  <c r="L143" i="363"/>
  <c r="M143" i="363" s="1"/>
  <c r="K140" i="363"/>
  <c r="J140" i="363"/>
  <c r="I140" i="363"/>
  <c r="H140" i="363"/>
  <c r="G140" i="363"/>
  <c r="E140" i="363"/>
  <c r="L139" i="363"/>
  <c r="M139" i="363" s="1"/>
  <c r="L138" i="363"/>
  <c r="M138" i="363" s="1"/>
  <c r="L137" i="363"/>
  <c r="M137" i="363" s="1"/>
  <c r="M136" i="363"/>
  <c r="L135" i="363"/>
  <c r="M135" i="363" s="1"/>
  <c r="K132" i="363"/>
  <c r="J132" i="363"/>
  <c r="I132" i="363"/>
  <c r="H132" i="363"/>
  <c r="G132" i="363"/>
  <c r="F132" i="363"/>
  <c r="E132" i="363"/>
  <c r="L131" i="363"/>
  <c r="M131" i="363" s="1"/>
  <c r="M132" i="363" s="1"/>
  <c r="K128" i="363"/>
  <c r="J128" i="363"/>
  <c r="I128" i="363"/>
  <c r="H128" i="363"/>
  <c r="G128" i="363"/>
  <c r="E128" i="363"/>
  <c r="L127" i="363"/>
  <c r="M127" i="363" s="1"/>
  <c r="M128" i="363" s="1"/>
  <c r="K124" i="363"/>
  <c r="J124" i="363"/>
  <c r="I124" i="363"/>
  <c r="H124" i="363"/>
  <c r="G124" i="363"/>
  <c r="F124" i="363"/>
  <c r="E124" i="363"/>
  <c r="L123" i="363"/>
  <c r="M123" i="363" s="1"/>
  <c r="M122" i="363"/>
  <c r="L121" i="363"/>
  <c r="M121" i="363" s="1"/>
  <c r="L120" i="363"/>
  <c r="M120" i="363" s="1"/>
  <c r="L119" i="363"/>
  <c r="M119" i="363" s="1"/>
  <c r="J116" i="363"/>
  <c r="I116" i="363"/>
  <c r="H116" i="363"/>
  <c r="G116" i="363"/>
  <c r="E116" i="363"/>
  <c r="L115" i="363"/>
  <c r="M115" i="363" s="1"/>
  <c r="M116" i="363" s="1"/>
  <c r="J112" i="363"/>
  <c r="I112" i="363"/>
  <c r="H112" i="363"/>
  <c r="G112" i="363"/>
  <c r="E112" i="363"/>
  <c r="L111" i="363"/>
  <c r="M111" i="363" s="1"/>
  <c r="L110" i="363"/>
  <c r="M110" i="363" s="1"/>
  <c r="L109" i="363"/>
  <c r="M109" i="363" s="1"/>
  <c r="J106" i="363"/>
  <c r="I106" i="363"/>
  <c r="H106" i="363"/>
  <c r="G106" i="363"/>
  <c r="E106" i="363"/>
  <c r="L104" i="363"/>
  <c r="M104" i="363" s="1"/>
  <c r="M106" i="363" s="1"/>
  <c r="J101" i="363"/>
  <c r="I101" i="363"/>
  <c r="H101" i="363"/>
  <c r="G101" i="363"/>
  <c r="E101" i="363"/>
  <c r="L100" i="363"/>
  <c r="M100" i="363" s="1"/>
  <c r="L99" i="363"/>
  <c r="M99" i="363" s="1"/>
  <c r="J96" i="363"/>
  <c r="I96" i="363"/>
  <c r="H96" i="363"/>
  <c r="G96" i="363"/>
  <c r="F96" i="363"/>
  <c r="E96" i="363"/>
  <c r="L95" i="363"/>
  <c r="M95" i="363" s="1"/>
  <c r="M96" i="363" s="1"/>
  <c r="J92" i="363"/>
  <c r="I92" i="363"/>
  <c r="H92" i="363"/>
  <c r="G92" i="363"/>
  <c r="E92" i="363"/>
  <c r="L91" i="363"/>
  <c r="M91" i="363" s="1"/>
  <c r="L90" i="363"/>
  <c r="M90" i="363" s="1"/>
  <c r="L89" i="363"/>
  <c r="M89" i="363" s="1"/>
  <c r="L88" i="363"/>
  <c r="M88" i="363" s="1"/>
  <c r="L87" i="363"/>
  <c r="M87" i="363" s="1"/>
  <c r="L86" i="363"/>
  <c r="M86" i="363" s="1"/>
  <c r="L85" i="363"/>
  <c r="M85" i="363" s="1"/>
  <c r="L84" i="363"/>
  <c r="M84" i="363" s="1"/>
  <c r="L83" i="363"/>
  <c r="L82" i="363"/>
  <c r="M82" i="363" s="1"/>
  <c r="L77" i="363"/>
  <c r="M77" i="363" s="1"/>
  <c r="L76" i="363"/>
  <c r="M76" i="363" s="1"/>
  <c r="L75" i="363"/>
  <c r="M75" i="363" s="1"/>
  <c r="L74" i="363"/>
  <c r="M74" i="363" s="1"/>
  <c r="L73" i="363"/>
  <c r="M73" i="363" s="1"/>
  <c r="L72" i="363"/>
  <c r="M72" i="363" s="1"/>
  <c r="L71" i="363"/>
  <c r="M71" i="363" s="1"/>
  <c r="L70" i="363"/>
  <c r="M70" i="363" s="1"/>
  <c r="L69" i="363"/>
  <c r="M69" i="363" s="1"/>
  <c r="L68" i="363"/>
  <c r="M68" i="363" s="1"/>
  <c r="L67" i="363"/>
  <c r="M67" i="363" s="1"/>
  <c r="L66" i="363"/>
  <c r="M66" i="363" s="1"/>
  <c r="L65" i="363"/>
  <c r="M65" i="363" s="1"/>
  <c r="L64" i="363"/>
  <c r="J61" i="363"/>
  <c r="I61" i="363"/>
  <c r="H61" i="363"/>
  <c r="G61" i="363"/>
  <c r="E61" i="363"/>
  <c r="L60" i="363"/>
  <c r="M60" i="363" s="1"/>
  <c r="L59" i="363"/>
  <c r="M59" i="363" s="1"/>
  <c r="J56" i="363"/>
  <c r="I56" i="363"/>
  <c r="H56" i="363"/>
  <c r="G56" i="363"/>
  <c r="L55" i="363"/>
  <c r="M55" i="363" s="1"/>
  <c r="L54" i="363"/>
  <c r="M54" i="363" s="1"/>
  <c r="L53" i="363"/>
  <c r="M53" i="363" s="1"/>
  <c r="L52" i="363"/>
  <c r="M52" i="363" s="1"/>
  <c r="L51" i="363"/>
  <c r="M51" i="363" s="1"/>
  <c r="J48" i="363"/>
  <c r="I48" i="363"/>
  <c r="H48" i="363"/>
  <c r="G48" i="363"/>
  <c r="F48" i="363"/>
  <c r="E48" i="363"/>
  <c r="L47" i="363"/>
  <c r="L46" i="363"/>
  <c r="M46" i="363" s="1"/>
  <c r="J43" i="363"/>
  <c r="I43" i="363"/>
  <c r="H43" i="363"/>
  <c r="F43" i="363"/>
  <c r="E43" i="363"/>
  <c r="L42" i="363"/>
  <c r="M42" i="363" s="1"/>
  <c r="M43" i="363" s="1"/>
  <c r="J39" i="363"/>
  <c r="I39" i="363"/>
  <c r="H39" i="363"/>
  <c r="L38" i="363"/>
  <c r="M38" i="363" s="1"/>
  <c r="L36" i="363"/>
  <c r="M36" i="363" s="1"/>
  <c r="L35" i="363"/>
  <c r="M35" i="363" s="1"/>
  <c r="M34" i="363"/>
  <c r="J31" i="363"/>
  <c r="I31" i="363"/>
  <c r="H31" i="363"/>
  <c r="G31" i="363"/>
  <c r="E31" i="363"/>
  <c r="L30" i="363"/>
  <c r="M30" i="363" s="1"/>
  <c r="L29" i="363"/>
  <c r="M29" i="363" s="1"/>
  <c r="L28" i="363"/>
  <c r="M28" i="363" s="1"/>
  <c r="L27" i="363"/>
  <c r="M27" i="363" s="1"/>
  <c r="J24" i="363"/>
  <c r="I24" i="363"/>
  <c r="H24" i="363"/>
  <c r="G24" i="363"/>
  <c r="F24" i="363"/>
  <c r="E24" i="363"/>
  <c r="L23" i="363"/>
  <c r="M23" i="363" s="1"/>
  <c r="L22" i="363"/>
  <c r="M22" i="363" s="1"/>
  <c r="L21" i="363"/>
  <c r="M21" i="363" s="1"/>
  <c r="L20" i="363"/>
  <c r="M20" i="363" s="1"/>
  <c r="L19" i="363"/>
  <c r="M19" i="363" s="1"/>
  <c r="P120" i="359"/>
  <c r="H173" i="359"/>
  <c r="H172" i="359"/>
  <c r="O166" i="359"/>
  <c r="P166" i="359" s="1"/>
  <c r="K245" i="358"/>
  <c r="K149" i="358"/>
  <c r="K63" i="358"/>
  <c r="K81" i="358"/>
  <c r="K57" i="358"/>
  <c r="K48" i="358"/>
  <c r="K43" i="358"/>
  <c r="K39" i="358"/>
  <c r="K32" i="358"/>
  <c r="K25" i="358"/>
  <c r="M126" i="358"/>
  <c r="L126" i="358"/>
  <c r="K126" i="358"/>
  <c r="C47" i="362"/>
  <c r="M45" i="362"/>
  <c r="K45" i="362"/>
  <c r="J45" i="362"/>
  <c r="I45" i="362"/>
  <c r="H45" i="362"/>
  <c r="G45" i="362"/>
  <c r="G47" i="362" s="1"/>
  <c r="F45" i="362"/>
  <c r="E45" i="362"/>
  <c r="L44" i="362"/>
  <c r="L45" i="362" s="1"/>
  <c r="K40" i="362"/>
  <c r="J40" i="362"/>
  <c r="I40" i="362"/>
  <c r="I47" i="362" s="1"/>
  <c r="H40" i="362"/>
  <c r="H47" i="362" s="1"/>
  <c r="G40" i="362"/>
  <c r="F40" i="362"/>
  <c r="E40" i="362"/>
  <c r="L39" i="362"/>
  <c r="L38" i="362"/>
  <c r="L37" i="362"/>
  <c r="L36" i="362"/>
  <c r="L35" i="362"/>
  <c r="L34" i="362"/>
  <c r="L33" i="362"/>
  <c r="L32" i="362"/>
  <c r="L31" i="362"/>
  <c r="L30" i="362"/>
  <c r="L29" i="362"/>
  <c r="L28" i="362"/>
  <c r="L27" i="362"/>
  <c r="L26" i="362"/>
  <c r="L25" i="362"/>
  <c r="L24" i="362"/>
  <c r="L23" i="362"/>
  <c r="L22" i="362"/>
  <c r="L21" i="362"/>
  <c r="L20" i="362"/>
  <c r="L19" i="362"/>
  <c r="L18" i="362"/>
  <c r="L17" i="362"/>
  <c r="M16" i="362"/>
  <c r="M40" i="362" s="1"/>
  <c r="G41" i="361"/>
  <c r="D41" i="361"/>
  <c r="M39" i="361"/>
  <c r="M38" i="361"/>
  <c r="L32" i="361"/>
  <c r="M32" i="361" s="1"/>
  <c r="L31" i="361"/>
  <c r="M31" i="361" s="1"/>
  <c r="M28" i="361"/>
  <c r="L28" i="361"/>
  <c r="L27" i="361"/>
  <c r="M27" i="361" s="1"/>
  <c r="L24" i="361"/>
  <c r="K24" i="361"/>
  <c r="J24" i="361"/>
  <c r="I24" i="361"/>
  <c r="H24" i="361"/>
  <c r="H41" i="361" s="1"/>
  <c r="G24" i="361"/>
  <c r="M24" i="361" s="1"/>
  <c r="E24" i="361"/>
  <c r="M23" i="361"/>
  <c r="L23" i="361"/>
  <c r="L20" i="361"/>
  <c r="K20" i="361"/>
  <c r="J20" i="361"/>
  <c r="I20" i="361"/>
  <c r="H20" i="361"/>
  <c r="G20" i="361"/>
  <c r="M20" i="361" s="1"/>
  <c r="F20" i="361"/>
  <c r="E20" i="361"/>
  <c r="M19" i="361"/>
  <c r="L19" i="361"/>
  <c r="K16" i="361"/>
  <c r="J16" i="361"/>
  <c r="J41" i="361" s="1"/>
  <c r="I16" i="361"/>
  <c r="I41" i="361" s="1"/>
  <c r="H16" i="361"/>
  <c r="G16" i="361"/>
  <c r="F16" i="361"/>
  <c r="E16" i="361"/>
  <c r="E41" i="361" s="1"/>
  <c r="L15" i="361"/>
  <c r="M15" i="361" s="1"/>
  <c r="M16" i="361" s="1"/>
  <c r="M41" i="361" s="1"/>
  <c r="H22" i="360"/>
  <c r="G22" i="360"/>
  <c r="D22" i="360"/>
  <c r="J19" i="360"/>
  <c r="J22" i="360" s="1"/>
  <c r="I19" i="360"/>
  <c r="I22" i="360" s="1"/>
  <c r="H19" i="360"/>
  <c r="G19" i="360"/>
  <c r="E19" i="360"/>
  <c r="E22" i="360" s="1"/>
  <c r="L18" i="360"/>
  <c r="L19" i="360" s="1"/>
  <c r="J15" i="360"/>
  <c r="I15" i="360"/>
  <c r="H15" i="360"/>
  <c r="G15" i="360"/>
  <c r="E15" i="360"/>
  <c r="L14" i="360"/>
  <c r="L15" i="360" s="1"/>
  <c r="M15" i="360" s="1"/>
  <c r="D175" i="359"/>
  <c r="N172" i="359"/>
  <c r="M172" i="359"/>
  <c r="L172" i="359"/>
  <c r="K172" i="359"/>
  <c r="J172" i="359"/>
  <c r="O171" i="359"/>
  <c r="P171" i="359" s="1"/>
  <c r="O170" i="359"/>
  <c r="P170" i="359" s="1"/>
  <c r="O169" i="359"/>
  <c r="P169" i="359" s="1"/>
  <c r="O168" i="359"/>
  <c r="P168" i="359" s="1"/>
  <c r="O167" i="359"/>
  <c r="P167" i="359" s="1"/>
  <c r="O165" i="359"/>
  <c r="P165" i="359" s="1"/>
  <c r="O164" i="359"/>
  <c r="P164" i="359" s="1"/>
  <c r="O163" i="359"/>
  <c r="N160" i="359"/>
  <c r="M160" i="359"/>
  <c r="L160" i="359"/>
  <c r="K160" i="359"/>
  <c r="J160" i="359"/>
  <c r="H160" i="359"/>
  <c r="O159" i="359"/>
  <c r="P159" i="359" s="1"/>
  <c r="O158" i="359"/>
  <c r="P158" i="359" s="1"/>
  <c r="O157" i="359"/>
  <c r="P157" i="359" s="1"/>
  <c r="O156" i="359"/>
  <c r="P156" i="359" s="1"/>
  <c r="O155" i="359"/>
  <c r="P155" i="359" s="1"/>
  <c r="O154" i="359"/>
  <c r="P154" i="359" s="1"/>
  <c r="O153" i="359"/>
  <c r="P153" i="359" s="1"/>
  <c r="O152" i="359"/>
  <c r="P152" i="359" s="1"/>
  <c r="O151" i="359"/>
  <c r="P151" i="359" s="1"/>
  <c r="N148" i="359"/>
  <c r="M148" i="359"/>
  <c r="L148" i="359"/>
  <c r="K148" i="359"/>
  <c r="J148" i="359"/>
  <c r="H148" i="359"/>
  <c r="O147" i="359"/>
  <c r="P147" i="359" s="1"/>
  <c r="P146" i="359"/>
  <c r="O146" i="359"/>
  <c r="O145" i="359"/>
  <c r="P145" i="359" s="1"/>
  <c r="O144" i="359"/>
  <c r="P144" i="359" s="1"/>
  <c r="O143" i="359"/>
  <c r="P143" i="359" s="1"/>
  <c r="O142" i="359"/>
  <c r="P142" i="359" s="1"/>
  <c r="O141" i="359"/>
  <c r="P141" i="359" s="1"/>
  <c r="N138" i="359"/>
  <c r="M138" i="359"/>
  <c r="L138" i="359"/>
  <c r="K138" i="359"/>
  <c r="J138" i="359"/>
  <c r="H138" i="359"/>
  <c r="O137" i="359"/>
  <c r="P137" i="359" s="1"/>
  <c r="O136" i="359"/>
  <c r="P136" i="359" s="1"/>
  <c r="O135" i="359"/>
  <c r="P135" i="359" s="1"/>
  <c r="O134" i="359"/>
  <c r="P134" i="359" s="1"/>
  <c r="O133" i="359"/>
  <c r="P133" i="359" s="1"/>
  <c r="O132" i="359"/>
  <c r="P132" i="359" s="1"/>
  <c r="O131" i="359"/>
  <c r="P131" i="359" s="1"/>
  <c r="O130" i="359"/>
  <c r="P130" i="359" s="1"/>
  <c r="O129" i="359"/>
  <c r="P129" i="359" s="1"/>
  <c r="O128" i="359"/>
  <c r="N124" i="359"/>
  <c r="M124" i="359"/>
  <c r="L124" i="359"/>
  <c r="K124" i="359"/>
  <c r="J124" i="359"/>
  <c r="H124" i="359"/>
  <c r="O123" i="359"/>
  <c r="O124" i="359" s="1"/>
  <c r="N120" i="359"/>
  <c r="M120" i="359"/>
  <c r="L120" i="359"/>
  <c r="K120" i="359"/>
  <c r="J120" i="359"/>
  <c r="I120" i="359"/>
  <c r="H120" i="359"/>
  <c r="O119" i="359"/>
  <c r="P119" i="359" s="1"/>
  <c r="O118" i="359"/>
  <c r="P118" i="359" s="1"/>
  <c r="O117" i="359"/>
  <c r="P117" i="359" s="1"/>
  <c r="O116" i="359"/>
  <c r="P116" i="359" s="1"/>
  <c r="O115" i="359"/>
  <c r="P115" i="359" s="1"/>
  <c r="O114" i="359"/>
  <c r="P114" i="359" s="1"/>
  <c r="O113" i="359"/>
  <c r="N110" i="359"/>
  <c r="O109" i="359"/>
  <c r="O110" i="359" s="1"/>
  <c r="N106" i="359"/>
  <c r="M106" i="359"/>
  <c r="L106" i="359"/>
  <c r="K106" i="359"/>
  <c r="J106" i="359"/>
  <c r="I106" i="359"/>
  <c r="H106" i="359"/>
  <c r="O105" i="359"/>
  <c r="P105" i="359" s="1"/>
  <c r="O104" i="359"/>
  <c r="P104" i="359" s="1"/>
  <c r="O103" i="359"/>
  <c r="N100" i="359"/>
  <c r="M100" i="359"/>
  <c r="L100" i="359"/>
  <c r="K100" i="359"/>
  <c r="J100" i="359"/>
  <c r="I100" i="359"/>
  <c r="H100" i="359"/>
  <c r="O99" i="359"/>
  <c r="O100" i="359" s="1"/>
  <c r="N96" i="359"/>
  <c r="M96" i="359"/>
  <c r="L96" i="359"/>
  <c r="K96" i="359"/>
  <c r="J96" i="359"/>
  <c r="H96" i="359"/>
  <c r="O95" i="359"/>
  <c r="P95" i="359" s="1"/>
  <c r="O94" i="359"/>
  <c r="P94" i="359" s="1"/>
  <c r="O93" i="359"/>
  <c r="O92" i="359"/>
  <c r="P92" i="359" s="1"/>
  <c r="O91" i="359"/>
  <c r="P91" i="359" s="1"/>
  <c r="P90" i="359"/>
  <c r="N87" i="359"/>
  <c r="M87" i="359"/>
  <c r="L87" i="359"/>
  <c r="K87" i="359"/>
  <c r="J87" i="359"/>
  <c r="H87" i="359"/>
  <c r="O85" i="359"/>
  <c r="P85" i="359" s="1"/>
  <c r="O84" i="359"/>
  <c r="P84" i="359" s="1"/>
  <c r="O83" i="359"/>
  <c r="P83" i="359" s="1"/>
  <c r="O82" i="359"/>
  <c r="P82" i="359" s="1"/>
  <c r="O81" i="359"/>
  <c r="P81" i="359" s="1"/>
  <c r="O80" i="359"/>
  <c r="P80" i="359" s="1"/>
  <c r="O77" i="359"/>
  <c r="P77" i="359" s="1"/>
  <c r="O76" i="359"/>
  <c r="P76" i="359" s="1"/>
  <c r="N73" i="359"/>
  <c r="M73" i="359"/>
  <c r="L73" i="359"/>
  <c r="K73" i="359"/>
  <c r="J73" i="359"/>
  <c r="H73" i="359"/>
  <c r="O72" i="359"/>
  <c r="P72" i="359" s="1"/>
  <c r="P71" i="359"/>
  <c r="O70" i="359"/>
  <c r="P70" i="359" s="1"/>
  <c r="O69" i="359"/>
  <c r="N66" i="359"/>
  <c r="M66" i="359"/>
  <c r="L66" i="359"/>
  <c r="K66" i="359"/>
  <c r="J66" i="359"/>
  <c r="I66" i="359"/>
  <c r="H66" i="359"/>
  <c r="O65" i="359"/>
  <c r="O66" i="359" s="1"/>
  <c r="O63" i="359"/>
  <c r="P63" i="359" s="1"/>
  <c r="O62" i="359"/>
  <c r="P62" i="359" s="1"/>
  <c r="N59" i="359"/>
  <c r="M59" i="359"/>
  <c r="L59" i="359"/>
  <c r="K59" i="359"/>
  <c r="J59" i="359"/>
  <c r="I59" i="359"/>
  <c r="H59" i="359"/>
  <c r="O58" i="359"/>
  <c r="P58" i="359" s="1"/>
  <c r="O57" i="359"/>
  <c r="P57" i="359" s="1"/>
  <c r="O55" i="359"/>
  <c r="P55" i="359" s="1"/>
  <c r="O54" i="359"/>
  <c r="P54" i="359" s="1"/>
  <c r="O47" i="359"/>
  <c r="P47" i="359" s="1"/>
  <c r="O46" i="359"/>
  <c r="P46" i="359" s="1"/>
  <c r="N43" i="359"/>
  <c r="M43" i="359"/>
  <c r="L43" i="359"/>
  <c r="K43" i="359"/>
  <c r="J43" i="359"/>
  <c r="H43" i="359"/>
  <c r="O42" i="359"/>
  <c r="P42" i="359" s="1"/>
  <c r="O41" i="359"/>
  <c r="N38" i="359"/>
  <c r="M38" i="359"/>
  <c r="L38" i="359"/>
  <c r="K38" i="359"/>
  <c r="J38" i="359"/>
  <c r="H38" i="359"/>
  <c r="O37" i="359"/>
  <c r="P37" i="359" s="1"/>
  <c r="O36" i="359"/>
  <c r="P33" i="359"/>
  <c r="O32" i="359"/>
  <c r="P32" i="359" s="1"/>
  <c r="N29" i="359"/>
  <c r="M29" i="359"/>
  <c r="L29" i="359"/>
  <c r="K29" i="359"/>
  <c r="J29" i="359"/>
  <c r="H29" i="359"/>
  <c r="O28" i="359"/>
  <c r="P28" i="359" s="1"/>
  <c r="O27" i="359"/>
  <c r="P27" i="359" s="1"/>
  <c r="O24" i="359"/>
  <c r="P24" i="359" s="1"/>
  <c r="O23" i="359"/>
  <c r="P23" i="359" s="1"/>
  <c r="N20" i="359"/>
  <c r="M20" i="359"/>
  <c r="L20" i="359"/>
  <c r="K20" i="359"/>
  <c r="J20" i="359"/>
  <c r="I20" i="359"/>
  <c r="H20" i="359"/>
  <c r="O19" i="359"/>
  <c r="O20" i="359" s="1"/>
  <c r="N16" i="359"/>
  <c r="M16" i="359"/>
  <c r="L16" i="359"/>
  <c r="K16" i="359"/>
  <c r="J16" i="359"/>
  <c r="H16" i="359"/>
  <c r="O15" i="359"/>
  <c r="O16" i="359" s="1"/>
  <c r="P14" i="359"/>
  <c r="C245" i="358"/>
  <c r="K242" i="358"/>
  <c r="J242" i="358"/>
  <c r="I242" i="358"/>
  <c r="H242" i="358"/>
  <c r="G242" i="358"/>
  <c r="E242" i="358"/>
  <c r="L241" i="358"/>
  <c r="M241" i="358" s="1"/>
  <c r="L240" i="358"/>
  <c r="M240" i="358" s="1"/>
  <c r="L239" i="358"/>
  <c r="L242" i="358" s="1"/>
  <c r="M238" i="358"/>
  <c r="M237" i="358"/>
  <c r="L237" i="358"/>
  <c r="L236" i="358"/>
  <c r="M236" i="358" s="1"/>
  <c r="K233" i="358"/>
  <c r="J233" i="358"/>
  <c r="I233" i="358"/>
  <c r="H233" i="358"/>
  <c r="G233" i="358"/>
  <c r="E233" i="358"/>
  <c r="M232" i="358"/>
  <c r="M231" i="358"/>
  <c r="L230" i="358"/>
  <c r="M230" i="358" s="1"/>
  <c r="M229" i="358"/>
  <c r="L229" i="358"/>
  <c r="M227" i="358"/>
  <c r="L227" i="358"/>
  <c r="L226" i="358"/>
  <c r="L233" i="358" s="1"/>
  <c r="K223" i="358"/>
  <c r="J223" i="358"/>
  <c r="I223" i="358"/>
  <c r="H223" i="358"/>
  <c r="G223" i="358"/>
  <c r="E223" i="358"/>
  <c r="M222" i="358"/>
  <c r="L221" i="358"/>
  <c r="M221" i="358" s="1"/>
  <c r="L220" i="358"/>
  <c r="M220" i="358" s="1"/>
  <c r="L219" i="358"/>
  <c r="M219" i="358" s="1"/>
  <c r="L217" i="358"/>
  <c r="M217" i="358" s="1"/>
  <c r="L216" i="358"/>
  <c r="M216" i="358" s="1"/>
  <c r="L215" i="358"/>
  <c r="M215" i="358" s="1"/>
  <c r="L214" i="358"/>
  <c r="L223" i="358" s="1"/>
  <c r="K211" i="358"/>
  <c r="K243" i="358" s="1"/>
  <c r="J211" i="358"/>
  <c r="J243" i="358" s="1"/>
  <c r="I211" i="358"/>
  <c r="I243" i="358" s="1"/>
  <c r="H211" i="358"/>
  <c r="H243" i="358" s="1"/>
  <c r="G211" i="358"/>
  <c r="G243" i="358" s="1"/>
  <c r="E211" i="358"/>
  <c r="E243" i="358" s="1"/>
  <c r="M210" i="358"/>
  <c r="M209" i="358"/>
  <c r="L209" i="358"/>
  <c r="L208" i="358"/>
  <c r="M208" i="358" s="1"/>
  <c r="L207" i="358"/>
  <c r="M207" i="358" s="1"/>
  <c r="L206" i="358"/>
  <c r="M206" i="358" s="1"/>
  <c r="L205" i="358"/>
  <c r="M205" i="358" s="1"/>
  <c r="L203" i="358"/>
  <c r="M203" i="358" s="1"/>
  <c r="L202" i="358"/>
  <c r="M202" i="358" s="1"/>
  <c r="L201" i="358"/>
  <c r="M201" i="358" s="1"/>
  <c r="M200" i="358"/>
  <c r="L199" i="358"/>
  <c r="M199" i="358" s="1"/>
  <c r="L198" i="358"/>
  <c r="M198" i="358" s="1"/>
  <c r="L197" i="358"/>
  <c r="K193" i="358"/>
  <c r="J193" i="358"/>
  <c r="I193" i="358"/>
  <c r="H193" i="358"/>
  <c r="G193" i="358"/>
  <c r="E193" i="358"/>
  <c r="L190" i="358"/>
  <c r="M190" i="358" s="1"/>
  <c r="L189" i="358"/>
  <c r="M189" i="358" s="1"/>
  <c r="L188" i="358"/>
  <c r="M188" i="358" s="1"/>
  <c r="K185" i="358"/>
  <c r="J185" i="358"/>
  <c r="I185" i="358"/>
  <c r="H185" i="358"/>
  <c r="G185" i="358"/>
  <c r="E185" i="358"/>
  <c r="L184" i="358"/>
  <c r="M184" i="358" s="1"/>
  <c r="L183" i="358"/>
  <c r="M183" i="358" s="1"/>
  <c r="L182" i="358"/>
  <c r="M182" i="358" s="1"/>
  <c r="L181" i="358"/>
  <c r="M181" i="358" s="1"/>
  <c r="L180" i="358"/>
  <c r="M180" i="358" s="1"/>
  <c r="K173" i="358"/>
  <c r="J173" i="358"/>
  <c r="I173" i="358"/>
  <c r="H173" i="358"/>
  <c r="G173" i="358"/>
  <c r="F173" i="358"/>
  <c r="E173" i="358"/>
  <c r="M172" i="358"/>
  <c r="L172" i="358"/>
  <c r="M171" i="358"/>
  <c r="M173" i="358" s="1"/>
  <c r="L171" i="358"/>
  <c r="L173" i="358" s="1"/>
  <c r="K168" i="358"/>
  <c r="J168" i="358"/>
  <c r="I168" i="358"/>
  <c r="H168" i="358"/>
  <c r="G168" i="358"/>
  <c r="E168" i="358"/>
  <c r="M167" i="358"/>
  <c r="M168" i="358" s="1"/>
  <c r="L167" i="358"/>
  <c r="L168" i="358" s="1"/>
  <c r="K164" i="358"/>
  <c r="J164" i="358"/>
  <c r="I164" i="358"/>
  <c r="H164" i="358"/>
  <c r="G164" i="358"/>
  <c r="F164" i="358"/>
  <c r="E164" i="358"/>
  <c r="L163" i="358"/>
  <c r="M163" i="358" s="1"/>
  <c r="L162" i="358"/>
  <c r="M162" i="358" s="1"/>
  <c r="L161" i="358"/>
  <c r="L164" i="358" s="1"/>
  <c r="K158" i="358"/>
  <c r="J158" i="358"/>
  <c r="I158" i="358"/>
  <c r="H158" i="358"/>
  <c r="G158" i="358"/>
  <c r="F158" i="358"/>
  <c r="E158" i="358"/>
  <c r="L157" i="358"/>
  <c r="M157" i="358" s="1"/>
  <c r="K154" i="358"/>
  <c r="J154" i="358"/>
  <c r="I154" i="358"/>
  <c r="H154" i="358"/>
  <c r="G154" i="358"/>
  <c r="E154" i="358"/>
  <c r="L153" i="358"/>
  <c r="M153" i="358" s="1"/>
  <c r="L152" i="358"/>
  <c r="M152" i="358" s="1"/>
  <c r="M154" i="358" s="1"/>
  <c r="J149" i="358"/>
  <c r="I149" i="358"/>
  <c r="H149" i="358"/>
  <c r="G149" i="358"/>
  <c r="E149" i="358"/>
  <c r="L148" i="358"/>
  <c r="M148" i="358" s="1"/>
  <c r="M147" i="358"/>
  <c r="L147" i="358"/>
  <c r="M146" i="358"/>
  <c r="L146" i="358"/>
  <c r="M145" i="358"/>
  <c r="L145" i="358"/>
  <c r="L149" i="358" s="1"/>
  <c r="K142" i="358"/>
  <c r="J142" i="358"/>
  <c r="I142" i="358"/>
  <c r="H142" i="358"/>
  <c r="G142" i="358"/>
  <c r="E142" i="358"/>
  <c r="L141" i="358"/>
  <c r="M141" i="358" s="1"/>
  <c r="M140" i="358"/>
  <c r="L140" i="358"/>
  <c r="M139" i="358"/>
  <c r="L139" i="358"/>
  <c r="M138" i="358"/>
  <c r="L137" i="358"/>
  <c r="L142" i="358" s="1"/>
  <c r="K134" i="358"/>
  <c r="J134" i="358"/>
  <c r="I134" i="358"/>
  <c r="H134" i="358"/>
  <c r="G134" i="358"/>
  <c r="F134" i="358"/>
  <c r="E134" i="358"/>
  <c r="L133" i="358"/>
  <c r="L134" i="358" s="1"/>
  <c r="M130" i="358"/>
  <c r="K130" i="358"/>
  <c r="J130" i="358"/>
  <c r="I130" i="358"/>
  <c r="H130" i="358"/>
  <c r="G130" i="358"/>
  <c r="E130" i="358"/>
  <c r="M129" i="358"/>
  <c r="L129" i="358"/>
  <c r="L130" i="358" s="1"/>
  <c r="J126" i="358"/>
  <c r="I126" i="358"/>
  <c r="H126" i="358"/>
  <c r="G126" i="358"/>
  <c r="F126" i="358"/>
  <c r="E126" i="358"/>
  <c r="L125" i="358"/>
  <c r="M125" i="358" s="1"/>
  <c r="M124" i="358"/>
  <c r="M123" i="358"/>
  <c r="L123" i="358"/>
  <c r="L122" i="358"/>
  <c r="M122" i="358" s="1"/>
  <c r="M121" i="358"/>
  <c r="L121" i="358"/>
  <c r="K118" i="358"/>
  <c r="J118" i="358"/>
  <c r="I118" i="358"/>
  <c r="H118" i="358"/>
  <c r="G118" i="358"/>
  <c r="E118" i="358"/>
  <c r="M117" i="358"/>
  <c r="M118" i="358" s="1"/>
  <c r="L117" i="358"/>
  <c r="L118" i="358" s="1"/>
  <c r="K114" i="358"/>
  <c r="J114" i="358"/>
  <c r="I114" i="358"/>
  <c r="H114" i="358"/>
  <c r="G114" i="358"/>
  <c r="E114" i="358"/>
  <c r="M113" i="358"/>
  <c r="L113" i="358"/>
  <c r="M112" i="358"/>
  <c r="L112" i="358"/>
  <c r="L111" i="358"/>
  <c r="M111" i="358" s="1"/>
  <c r="M114" i="358" s="1"/>
  <c r="K108" i="358"/>
  <c r="J108" i="358"/>
  <c r="I108" i="358"/>
  <c r="H108" i="358"/>
  <c r="G108" i="358"/>
  <c r="E108" i="358"/>
  <c r="M106" i="358"/>
  <c r="M108" i="358" s="1"/>
  <c r="L106" i="358"/>
  <c r="L108" i="358" s="1"/>
  <c r="K103" i="358"/>
  <c r="J103" i="358"/>
  <c r="I103" i="358"/>
  <c r="H103" i="358"/>
  <c r="G103" i="358"/>
  <c r="E103" i="358"/>
  <c r="M102" i="358"/>
  <c r="L102" i="358"/>
  <c r="M101" i="358"/>
  <c r="M103" i="358" s="1"/>
  <c r="L101" i="358"/>
  <c r="L103" i="358" s="1"/>
  <c r="K98" i="358"/>
  <c r="J98" i="358"/>
  <c r="I98" i="358"/>
  <c r="H98" i="358"/>
  <c r="G98" i="358"/>
  <c r="F98" i="358"/>
  <c r="E98" i="358"/>
  <c r="L97" i="358"/>
  <c r="L98" i="358" s="1"/>
  <c r="K94" i="358"/>
  <c r="J94" i="358"/>
  <c r="I94" i="358"/>
  <c r="H94" i="358"/>
  <c r="G94" i="358"/>
  <c r="E94" i="358"/>
  <c r="L93" i="358"/>
  <c r="M93" i="358" s="1"/>
  <c r="L92" i="358"/>
  <c r="M92" i="358" s="1"/>
  <c r="L91" i="358"/>
  <c r="M91" i="358" s="1"/>
  <c r="L90" i="358"/>
  <c r="M90" i="358" s="1"/>
  <c r="L89" i="358"/>
  <c r="M89" i="358" s="1"/>
  <c r="L88" i="358"/>
  <c r="M88" i="358" s="1"/>
  <c r="L87" i="358"/>
  <c r="M87" i="358" s="1"/>
  <c r="L86" i="358"/>
  <c r="M86" i="358" s="1"/>
  <c r="L85" i="358"/>
  <c r="M85" i="358" s="1"/>
  <c r="L84" i="358"/>
  <c r="J81" i="358"/>
  <c r="I81" i="358"/>
  <c r="H81" i="358"/>
  <c r="G81" i="358"/>
  <c r="E81" i="358"/>
  <c r="L80" i="358"/>
  <c r="M80" i="358" s="1"/>
  <c r="L79" i="358"/>
  <c r="M79" i="358" s="1"/>
  <c r="L78" i="358"/>
  <c r="M78" i="358" s="1"/>
  <c r="L77" i="358"/>
  <c r="M77" i="358" s="1"/>
  <c r="L76" i="358"/>
  <c r="M76" i="358" s="1"/>
  <c r="L75" i="358"/>
  <c r="M75" i="358" s="1"/>
  <c r="L74" i="358"/>
  <c r="M74" i="358" s="1"/>
  <c r="L73" i="358"/>
  <c r="M73" i="358" s="1"/>
  <c r="L72" i="358"/>
  <c r="M72" i="358" s="1"/>
  <c r="L71" i="358"/>
  <c r="M71" i="358" s="1"/>
  <c r="L70" i="358"/>
  <c r="M70" i="358" s="1"/>
  <c r="L69" i="358"/>
  <c r="M69" i="358" s="1"/>
  <c r="L68" i="358"/>
  <c r="M68" i="358" s="1"/>
  <c r="L67" i="358"/>
  <c r="M67" i="358" s="1"/>
  <c r="L66" i="358"/>
  <c r="L81" i="358" s="1"/>
  <c r="J63" i="358"/>
  <c r="I63" i="358"/>
  <c r="H63" i="358"/>
  <c r="G63" i="358"/>
  <c r="E63" i="358"/>
  <c r="L62" i="358"/>
  <c r="M62" i="358" s="1"/>
  <c r="L61" i="358"/>
  <c r="M61" i="358" s="1"/>
  <c r="L60" i="358"/>
  <c r="M60" i="358" s="1"/>
  <c r="M63" i="358" s="1"/>
  <c r="J57" i="358"/>
  <c r="I57" i="358"/>
  <c r="H57" i="358"/>
  <c r="G57" i="358"/>
  <c r="E57" i="358"/>
  <c r="L56" i="358"/>
  <c r="M56" i="358" s="1"/>
  <c r="L55" i="358"/>
  <c r="M55" i="358" s="1"/>
  <c r="L54" i="358"/>
  <c r="M54" i="358" s="1"/>
  <c r="L53" i="358"/>
  <c r="M53" i="358" s="1"/>
  <c r="L52" i="358"/>
  <c r="M52" i="358" s="1"/>
  <c r="L51" i="358"/>
  <c r="M51" i="358" s="1"/>
  <c r="M57" i="358" s="1"/>
  <c r="L48" i="358"/>
  <c r="J48" i="358"/>
  <c r="I48" i="358"/>
  <c r="H48" i="358"/>
  <c r="G48" i="358"/>
  <c r="F48" i="358"/>
  <c r="E48" i="358"/>
  <c r="M47" i="358"/>
  <c r="L47" i="358"/>
  <c r="M46" i="358"/>
  <c r="M48" i="358" s="1"/>
  <c r="L46" i="358"/>
  <c r="M43" i="358"/>
  <c r="J43" i="358"/>
  <c r="I43" i="358"/>
  <c r="H43" i="358"/>
  <c r="F43" i="358"/>
  <c r="E43" i="358"/>
  <c r="M42" i="358"/>
  <c r="L42" i="358"/>
  <c r="L43" i="358" s="1"/>
  <c r="J39" i="358"/>
  <c r="I39" i="358"/>
  <c r="H39" i="358"/>
  <c r="G39" i="358"/>
  <c r="E39" i="358"/>
  <c r="M38" i="358"/>
  <c r="L38" i="358"/>
  <c r="L37" i="358"/>
  <c r="M37" i="358" s="1"/>
  <c r="M36" i="358"/>
  <c r="L36" i="358"/>
  <c r="M35" i="358"/>
  <c r="L35" i="358"/>
  <c r="L39" i="358" s="1"/>
  <c r="J32" i="358"/>
  <c r="I32" i="358"/>
  <c r="H32" i="358"/>
  <c r="G32" i="358"/>
  <c r="E32" i="358"/>
  <c r="M31" i="358"/>
  <c r="L31" i="358"/>
  <c r="M30" i="358"/>
  <c r="L30" i="358"/>
  <c r="L29" i="358"/>
  <c r="M29" i="358" s="1"/>
  <c r="M28" i="358"/>
  <c r="L28" i="358"/>
  <c r="L32" i="358" s="1"/>
  <c r="J25" i="358"/>
  <c r="I25" i="358"/>
  <c r="H25" i="358"/>
  <c r="H245" i="358" s="1"/>
  <c r="G25" i="358"/>
  <c r="F25" i="358"/>
  <c r="E25" i="358"/>
  <c r="E245" i="358" s="1"/>
  <c r="L24" i="358"/>
  <c r="M24" i="358" s="1"/>
  <c r="L23" i="358"/>
  <c r="M23" i="358" s="1"/>
  <c r="M22" i="358"/>
  <c r="L22" i="358"/>
  <c r="L21" i="358"/>
  <c r="M21" i="358" s="1"/>
  <c r="L20" i="358"/>
  <c r="L25" i="358" s="1"/>
  <c r="J174" i="357"/>
  <c r="K174" i="357"/>
  <c r="L174" i="357"/>
  <c r="M174" i="357"/>
  <c r="N174" i="357"/>
  <c r="O174" i="357"/>
  <c r="P174" i="357"/>
  <c r="H174" i="357"/>
  <c r="H106" i="357"/>
  <c r="H87" i="357"/>
  <c r="H73" i="357"/>
  <c r="H59" i="357"/>
  <c r="H43" i="357"/>
  <c r="H16" i="357"/>
  <c r="D174" i="357"/>
  <c r="O63" i="357"/>
  <c r="P63" i="357"/>
  <c r="O62" i="357"/>
  <c r="P62" i="357" s="1"/>
  <c r="J73" i="357"/>
  <c r="K73" i="357"/>
  <c r="L73" i="357"/>
  <c r="M73" i="357"/>
  <c r="N73" i="357"/>
  <c r="N171" i="357"/>
  <c r="M171" i="357"/>
  <c r="L171" i="357"/>
  <c r="K171" i="357"/>
  <c r="J171" i="357"/>
  <c r="H171" i="357"/>
  <c r="O170" i="357"/>
  <c r="P170" i="357" s="1"/>
  <c r="O169" i="357"/>
  <c r="P169" i="357" s="1"/>
  <c r="O168" i="357"/>
  <c r="P168" i="357" s="1"/>
  <c r="O167" i="357"/>
  <c r="P167" i="357" s="1"/>
  <c r="O166" i="357"/>
  <c r="P166" i="357" s="1"/>
  <c r="O165" i="357"/>
  <c r="P165" i="357" s="1"/>
  <c r="O164" i="357"/>
  <c r="P164" i="357" s="1"/>
  <c r="O163" i="357"/>
  <c r="N160" i="357"/>
  <c r="M160" i="357"/>
  <c r="L160" i="357"/>
  <c r="K160" i="357"/>
  <c r="J160" i="357"/>
  <c r="H160" i="357"/>
  <c r="O159" i="357"/>
  <c r="P159" i="357" s="1"/>
  <c r="O158" i="357"/>
  <c r="P158" i="357" s="1"/>
  <c r="O157" i="357"/>
  <c r="P157" i="357" s="1"/>
  <c r="O156" i="357"/>
  <c r="P156" i="357" s="1"/>
  <c r="O155" i="357"/>
  <c r="P155" i="357" s="1"/>
  <c r="O154" i="357"/>
  <c r="P154" i="357" s="1"/>
  <c r="O153" i="357"/>
  <c r="P153" i="357" s="1"/>
  <c r="O152" i="357"/>
  <c r="P152" i="357" s="1"/>
  <c r="O151" i="357"/>
  <c r="N148" i="357"/>
  <c r="M148" i="357"/>
  <c r="L148" i="357"/>
  <c r="K148" i="357"/>
  <c r="J148" i="357"/>
  <c r="H148" i="357"/>
  <c r="O147" i="357"/>
  <c r="P147" i="357" s="1"/>
  <c r="O146" i="357"/>
  <c r="P146" i="357" s="1"/>
  <c r="O145" i="357"/>
  <c r="P145" i="357" s="1"/>
  <c r="O144" i="357"/>
  <c r="P144" i="357" s="1"/>
  <c r="O143" i="357"/>
  <c r="P143" i="357" s="1"/>
  <c r="O142" i="357"/>
  <c r="P142" i="357" s="1"/>
  <c r="O141" i="357"/>
  <c r="P141" i="357" s="1"/>
  <c r="N138" i="357"/>
  <c r="M138" i="357"/>
  <c r="L138" i="357"/>
  <c r="K138" i="357"/>
  <c r="J138" i="357"/>
  <c r="H138" i="357"/>
  <c r="O137" i="357"/>
  <c r="P137" i="357" s="1"/>
  <c r="O136" i="357"/>
  <c r="P136" i="357" s="1"/>
  <c r="O135" i="357"/>
  <c r="P135" i="357" s="1"/>
  <c r="O134" i="357"/>
  <c r="P134" i="357" s="1"/>
  <c r="O133" i="357"/>
  <c r="P133" i="357" s="1"/>
  <c r="O132" i="357"/>
  <c r="P132" i="357" s="1"/>
  <c r="O131" i="357"/>
  <c r="P131" i="357" s="1"/>
  <c r="O130" i="357"/>
  <c r="P130" i="357" s="1"/>
  <c r="O129" i="357"/>
  <c r="P129" i="357" s="1"/>
  <c r="O128" i="357"/>
  <c r="N124" i="357"/>
  <c r="M124" i="357"/>
  <c r="L124" i="357"/>
  <c r="K124" i="357"/>
  <c r="J124" i="357"/>
  <c r="H124" i="357"/>
  <c r="O123" i="357"/>
  <c r="O124" i="357" s="1"/>
  <c r="N120" i="357"/>
  <c r="M120" i="357"/>
  <c r="L120" i="357"/>
  <c r="K120" i="357"/>
  <c r="J120" i="357"/>
  <c r="I120" i="357"/>
  <c r="H120" i="357"/>
  <c r="O119" i="357"/>
  <c r="P119" i="357" s="1"/>
  <c r="P118" i="357"/>
  <c r="O118" i="357"/>
  <c r="O117" i="357"/>
  <c r="P117" i="357" s="1"/>
  <c r="O116" i="357"/>
  <c r="P116" i="357" s="1"/>
  <c r="O115" i="357"/>
  <c r="P115" i="357" s="1"/>
  <c r="O114" i="357"/>
  <c r="P114" i="357" s="1"/>
  <c r="O113" i="357"/>
  <c r="N110" i="357"/>
  <c r="O109" i="357"/>
  <c r="O110" i="357" s="1"/>
  <c r="N106" i="357"/>
  <c r="M106" i="357"/>
  <c r="L106" i="357"/>
  <c r="K106" i="357"/>
  <c r="J106" i="357"/>
  <c r="I106" i="357"/>
  <c r="O105" i="357"/>
  <c r="P105" i="357" s="1"/>
  <c r="O104" i="357"/>
  <c r="P104" i="357" s="1"/>
  <c r="O103" i="357"/>
  <c r="N100" i="357"/>
  <c r="M100" i="357"/>
  <c r="L100" i="357"/>
  <c r="K100" i="357"/>
  <c r="J100" i="357"/>
  <c r="I100" i="357"/>
  <c r="H100" i="357"/>
  <c r="O99" i="357"/>
  <c r="O100" i="357" s="1"/>
  <c r="N96" i="357"/>
  <c r="M96" i="357"/>
  <c r="L96" i="357"/>
  <c r="K96" i="357"/>
  <c r="J96" i="357"/>
  <c r="H96" i="357"/>
  <c r="O95" i="357"/>
  <c r="P95" i="357" s="1"/>
  <c r="O94" i="357"/>
  <c r="P94" i="357" s="1"/>
  <c r="O93" i="357"/>
  <c r="P93" i="357" s="1"/>
  <c r="O92" i="357"/>
  <c r="P92" i="357" s="1"/>
  <c r="O91" i="357"/>
  <c r="P91" i="357" s="1"/>
  <c r="P90" i="357"/>
  <c r="N87" i="357"/>
  <c r="M87" i="357"/>
  <c r="L87" i="357"/>
  <c r="K87" i="357"/>
  <c r="J87" i="357"/>
  <c r="O85" i="357"/>
  <c r="P85" i="357" s="1"/>
  <c r="O84" i="357"/>
  <c r="P84" i="357" s="1"/>
  <c r="O83" i="357"/>
  <c r="P83" i="357" s="1"/>
  <c r="O82" i="357"/>
  <c r="P82" i="357" s="1"/>
  <c r="O81" i="357"/>
  <c r="P81" i="357" s="1"/>
  <c r="O80" i="357"/>
  <c r="O77" i="357"/>
  <c r="P77" i="357" s="1"/>
  <c r="O76" i="357"/>
  <c r="P76" i="357" s="1"/>
  <c r="O72" i="357"/>
  <c r="P72" i="357" s="1"/>
  <c r="P71" i="357"/>
  <c r="O70" i="357"/>
  <c r="P70" i="357" s="1"/>
  <c r="O69" i="357"/>
  <c r="N66" i="357"/>
  <c r="M66" i="357"/>
  <c r="L66" i="357"/>
  <c r="K66" i="357"/>
  <c r="J66" i="357"/>
  <c r="I66" i="357"/>
  <c r="H66" i="357"/>
  <c r="O65" i="357"/>
  <c r="O66" i="357" s="1"/>
  <c r="N59" i="357"/>
  <c r="M59" i="357"/>
  <c r="L59" i="357"/>
  <c r="K59" i="357"/>
  <c r="J59" i="357"/>
  <c r="I59" i="357"/>
  <c r="O58" i="357"/>
  <c r="P58" i="357" s="1"/>
  <c r="O57" i="357"/>
  <c r="O55" i="357"/>
  <c r="P55" i="357" s="1"/>
  <c r="O54" i="357"/>
  <c r="P54" i="357" s="1"/>
  <c r="O47" i="357"/>
  <c r="P47" i="357" s="1"/>
  <c r="O46" i="357"/>
  <c r="P46" i="357" s="1"/>
  <c r="N43" i="357"/>
  <c r="M43" i="357"/>
  <c r="L43" i="357"/>
  <c r="K43" i="357"/>
  <c r="J43" i="357"/>
  <c r="O42" i="357"/>
  <c r="P42" i="357" s="1"/>
  <c r="O41" i="357"/>
  <c r="P41" i="357" s="1"/>
  <c r="N38" i="357"/>
  <c r="M38" i="357"/>
  <c r="L38" i="357"/>
  <c r="K38" i="357"/>
  <c r="J38" i="357"/>
  <c r="H38" i="357"/>
  <c r="O37" i="357"/>
  <c r="P37" i="357" s="1"/>
  <c r="O36" i="357"/>
  <c r="P36" i="357" s="1"/>
  <c r="P33" i="357"/>
  <c r="O32" i="357"/>
  <c r="P32" i="357" s="1"/>
  <c r="N29" i="357"/>
  <c r="M29" i="357"/>
  <c r="L29" i="357"/>
  <c r="K29" i="357"/>
  <c r="J29" i="357"/>
  <c r="H29" i="357"/>
  <c r="O28" i="357"/>
  <c r="P28" i="357" s="1"/>
  <c r="O27" i="357"/>
  <c r="O24" i="357"/>
  <c r="P24" i="357" s="1"/>
  <c r="O23" i="357"/>
  <c r="P23" i="357" s="1"/>
  <c r="N20" i="357"/>
  <c r="M20" i="357"/>
  <c r="L20" i="357"/>
  <c r="K20" i="357"/>
  <c r="J20" i="357"/>
  <c r="I20" i="357"/>
  <c r="H20" i="357"/>
  <c r="O19" i="357"/>
  <c r="P19" i="357" s="1"/>
  <c r="P20" i="357" s="1"/>
  <c r="N16" i="357"/>
  <c r="M16" i="357"/>
  <c r="L16" i="357"/>
  <c r="K16" i="357"/>
  <c r="J16" i="357"/>
  <c r="O15" i="357"/>
  <c r="O16" i="357" s="1"/>
  <c r="P14" i="357"/>
  <c r="O56" i="348"/>
  <c r="P56" i="348" s="1"/>
  <c r="O55" i="348"/>
  <c r="P55" i="348" s="1"/>
  <c r="O24" i="348"/>
  <c r="P24" i="348" s="1"/>
  <c r="O23" i="348"/>
  <c r="P23" i="348" s="1"/>
  <c r="E142" i="352"/>
  <c r="E32" i="352"/>
  <c r="G142" i="352"/>
  <c r="H142" i="352"/>
  <c r="I142" i="352"/>
  <c r="J142" i="352"/>
  <c r="K142" i="352"/>
  <c r="L141" i="352"/>
  <c r="M141" i="352"/>
  <c r="H47" i="356"/>
  <c r="C47" i="356"/>
  <c r="M45" i="356"/>
  <c r="L45" i="356"/>
  <c r="K45" i="356"/>
  <c r="K47" i="356" s="1"/>
  <c r="J45" i="356"/>
  <c r="I45" i="356"/>
  <c r="H45" i="356"/>
  <c r="G45" i="356"/>
  <c r="F45" i="356"/>
  <c r="E45" i="356"/>
  <c r="E47" i="356" s="1"/>
  <c r="L44" i="356"/>
  <c r="M40" i="356"/>
  <c r="M47" i="356" s="1"/>
  <c r="K40" i="356"/>
  <c r="J40" i="356"/>
  <c r="J47" i="356" s="1"/>
  <c r="I40" i="356"/>
  <c r="I47" i="356" s="1"/>
  <c r="H40" i="356"/>
  <c r="G40" i="356"/>
  <c r="G47" i="356" s="1"/>
  <c r="F40" i="356"/>
  <c r="F47" i="356" s="1"/>
  <c r="E40" i="356"/>
  <c r="L39" i="356"/>
  <c r="L38" i="356"/>
  <c r="L37" i="356"/>
  <c r="L36" i="356"/>
  <c r="L35" i="356"/>
  <c r="L34" i="356"/>
  <c r="L33" i="356"/>
  <c r="L32" i="356"/>
  <c r="L31" i="356"/>
  <c r="L30" i="356"/>
  <c r="L29" i="356"/>
  <c r="L28" i="356"/>
  <c r="L27" i="356"/>
  <c r="L26" i="356"/>
  <c r="L25" i="356"/>
  <c r="L24" i="356"/>
  <c r="L23" i="356"/>
  <c r="L22" i="356"/>
  <c r="L21" i="356"/>
  <c r="L20" i="356"/>
  <c r="L19" i="356"/>
  <c r="L18" i="356"/>
  <c r="L17" i="356"/>
  <c r="L40" i="356" s="1"/>
  <c r="L47" i="356" s="1"/>
  <c r="M16" i="356"/>
  <c r="G41" i="355"/>
  <c r="D41" i="355"/>
  <c r="M39" i="355"/>
  <c r="M38" i="355"/>
  <c r="L32" i="355"/>
  <c r="M32" i="355" s="1"/>
  <c r="L31" i="355"/>
  <c r="M31" i="355" s="1"/>
  <c r="M28" i="355"/>
  <c r="L28" i="355"/>
  <c r="L27" i="355"/>
  <c r="M27" i="355" s="1"/>
  <c r="K24" i="355"/>
  <c r="J24" i="355"/>
  <c r="I24" i="355"/>
  <c r="H24" i="355"/>
  <c r="L24" i="355" s="1"/>
  <c r="G24" i="355"/>
  <c r="M24" i="355" s="1"/>
  <c r="E24" i="355"/>
  <c r="L23" i="355"/>
  <c r="M23" i="355" s="1"/>
  <c r="L20" i="355"/>
  <c r="K20" i="355"/>
  <c r="J20" i="355"/>
  <c r="I20" i="355"/>
  <c r="H20" i="355"/>
  <c r="G20" i="355"/>
  <c r="M20" i="355" s="1"/>
  <c r="F20" i="355"/>
  <c r="E20" i="355"/>
  <c r="M19" i="355"/>
  <c r="L19" i="355"/>
  <c r="K16" i="355"/>
  <c r="J16" i="355"/>
  <c r="J41" i="355" s="1"/>
  <c r="I16" i="355"/>
  <c r="I41" i="355" s="1"/>
  <c r="H16" i="355"/>
  <c r="H41" i="355" s="1"/>
  <c r="G16" i="355"/>
  <c r="F16" i="355"/>
  <c r="E16" i="355"/>
  <c r="E41" i="355" s="1"/>
  <c r="L15" i="355"/>
  <c r="M15" i="355" s="1"/>
  <c r="M16" i="355" s="1"/>
  <c r="H22" i="354"/>
  <c r="G22" i="354"/>
  <c r="D22" i="354"/>
  <c r="J19" i="354"/>
  <c r="J22" i="354" s="1"/>
  <c r="I19" i="354"/>
  <c r="I22" i="354" s="1"/>
  <c r="H19" i="354"/>
  <c r="G19" i="354"/>
  <c r="E19" i="354"/>
  <c r="E22" i="354" s="1"/>
  <c r="L18" i="354"/>
  <c r="L19" i="354" s="1"/>
  <c r="M15" i="354"/>
  <c r="L15" i="354"/>
  <c r="J15" i="354"/>
  <c r="I15" i="354"/>
  <c r="H15" i="354"/>
  <c r="G15" i="354"/>
  <c r="E15" i="354"/>
  <c r="M14" i="354"/>
  <c r="L14" i="354"/>
  <c r="C245" i="352"/>
  <c r="K242" i="352"/>
  <c r="J242" i="352"/>
  <c r="I242" i="352"/>
  <c r="H242" i="352"/>
  <c r="G242" i="352"/>
  <c r="E242" i="352"/>
  <c r="L241" i="352"/>
  <c r="M241" i="352" s="1"/>
  <c r="L240" i="352"/>
  <c r="M240" i="352" s="1"/>
  <c r="L239" i="352"/>
  <c r="M239" i="352" s="1"/>
  <c r="M238" i="352"/>
  <c r="L237" i="352"/>
  <c r="M237" i="352" s="1"/>
  <c r="L236" i="352"/>
  <c r="K233" i="352"/>
  <c r="K243" i="352" s="1"/>
  <c r="J233" i="352"/>
  <c r="I233" i="352"/>
  <c r="H233" i="352"/>
  <c r="G233" i="352"/>
  <c r="E233" i="352"/>
  <c r="M232" i="352"/>
  <c r="M231" i="352"/>
  <c r="L230" i="352"/>
  <c r="M230" i="352" s="1"/>
  <c r="L229" i="352"/>
  <c r="M229" i="352" s="1"/>
  <c r="M227" i="352"/>
  <c r="L227" i="352"/>
  <c r="L226" i="352"/>
  <c r="K223" i="352"/>
  <c r="J223" i="352"/>
  <c r="I223" i="352"/>
  <c r="H223" i="352"/>
  <c r="G223" i="352"/>
  <c r="E223" i="352"/>
  <c r="M222" i="352"/>
  <c r="L221" i="352"/>
  <c r="M221" i="352" s="1"/>
  <c r="L220" i="352"/>
  <c r="M220" i="352" s="1"/>
  <c r="L219" i="352"/>
  <c r="M219" i="352" s="1"/>
  <c r="L217" i="352"/>
  <c r="M217" i="352" s="1"/>
  <c r="M216" i="352"/>
  <c r="L216" i="352"/>
  <c r="L215" i="352"/>
  <c r="M215" i="352" s="1"/>
  <c r="L214" i="352"/>
  <c r="K211" i="352"/>
  <c r="J211" i="352"/>
  <c r="J243" i="352" s="1"/>
  <c r="I211" i="352"/>
  <c r="H211" i="352"/>
  <c r="G211" i="352"/>
  <c r="E211" i="352"/>
  <c r="E243" i="352" s="1"/>
  <c r="M210" i="352"/>
  <c r="L209" i="352"/>
  <c r="M209" i="352" s="1"/>
  <c r="L208" i="352"/>
  <c r="M208" i="352" s="1"/>
  <c r="L207" i="352"/>
  <c r="M207" i="352" s="1"/>
  <c r="L206" i="352"/>
  <c r="M206" i="352" s="1"/>
  <c r="L205" i="352"/>
  <c r="M205" i="352" s="1"/>
  <c r="L203" i="352"/>
  <c r="M203" i="352" s="1"/>
  <c r="M202" i="352"/>
  <c r="L202" i="352"/>
  <c r="L201" i="352"/>
  <c r="M201" i="352" s="1"/>
  <c r="M200" i="352"/>
  <c r="L199" i="352"/>
  <c r="M199" i="352" s="1"/>
  <c r="L198" i="352"/>
  <c r="M198" i="352" s="1"/>
  <c r="M197" i="352"/>
  <c r="L197" i="352"/>
  <c r="K193" i="352"/>
  <c r="J193" i="352"/>
  <c r="I193" i="352"/>
  <c r="H193" i="352"/>
  <c r="G193" i="352"/>
  <c r="E193" i="352"/>
  <c r="L190" i="352"/>
  <c r="M190" i="352" s="1"/>
  <c r="L189" i="352"/>
  <c r="M189" i="352" s="1"/>
  <c r="L188" i="352"/>
  <c r="M188" i="352" s="1"/>
  <c r="K185" i="352"/>
  <c r="J185" i="352"/>
  <c r="I185" i="352"/>
  <c r="H185" i="352"/>
  <c r="G185" i="352"/>
  <c r="E185" i="352"/>
  <c r="M184" i="352"/>
  <c r="L184" i="352"/>
  <c r="L183" i="352"/>
  <c r="M183" i="352" s="1"/>
  <c r="L182" i="352"/>
  <c r="M182" i="352" s="1"/>
  <c r="M181" i="352"/>
  <c r="L181" i="352"/>
  <c r="L180" i="352"/>
  <c r="M180" i="352" s="1"/>
  <c r="K173" i="352"/>
  <c r="J173" i="352"/>
  <c r="I173" i="352"/>
  <c r="H173" i="352"/>
  <c r="G173" i="352"/>
  <c r="F173" i="352"/>
  <c r="E173" i="352"/>
  <c r="L172" i="352"/>
  <c r="M172" i="352" s="1"/>
  <c r="L171" i="352"/>
  <c r="M171" i="352" s="1"/>
  <c r="K168" i="352"/>
  <c r="J168" i="352"/>
  <c r="I168" i="352"/>
  <c r="H168" i="352"/>
  <c r="G168" i="352"/>
  <c r="E168" i="352"/>
  <c r="L167" i="352"/>
  <c r="M167" i="352" s="1"/>
  <c r="M168" i="352" s="1"/>
  <c r="K164" i="352"/>
  <c r="J164" i="352"/>
  <c r="I164" i="352"/>
  <c r="H164" i="352"/>
  <c r="G164" i="352"/>
  <c r="F164" i="352"/>
  <c r="E164" i="352"/>
  <c r="M163" i="352"/>
  <c r="L163" i="352"/>
  <c r="L162" i="352"/>
  <c r="M162" i="352" s="1"/>
  <c r="L161" i="352"/>
  <c r="K158" i="352"/>
  <c r="J158" i="352"/>
  <c r="I158" i="352"/>
  <c r="H158" i="352"/>
  <c r="G158" i="352"/>
  <c r="F158" i="352"/>
  <c r="E158" i="352"/>
  <c r="L157" i="352"/>
  <c r="M157" i="352" s="1"/>
  <c r="K154" i="352"/>
  <c r="J154" i="352"/>
  <c r="I154" i="352"/>
  <c r="H154" i="352"/>
  <c r="G154" i="352"/>
  <c r="E154" i="352"/>
  <c r="L153" i="352"/>
  <c r="M153" i="352" s="1"/>
  <c r="L152" i="352"/>
  <c r="M152" i="352" s="1"/>
  <c r="K149" i="352"/>
  <c r="J149" i="352"/>
  <c r="I149" i="352"/>
  <c r="H149" i="352"/>
  <c r="G149" i="352"/>
  <c r="E149" i="352"/>
  <c r="L148" i="352"/>
  <c r="M148" i="352" s="1"/>
  <c r="L147" i="352"/>
  <c r="M147" i="352" s="1"/>
  <c r="L146" i="352"/>
  <c r="M146" i="352" s="1"/>
  <c r="L145" i="352"/>
  <c r="M145" i="352" s="1"/>
  <c r="M140" i="352"/>
  <c r="L140" i="352"/>
  <c r="L139" i="352"/>
  <c r="M139" i="352" s="1"/>
  <c r="M138" i="352"/>
  <c r="L137" i="352"/>
  <c r="K134" i="352"/>
  <c r="J134" i="352"/>
  <c r="I134" i="352"/>
  <c r="H134" i="352"/>
  <c r="G134" i="352"/>
  <c r="F134" i="352"/>
  <c r="E134" i="352"/>
  <c r="L133" i="352"/>
  <c r="M133" i="352" s="1"/>
  <c r="M134" i="352" s="1"/>
  <c r="K130" i="352"/>
  <c r="J130" i="352"/>
  <c r="I130" i="352"/>
  <c r="H130" i="352"/>
  <c r="G130" i="352"/>
  <c r="E130" i="352"/>
  <c r="L129" i="352"/>
  <c r="L130" i="352" s="1"/>
  <c r="K126" i="352"/>
  <c r="J126" i="352"/>
  <c r="I126" i="352"/>
  <c r="H126" i="352"/>
  <c r="G126" i="352"/>
  <c r="F126" i="352"/>
  <c r="E126" i="352"/>
  <c r="L125" i="352"/>
  <c r="M125" i="352" s="1"/>
  <c r="M124" i="352"/>
  <c r="L123" i="352"/>
  <c r="M123" i="352" s="1"/>
  <c r="L122" i="352"/>
  <c r="M122" i="352" s="1"/>
  <c r="L121" i="352"/>
  <c r="M121" i="352" s="1"/>
  <c r="K118" i="352"/>
  <c r="J118" i="352"/>
  <c r="I118" i="352"/>
  <c r="H118" i="352"/>
  <c r="G118" i="352"/>
  <c r="E118" i="352"/>
  <c r="L117" i="352"/>
  <c r="L118" i="352" s="1"/>
  <c r="K114" i="352"/>
  <c r="J114" i="352"/>
  <c r="I114" i="352"/>
  <c r="H114" i="352"/>
  <c r="G114" i="352"/>
  <c r="E114" i="352"/>
  <c r="L113" i="352"/>
  <c r="M113" i="352" s="1"/>
  <c r="M112" i="352"/>
  <c r="L112" i="352"/>
  <c r="L111" i="352"/>
  <c r="M111" i="352" s="1"/>
  <c r="K108" i="352"/>
  <c r="J108" i="352"/>
  <c r="I108" i="352"/>
  <c r="H108" i="352"/>
  <c r="G108" i="352"/>
  <c r="E108" i="352"/>
  <c r="M106" i="352"/>
  <c r="M108" i="352" s="1"/>
  <c r="L106" i="352"/>
  <c r="L108" i="352" s="1"/>
  <c r="K103" i="352"/>
  <c r="J103" i="352"/>
  <c r="I103" i="352"/>
  <c r="H103" i="352"/>
  <c r="G103" i="352"/>
  <c r="E103" i="352"/>
  <c r="L102" i="352"/>
  <c r="M102" i="352" s="1"/>
  <c r="L101" i="352"/>
  <c r="L103" i="352" s="1"/>
  <c r="K98" i="352"/>
  <c r="J98" i="352"/>
  <c r="I98" i="352"/>
  <c r="H98" i="352"/>
  <c r="G98" i="352"/>
  <c r="F98" i="352"/>
  <c r="E98" i="352"/>
  <c r="L97" i="352"/>
  <c r="L98" i="352" s="1"/>
  <c r="K94" i="352"/>
  <c r="J94" i="352"/>
  <c r="I94" i="352"/>
  <c r="H94" i="352"/>
  <c r="G94" i="352"/>
  <c r="E94" i="352"/>
  <c r="L93" i="352"/>
  <c r="M93" i="352" s="1"/>
  <c r="L92" i="352"/>
  <c r="M92" i="352" s="1"/>
  <c r="L91" i="352"/>
  <c r="M91" i="352" s="1"/>
  <c r="L90" i="352"/>
  <c r="M90" i="352" s="1"/>
  <c r="L89" i="352"/>
  <c r="M89" i="352" s="1"/>
  <c r="L88" i="352"/>
  <c r="M88" i="352" s="1"/>
  <c r="L87" i="352"/>
  <c r="M87" i="352" s="1"/>
  <c r="L86" i="352"/>
  <c r="M86" i="352" s="1"/>
  <c r="L85" i="352"/>
  <c r="M85" i="352" s="1"/>
  <c r="M84" i="352"/>
  <c r="L84" i="352"/>
  <c r="K81" i="352"/>
  <c r="J81" i="352"/>
  <c r="I81" i="352"/>
  <c r="H81" i="352"/>
  <c r="G81" i="352"/>
  <c r="E81" i="352"/>
  <c r="L80" i="352"/>
  <c r="M80" i="352" s="1"/>
  <c r="L79" i="352"/>
  <c r="M79" i="352" s="1"/>
  <c r="L78" i="352"/>
  <c r="M78" i="352" s="1"/>
  <c r="L77" i="352"/>
  <c r="M77" i="352" s="1"/>
  <c r="L76" i="352"/>
  <c r="M76" i="352" s="1"/>
  <c r="L75" i="352"/>
  <c r="M75" i="352" s="1"/>
  <c r="L74" i="352"/>
  <c r="M74" i="352" s="1"/>
  <c r="L73" i="352"/>
  <c r="M73" i="352" s="1"/>
  <c r="L72" i="352"/>
  <c r="M72" i="352" s="1"/>
  <c r="L71" i="352"/>
  <c r="M71" i="352" s="1"/>
  <c r="L70" i="352"/>
  <c r="M70" i="352" s="1"/>
  <c r="L69" i="352"/>
  <c r="M69" i="352" s="1"/>
  <c r="L68" i="352"/>
  <c r="M68" i="352" s="1"/>
  <c r="L67" i="352"/>
  <c r="M67" i="352" s="1"/>
  <c r="L66" i="352"/>
  <c r="K63" i="352"/>
  <c r="J63" i="352"/>
  <c r="I63" i="352"/>
  <c r="H63" i="352"/>
  <c r="G63" i="352"/>
  <c r="E63" i="352"/>
  <c r="L62" i="352"/>
  <c r="M62" i="352" s="1"/>
  <c r="L61" i="352"/>
  <c r="M61" i="352" s="1"/>
  <c r="L60" i="352"/>
  <c r="M60" i="352" s="1"/>
  <c r="K57" i="352"/>
  <c r="J57" i="352"/>
  <c r="I57" i="352"/>
  <c r="H57" i="352"/>
  <c r="G57" i="352"/>
  <c r="E57" i="352"/>
  <c r="L56" i="352"/>
  <c r="M56" i="352" s="1"/>
  <c r="L55" i="352"/>
  <c r="M55" i="352" s="1"/>
  <c r="L54" i="352"/>
  <c r="M54" i="352" s="1"/>
  <c r="L53" i="352"/>
  <c r="M53" i="352" s="1"/>
  <c r="L52" i="352"/>
  <c r="M52" i="352" s="1"/>
  <c r="L51" i="352"/>
  <c r="M51" i="352" s="1"/>
  <c r="K48" i="352"/>
  <c r="J48" i="352"/>
  <c r="I48" i="352"/>
  <c r="H48" i="352"/>
  <c r="G48" i="352"/>
  <c r="F48" i="352"/>
  <c r="E48" i="352"/>
  <c r="L47" i="352"/>
  <c r="M47" i="352" s="1"/>
  <c r="L46" i="352"/>
  <c r="M46" i="352" s="1"/>
  <c r="K43" i="352"/>
  <c r="J43" i="352"/>
  <c r="I43" i="352"/>
  <c r="H43" i="352"/>
  <c r="F43" i="352"/>
  <c r="E43" i="352"/>
  <c r="L42" i="352"/>
  <c r="L43" i="352" s="1"/>
  <c r="K39" i="352"/>
  <c r="J39" i="352"/>
  <c r="I39" i="352"/>
  <c r="H39" i="352"/>
  <c r="G39" i="352"/>
  <c r="E39" i="352"/>
  <c r="L38" i="352"/>
  <c r="M38" i="352" s="1"/>
  <c r="L37" i="352"/>
  <c r="M37" i="352" s="1"/>
  <c r="L36" i="352"/>
  <c r="M36" i="352" s="1"/>
  <c r="L35" i="352"/>
  <c r="M35" i="352" s="1"/>
  <c r="K32" i="352"/>
  <c r="J32" i="352"/>
  <c r="I32" i="352"/>
  <c r="H32" i="352"/>
  <c r="G32" i="352"/>
  <c r="L31" i="352"/>
  <c r="M31" i="352" s="1"/>
  <c r="L30" i="352"/>
  <c r="M30" i="352" s="1"/>
  <c r="L29" i="352"/>
  <c r="L28" i="352"/>
  <c r="M28" i="352" s="1"/>
  <c r="K25" i="352"/>
  <c r="J25" i="352"/>
  <c r="I25" i="352"/>
  <c r="H25" i="352"/>
  <c r="G25" i="352"/>
  <c r="F25" i="352"/>
  <c r="E25" i="352"/>
  <c r="L24" i="352"/>
  <c r="M24" i="352" s="1"/>
  <c r="L23" i="352"/>
  <c r="M23" i="352" s="1"/>
  <c r="L22" i="352"/>
  <c r="M22" i="352" s="1"/>
  <c r="L21" i="352"/>
  <c r="M21" i="352" s="1"/>
  <c r="L20" i="352"/>
  <c r="C47" i="351"/>
  <c r="M45" i="351"/>
  <c r="K45" i="351"/>
  <c r="J45" i="351"/>
  <c r="I45" i="351"/>
  <c r="H45" i="351"/>
  <c r="G45" i="351"/>
  <c r="F45" i="351"/>
  <c r="E45" i="351"/>
  <c r="L44" i="351"/>
  <c r="L45" i="351" s="1"/>
  <c r="K40" i="351"/>
  <c r="K47" i="351" s="1"/>
  <c r="J40" i="351"/>
  <c r="J47" i="351" s="1"/>
  <c r="I40" i="351"/>
  <c r="I47" i="351" s="1"/>
  <c r="H40" i="351"/>
  <c r="H47" i="351" s="1"/>
  <c r="G40" i="351"/>
  <c r="G47" i="351" s="1"/>
  <c r="F40" i="351"/>
  <c r="F47" i="351" s="1"/>
  <c r="E40" i="351"/>
  <c r="E47" i="351" s="1"/>
  <c r="L39" i="351"/>
  <c r="L38" i="351"/>
  <c r="L37" i="351"/>
  <c r="L36" i="351"/>
  <c r="L35" i="351"/>
  <c r="L34" i="351"/>
  <c r="L33" i="351"/>
  <c r="L32" i="351"/>
  <c r="L31" i="351"/>
  <c r="L30" i="351"/>
  <c r="L29" i="351"/>
  <c r="L28" i="351"/>
  <c r="L27" i="351"/>
  <c r="L26" i="351"/>
  <c r="L25" i="351"/>
  <c r="L24" i="351"/>
  <c r="L23" i="351"/>
  <c r="L22" i="351"/>
  <c r="L21" i="351"/>
  <c r="L20" i="351"/>
  <c r="L19" i="351"/>
  <c r="L18" i="351"/>
  <c r="L17" i="351"/>
  <c r="L40" i="351" s="1"/>
  <c r="L47" i="351" s="1"/>
  <c r="M16" i="351"/>
  <c r="M40" i="351" s="1"/>
  <c r="M47" i="351" s="1"/>
  <c r="D41" i="350"/>
  <c r="J182" i="364" l="1"/>
  <c r="M182" i="364"/>
  <c r="O50" i="364"/>
  <c r="N182" i="364"/>
  <c r="H182" i="364"/>
  <c r="K182" i="364"/>
  <c r="L182" i="364"/>
  <c r="L24" i="365"/>
  <c r="M24" i="365"/>
  <c r="L20" i="365"/>
  <c r="M20" i="365" s="1"/>
  <c r="L16" i="365"/>
  <c r="I46" i="366"/>
  <c r="J46" i="366"/>
  <c r="F46" i="366"/>
  <c r="L39" i="366"/>
  <c r="L46" i="366" s="1"/>
  <c r="E46" i="366"/>
  <c r="K46" i="366"/>
  <c r="P14" i="364"/>
  <c r="P15" i="364" s="1"/>
  <c r="O113" i="364"/>
  <c r="P18" i="364"/>
  <c r="P19" i="364" s="1"/>
  <c r="O25" i="364"/>
  <c r="P41" i="364"/>
  <c r="P66" i="364"/>
  <c r="O80" i="364"/>
  <c r="O145" i="364"/>
  <c r="O179" i="364"/>
  <c r="O103" i="364"/>
  <c r="H180" i="364"/>
  <c r="O41" i="364"/>
  <c r="P79" i="364"/>
  <c r="P80" i="364" s="1"/>
  <c r="P98" i="364"/>
  <c r="P103" i="364" s="1"/>
  <c r="O107" i="364"/>
  <c r="P116" i="364"/>
  <c r="P117" i="364" s="1"/>
  <c r="O155" i="364"/>
  <c r="P170" i="364"/>
  <c r="P179" i="364" s="1"/>
  <c r="J180" i="364"/>
  <c r="O66" i="364"/>
  <c r="P155" i="364"/>
  <c r="K180" i="364"/>
  <c r="P24" i="364"/>
  <c r="P25" i="364" s="1"/>
  <c r="L180" i="364"/>
  <c r="N180" i="364"/>
  <c r="M180" i="364"/>
  <c r="O94" i="364"/>
  <c r="P167" i="364"/>
  <c r="L79" i="363"/>
  <c r="H241" i="363"/>
  <c r="E241" i="363"/>
  <c r="L48" i="363"/>
  <c r="L132" i="363"/>
  <c r="L96" i="363"/>
  <c r="G243" i="363"/>
  <c r="M140" i="363"/>
  <c r="L92" i="363"/>
  <c r="M152" i="363"/>
  <c r="L162" i="363"/>
  <c r="K241" i="363"/>
  <c r="L56" i="363"/>
  <c r="L221" i="363"/>
  <c r="L101" i="363"/>
  <c r="M155" i="363"/>
  <c r="M212" i="363"/>
  <c r="M221" i="363" s="1"/>
  <c r="J243" i="363"/>
  <c r="L183" i="363"/>
  <c r="L240" i="363"/>
  <c r="E243" i="363"/>
  <c r="L61" i="363"/>
  <c r="M112" i="363"/>
  <c r="L152" i="363"/>
  <c r="M178" i="363"/>
  <c r="M183" i="363" s="1"/>
  <c r="L209" i="363"/>
  <c r="I241" i="363"/>
  <c r="K243" i="363"/>
  <c r="H243" i="363"/>
  <c r="M56" i="363"/>
  <c r="M83" i="363"/>
  <c r="M92" i="363" s="1"/>
  <c r="I243" i="363"/>
  <c r="G241" i="363"/>
  <c r="L24" i="363"/>
  <c r="M61" i="363"/>
  <c r="L191" i="363"/>
  <c r="J241" i="363"/>
  <c r="P127" i="364"/>
  <c r="P72" i="364"/>
  <c r="P73" i="364" s="1"/>
  <c r="P87" i="364"/>
  <c r="P94" i="364" s="1"/>
  <c r="O127" i="364"/>
  <c r="P135" i="364"/>
  <c r="P145" i="364" s="1"/>
  <c r="P110" i="364"/>
  <c r="P113" i="364" s="1"/>
  <c r="O167" i="364"/>
  <c r="P130" i="364"/>
  <c r="P131" i="364" s="1"/>
  <c r="M24" i="363"/>
  <c r="M124" i="363"/>
  <c r="M231" i="363"/>
  <c r="M162" i="363"/>
  <c r="M39" i="363"/>
  <c r="M31" i="363"/>
  <c r="M101" i="363"/>
  <c r="M147" i="363"/>
  <c r="M171" i="363"/>
  <c r="M191" i="363"/>
  <c r="L231" i="363"/>
  <c r="L39" i="363"/>
  <c r="M64" i="363"/>
  <c r="M79" i="363" s="1"/>
  <c r="L106" i="363"/>
  <c r="L116" i="363"/>
  <c r="L124" i="363"/>
  <c r="L166" i="363"/>
  <c r="M195" i="363"/>
  <c r="M209" i="363" s="1"/>
  <c r="L43" i="363"/>
  <c r="L128" i="363"/>
  <c r="L147" i="363"/>
  <c r="L171" i="363"/>
  <c r="M234" i="363"/>
  <c r="M240" i="363" s="1"/>
  <c r="L31" i="363"/>
  <c r="L112" i="363"/>
  <c r="L140" i="363"/>
  <c r="M47" i="363"/>
  <c r="M48" i="363" s="1"/>
  <c r="J245" i="358"/>
  <c r="L40" i="362"/>
  <c r="F47" i="362"/>
  <c r="L47" i="362"/>
  <c r="J47" i="362"/>
  <c r="M47" i="362"/>
  <c r="E47" i="362"/>
  <c r="K47" i="362"/>
  <c r="P123" i="359"/>
  <c r="P124" i="359" s="1"/>
  <c r="P109" i="359"/>
  <c r="P110" i="359" s="1"/>
  <c r="N173" i="359"/>
  <c r="L173" i="359"/>
  <c r="J175" i="359"/>
  <c r="P19" i="359"/>
  <c r="P20" i="359" s="1"/>
  <c r="K173" i="359"/>
  <c r="N175" i="359"/>
  <c r="O120" i="359"/>
  <c r="M173" i="359"/>
  <c r="L175" i="359"/>
  <c r="P99" i="359"/>
  <c r="P100" i="359" s="1"/>
  <c r="P65" i="359"/>
  <c r="P66" i="359" s="1"/>
  <c r="M175" i="359"/>
  <c r="O38" i="359"/>
  <c r="O73" i="359"/>
  <c r="O87" i="359"/>
  <c r="O96" i="359"/>
  <c r="P59" i="359"/>
  <c r="P160" i="359"/>
  <c r="O138" i="359"/>
  <c r="K175" i="359"/>
  <c r="O106" i="359"/>
  <c r="J173" i="359"/>
  <c r="H175" i="359"/>
  <c r="O43" i="359"/>
  <c r="O160" i="359"/>
  <c r="O172" i="359"/>
  <c r="L211" i="358"/>
  <c r="L243" i="358" s="1"/>
  <c r="G245" i="358"/>
  <c r="M149" i="358"/>
  <c r="L94" i="358"/>
  <c r="I245" i="358"/>
  <c r="L16" i="361"/>
  <c r="L41" i="361" s="1"/>
  <c r="L22" i="360"/>
  <c r="M19" i="360"/>
  <c r="M22" i="360" s="1"/>
  <c r="M18" i="360"/>
  <c r="M14" i="360"/>
  <c r="P148" i="359"/>
  <c r="P87" i="359"/>
  <c r="P29" i="359"/>
  <c r="P113" i="359"/>
  <c r="O29" i="359"/>
  <c r="P36" i="359"/>
  <c r="P38" i="359" s="1"/>
  <c r="P41" i="359"/>
  <c r="P43" i="359" s="1"/>
  <c r="O59" i="359"/>
  <c r="P69" i="359"/>
  <c r="P73" i="359" s="1"/>
  <c r="P163" i="359"/>
  <c r="P172" i="359" s="1"/>
  <c r="O148" i="359"/>
  <c r="P15" i="359"/>
  <c r="P16" i="359" s="1"/>
  <c r="P93" i="359"/>
  <c r="P96" i="359" s="1"/>
  <c r="P128" i="359"/>
  <c r="P138" i="359" s="1"/>
  <c r="P103" i="359"/>
  <c r="P106" i="359" s="1"/>
  <c r="M39" i="358"/>
  <c r="M185" i="358"/>
  <c r="M242" i="358"/>
  <c r="M32" i="358"/>
  <c r="M193" i="358"/>
  <c r="M20" i="358"/>
  <c r="M25" i="358" s="1"/>
  <c r="M66" i="358"/>
  <c r="M81" i="358" s="1"/>
  <c r="M97" i="358"/>
  <c r="M98" i="358" s="1"/>
  <c r="M137" i="358"/>
  <c r="M142" i="358" s="1"/>
  <c r="L158" i="358"/>
  <c r="M197" i="358"/>
  <c r="M211" i="358" s="1"/>
  <c r="M239" i="358"/>
  <c r="L57" i="358"/>
  <c r="M133" i="358"/>
  <c r="M134" i="358" s="1"/>
  <c r="L154" i="358"/>
  <c r="L185" i="358"/>
  <c r="M226" i="358"/>
  <c r="M233" i="358" s="1"/>
  <c r="M84" i="358"/>
  <c r="M94" i="358" s="1"/>
  <c r="L114" i="358"/>
  <c r="M161" i="358"/>
  <c r="M164" i="358" s="1"/>
  <c r="M214" i="358"/>
  <c r="M223" i="358" s="1"/>
  <c r="L63" i="358"/>
  <c r="L193" i="358"/>
  <c r="M101" i="352"/>
  <c r="M103" i="352" s="1"/>
  <c r="L223" i="352"/>
  <c r="L142" i="352"/>
  <c r="O73" i="357"/>
  <c r="O106" i="357"/>
  <c r="K172" i="357"/>
  <c r="O29" i="357"/>
  <c r="O120" i="357"/>
  <c r="P99" i="357"/>
  <c r="P100" i="357" s="1"/>
  <c r="L172" i="357"/>
  <c r="O59" i="357"/>
  <c r="P113" i="357"/>
  <c r="P120" i="357" s="1"/>
  <c r="O171" i="357"/>
  <c r="M172" i="357"/>
  <c r="O138" i="357"/>
  <c r="N172" i="357"/>
  <c r="O87" i="357"/>
  <c r="H172" i="357"/>
  <c r="P15" i="357"/>
  <c r="P16" i="357" s="1"/>
  <c r="P38" i="357"/>
  <c r="P80" i="357"/>
  <c r="O160" i="357"/>
  <c r="J172" i="357"/>
  <c r="P148" i="357"/>
  <c r="P96" i="357"/>
  <c r="P43" i="357"/>
  <c r="P87" i="357"/>
  <c r="O96" i="357"/>
  <c r="P123" i="357"/>
  <c r="P124" i="357" s="1"/>
  <c r="P151" i="357"/>
  <c r="P160" i="357" s="1"/>
  <c r="O148" i="357"/>
  <c r="O20" i="357"/>
  <c r="P57" i="357"/>
  <c r="P59" i="357" s="1"/>
  <c r="P69" i="357"/>
  <c r="P73" i="357" s="1"/>
  <c r="P27" i="357"/>
  <c r="P29" i="357" s="1"/>
  <c r="O38" i="357"/>
  <c r="O43" i="357"/>
  <c r="P65" i="357"/>
  <c r="P66" i="357" s="1"/>
  <c r="P109" i="357"/>
  <c r="P110" i="357" s="1"/>
  <c r="P163" i="357"/>
  <c r="P171" i="357" s="1"/>
  <c r="P128" i="357"/>
  <c r="P138" i="357" s="1"/>
  <c r="P103" i="357"/>
  <c r="P106" i="357" s="1"/>
  <c r="E245" i="352"/>
  <c r="G245" i="352"/>
  <c r="I245" i="352"/>
  <c r="L25" i="352"/>
  <c r="J245" i="352"/>
  <c r="H245" i="352"/>
  <c r="L242" i="352"/>
  <c r="K245" i="352"/>
  <c r="L211" i="352"/>
  <c r="G243" i="352"/>
  <c r="H243" i="352"/>
  <c r="L158" i="352"/>
  <c r="L57" i="352"/>
  <c r="L81" i="352"/>
  <c r="M117" i="352"/>
  <c r="M118" i="352" s="1"/>
  <c r="L134" i="352"/>
  <c r="M154" i="352"/>
  <c r="L164" i="352"/>
  <c r="L168" i="352"/>
  <c r="I243" i="352"/>
  <c r="L39" i="352"/>
  <c r="L48" i="352"/>
  <c r="L32" i="352"/>
  <c r="L233" i="352"/>
  <c r="M41" i="355"/>
  <c r="L16" i="355"/>
  <c r="L41" i="355" s="1"/>
  <c r="L22" i="354"/>
  <c r="M19" i="354"/>
  <c r="M22" i="354" s="1"/>
  <c r="M18" i="354"/>
  <c r="M39" i="352"/>
  <c r="M193" i="352"/>
  <c r="M57" i="352"/>
  <c r="M114" i="352"/>
  <c r="M149" i="352"/>
  <c r="M48" i="352"/>
  <c r="M63" i="352"/>
  <c r="M126" i="352"/>
  <c r="M173" i="352"/>
  <c r="M94" i="352"/>
  <c r="M185" i="352"/>
  <c r="M211" i="352"/>
  <c r="M20" i="352"/>
  <c r="M25" i="352" s="1"/>
  <c r="M66" i="352"/>
  <c r="M81" i="352" s="1"/>
  <c r="M97" i="352"/>
  <c r="M98" i="352" s="1"/>
  <c r="L126" i="352"/>
  <c r="M137" i="352"/>
  <c r="M142" i="352" s="1"/>
  <c r="L149" i="352"/>
  <c r="L154" i="352"/>
  <c r="L173" i="352"/>
  <c r="L185" i="352"/>
  <c r="M226" i="352"/>
  <c r="M233" i="352" s="1"/>
  <c r="M236" i="352"/>
  <c r="M242" i="352" s="1"/>
  <c r="M161" i="352"/>
  <c r="M164" i="352" s="1"/>
  <c r="M214" i="352"/>
  <c r="M223" i="352" s="1"/>
  <c r="L114" i="352"/>
  <c r="L193" i="352"/>
  <c r="M29" i="352"/>
  <c r="M32" i="352" s="1"/>
  <c r="M42" i="352"/>
  <c r="M43" i="352" s="1"/>
  <c r="L63" i="352"/>
  <c r="L94" i="352"/>
  <c r="M129" i="352"/>
  <c r="M130" i="352" s="1"/>
  <c r="C244" i="347"/>
  <c r="D172" i="348"/>
  <c r="H146" i="348"/>
  <c r="L62" i="347"/>
  <c r="D22" i="349"/>
  <c r="E148" i="347"/>
  <c r="E126" i="347"/>
  <c r="E114" i="347"/>
  <c r="E103" i="347"/>
  <c r="E94" i="347"/>
  <c r="E81" i="347"/>
  <c r="E63" i="347"/>
  <c r="E57" i="347"/>
  <c r="E48" i="347"/>
  <c r="E43" i="347"/>
  <c r="E39" i="347"/>
  <c r="E32" i="347"/>
  <c r="E25" i="347"/>
  <c r="G81" i="347"/>
  <c r="H81" i="347"/>
  <c r="I81" i="347"/>
  <c r="J81" i="347"/>
  <c r="K81" i="347"/>
  <c r="L80" i="347"/>
  <c r="M80" i="347" s="1"/>
  <c r="L79" i="347"/>
  <c r="M79" i="347" s="1"/>
  <c r="L22" i="347"/>
  <c r="M22" i="347" s="1"/>
  <c r="G41" i="350"/>
  <c r="M39" i="350"/>
  <c r="M38" i="350"/>
  <c r="L32" i="350"/>
  <c r="M32" i="350" s="1"/>
  <c r="L31" i="350"/>
  <c r="M31" i="350" s="1"/>
  <c r="M28" i="350"/>
  <c r="L28" i="350"/>
  <c r="L27" i="350"/>
  <c r="M27" i="350" s="1"/>
  <c r="K24" i="350"/>
  <c r="J24" i="350"/>
  <c r="I24" i="350"/>
  <c r="H24" i="350"/>
  <c r="L24" i="350" s="1"/>
  <c r="G24" i="350"/>
  <c r="M24" i="350" s="1"/>
  <c r="E24" i="350"/>
  <c r="M23" i="350"/>
  <c r="L23" i="350"/>
  <c r="L20" i="350"/>
  <c r="K20" i="350"/>
  <c r="J20" i="350"/>
  <c r="J41" i="350" s="1"/>
  <c r="I20" i="350"/>
  <c r="H20" i="350"/>
  <c r="G20" i="350"/>
  <c r="M20" i="350" s="1"/>
  <c r="F20" i="350"/>
  <c r="E20" i="350"/>
  <c r="L19" i="350"/>
  <c r="M19" i="350" s="1"/>
  <c r="L16" i="350"/>
  <c r="L41" i="350" s="1"/>
  <c r="K16" i="350"/>
  <c r="J16" i="350"/>
  <c r="I16" i="350"/>
  <c r="I41" i="350" s="1"/>
  <c r="H16" i="350"/>
  <c r="H41" i="350" s="1"/>
  <c r="G16" i="350"/>
  <c r="F16" i="350"/>
  <c r="E16" i="350"/>
  <c r="E41" i="350" s="1"/>
  <c r="L15" i="350"/>
  <c r="M15" i="350" s="1"/>
  <c r="M16" i="350" s="1"/>
  <c r="J19" i="349"/>
  <c r="J22" i="349" s="1"/>
  <c r="I19" i="349"/>
  <c r="I22" i="349" s="1"/>
  <c r="H19" i="349"/>
  <c r="H22" i="349" s="1"/>
  <c r="G19" i="349"/>
  <c r="G22" i="349" s="1"/>
  <c r="E19" i="349"/>
  <c r="E22" i="349" s="1"/>
  <c r="L18" i="349"/>
  <c r="L19" i="349" s="1"/>
  <c r="J15" i="349"/>
  <c r="I15" i="349"/>
  <c r="H15" i="349"/>
  <c r="G15" i="349"/>
  <c r="E15" i="349"/>
  <c r="L14" i="349"/>
  <c r="L15" i="349" s="1"/>
  <c r="L22" i="349" s="1"/>
  <c r="N169" i="348"/>
  <c r="M169" i="348"/>
  <c r="L169" i="348"/>
  <c r="K169" i="348"/>
  <c r="J169" i="348"/>
  <c r="H169" i="348"/>
  <c r="O168" i="348"/>
  <c r="P168" i="348" s="1"/>
  <c r="O167" i="348"/>
  <c r="P167" i="348" s="1"/>
  <c r="O166" i="348"/>
  <c r="P166" i="348" s="1"/>
  <c r="O165" i="348"/>
  <c r="P165" i="348" s="1"/>
  <c r="O164" i="348"/>
  <c r="P164" i="348" s="1"/>
  <c r="O163" i="348"/>
  <c r="P163" i="348" s="1"/>
  <c r="O162" i="348"/>
  <c r="P162" i="348" s="1"/>
  <c r="O161" i="348"/>
  <c r="P161" i="348" s="1"/>
  <c r="N158" i="348"/>
  <c r="M158" i="348"/>
  <c r="L158" i="348"/>
  <c r="K158" i="348"/>
  <c r="J158" i="348"/>
  <c r="H158" i="348"/>
  <c r="O157" i="348"/>
  <c r="P157" i="348" s="1"/>
  <c r="O156" i="348"/>
  <c r="P156" i="348" s="1"/>
  <c r="O155" i="348"/>
  <c r="P155" i="348" s="1"/>
  <c r="O154" i="348"/>
  <c r="P154" i="348" s="1"/>
  <c r="O153" i="348"/>
  <c r="P153" i="348" s="1"/>
  <c r="O152" i="348"/>
  <c r="P152" i="348" s="1"/>
  <c r="O151" i="348"/>
  <c r="P151" i="348" s="1"/>
  <c r="O150" i="348"/>
  <c r="P150" i="348" s="1"/>
  <c r="O149" i="348"/>
  <c r="N146" i="348"/>
  <c r="M146" i="348"/>
  <c r="L146" i="348"/>
  <c r="K146" i="348"/>
  <c r="J146" i="348"/>
  <c r="O145" i="348"/>
  <c r="P145" i="348" s="1"/>
  <c r="O144" i="348"/>
  <c r="P144" i="348" s="1"/>
  <c r="O143" i="348"/>
  <c r="P143" i="348" s="1"/>
  <c r="O142" i="348"/>
  <c r="P142" i="348" s="1"/>
  <c r="O141" i="348"/>
  <c r="P141" i="348" s="1"/>
  <c r="O140" i="348"/>
  <c r="P140" i="348" s="1"/>
  <c r="O139" i="348"/>
  <c r="P139" i="348" s="1"/>
  <c r="N136" i="348"/>
  <c r="M136" i="348"/>
  <c r="L136" i="348"/>
  <c r="K136" i="348"/>
  <c r="J136" i="348"/>
  <c r="H136" i="348"/>
  <c r="O135" i="348"/>
  <c r="P135" i="348" s="1"/>
  <c r="O134" i="348"/>
  <c r="P134" i="348" s="1"/>
  <c r="O133" i="348"/>
  <c r="P133" i="348" s="1"/>
  <c r="O132" i="348"/>
  <c r="P132" i="348" s="1"/>
  <c r="O131" i="348"/>
  <c r="P131" i="348" s="1"/>
  <c r="O130" i="348"/>
  <c r="P130" i="348" s="1"/>
  <c r="O129" i="348"/>
  <c r="P129" i="348" s="1"/>
  <c r="O128" i="348"/>
  <c r="P128" i="348" s="1"/>
  <c r="O127" i="348"/>
  <c r="P127" i="348" s="1"/>
  <c r="O126" i="348"/>
  <c r="N122" i="348"/>
  <c r="M122" i="348"/>
  <c r="L122" i="348"/>
  <c r="K122" i="348"/>
  <c r="J122" i="348"/>
  <c r="H122" i="348"/>
  <c r="O121" i="348"/>
  <c r="P121" i="348" s="1"/>
  <c r="P122" i="348" s="1"/>
  <c r="N118" i="348"/>
  <c r="M118" i="348"/>
  <c r="L118" i="348"/>
  <c r="K118" i="348"/>
  <c r="J118" i="348"/>
  <c r="I118" i="348"/>
  <c r="H118" i="348"/>
  <c r="O117" i="348"/>
  <c r="P117" i="348" s="1"/>
  <c r="O116" i="348"/>
  <c r="P116" i="348" s="1"/>
  <c r="O115" i="348"/>
  <c r="P115" i="348" s="1"/>
  <c r="O114" i="348"/>
  <c r="P114" i="348" s="1"/>
  <c r="O113" i="348"/>
  <c r="P113" i="348" s="1"/>
  <c r="O112" i="348"/>
  <c r="P112" i="348" s="1"/>
  <c r="O111" i="348"/>
  <c r="N108" i="348"/>
  <c r="O107" i="348"/>
  <c r="O108" i="348" s="1"/>
  <c r="N104" i="348"/>
  <c r="M104" i="348"/>
  <c r="L104" i="348"/>
  <c r="K104" i="348"/>
  <c r="J104" i="348"/>
  <c r="I104" i="348"/>
  <c r="H104" i="348"/>
  <c r="O103" i="348"/>
  <c r="P103" i="348" s="1"/>
  <c r="O102" i="348"/>
  <c r="O101" i="348"/>
  <c r="P101" i="348" s="1"/>
  <c r="N98" i="348"/>
  <c r="M98" i="348"/>
  <c r="L98" i="348"/>
  <c r="K98" i="348"/>
  <c r="J98" i="348"/>
  <c r="I98" i="348"/>
  <c r="H98" i="348"/>
  <c r="O97" i="348"/>
  <c r="O98" i="348" s="1"/>
  <c r="N94" i="348"/>
  <c r="M94" i="348"/>
  <c r="L94" i="348"/>
  <c r="K94" i="348"/>
  <c r="J94" i="348"/>
  <c r="H94" i="348"/>
  <c r="O93" i="348"/>
  <c r="P93" i="348" s="1"/>
  <c r="O92" i="348"/>
  <c r="P92" i="348" s="1"/>
  <c r="O91" i="348"/>
  <c r="P91" i="348" s="1"/>
  <c r="O90" i="348"/>
  <c r="P90" i="348" s="1"/>
  <c r="O89" i="348"/>
  <c r="P89" i="348" s="1"/>
  <c r="P88" i="348"/>
  <c r="N85" i="348"/>
  <c r="M85" i="348"/>
  <c r="L85" i="348"/>
  <c r="K85" i="348"/>
  <c r="J85" i="348"/>
  <c r="H85" i="348"/>
  <c r="O83" i="348"/>
  <c r="P83" i="348" s="1"/>
  <c r="O82" i="348"/>
  <c r="P82" i="348" s="1"/>
  <c r="O81" i="348"/>
  <c r="P81" i="348" s="1"/>
  <c r="O80" i="348"/>
  <c r="P80" i="348" s="1"/>
  <c r="O79" i="348"/>
  <c r="P79" i="348" s="1"/>
  <c r="O78" i="348"/>
  <c r="O75" i="348"/>
  <c r="P75" i="348" s="1"/>
  <c r="O74" i="348"/>
  <c r="P74" i="348" s="1"/>
  <c r="N71" i="348"/>
  <c r="M71" i="348"/>
  <c r="L71" i="348"/>
  <c r="K71" i="348"/>
  <c r="J71" i="348"/>
  <c r="I71" i="348"/>
  <c r="H71" i="348"/>
  <c r="P69" i="348"/>
  <c r="O68" i="348"/>
  <c r="P68" i="348" s="1"/>
  <c r="O67" i="348"/>
  <c r="N64" i="348"/>
  <c r="M64" i="348"/>
  <c r="L64" i="348"/>
  <c r="K64" i="348"/>
  <c r="J64" i="348"/>
  <c r="I64" i="348"/>
  <c r="H64" i="348"/>
  <c r="O63" i="348"/>
  <c r="P63" i="348" s="1"/>
  <c r="P64" i="348" s="1"/>
  <c r="N60" i="348"/>
  <c r="M60" i="348"/>
  <c r="L60" i="348"/>
  <c r="K60" i="348"/>
  <c r="J60" i="348"/>
  <c r="I60" i="348"/>
  <c r="H60" i="348"/>
  <c r="O59" i="348"/>
  <c r="P59" i="348" s="1"/>
  <c r="O58" i="348"/>
  <c r="O48" i="348"/>
  <c r="P48" i="348" s="1"/>
  <c r="O47" i="348"/>
  <c r="P47" i="348" s="1"/>
  <c r="N44" i="348"/>
  <c r="M44" i="348"/>
  <c r="L44" i="348"/>
  <c r="K44" i="348"/>
  <c r="J44" i="348"/>
  <c r="H44" i="348"/>
  <c r="O43" i="348"/>
  <c r="P43" i="348" s="1"/>
  <c r="O42" i="348"/>
  <c r="N39" i="348"/>
  <c r="M39" i="348"/>
  <c r="L39" i="348"/>
  <c r="K39" i="348"/>
  <c r="J39" i="348"/>
  <c r="H39" i="348"/>
  <c r="O38" i="348"/>
  <c r="P38" i="348" s="1"/>
  <c r="O70" i="348"/>
  <c r="P70" i="348" s="1"/>
  <c r="O36" i="348"/>
  <c r="P33" i="348"/>
  <c r="O32" i="348"/>
  <c r="P32" i="348" s="1"/>
  <c r="N29" i="348"/>
  <c r="M29" i="348"/>
  <c r="L29" i="348"/>
  <c r="K29" i="348"/>
  <c r="J29" i="348"/>
  <c r="H29" i="348"/>
  <c r="O28" i="348"/>
  <c r="P28" i="348" s="1"/>
  <c r="O27" i="348"/>
  <c r="P27" i="348" s="1"/>
  <c r="N20" i="348"/>
  <c r="M20" i="348"/>
  <c r="L20" i="348"/>
  <c r="K20" i="348"/>
  <c r="J20" i="348"/>
  <c r="I20" i="348"/>
  <c r="H20" i="348"/>
  <c r="O19" i="348"/>
  <c r="O20" i="348" s="1"/>
  <c r="N16" i="348"/>
  <c r="M16" i="348"/>
  <c r="L16" i="348"/>
  <c r="K16" i="348"/>
  <c r="J16" i="348"/>
  <c r="H16" i="348"/>
  <c r="O15" i="348"/>
  <c r="P15" i="348" s="1"/>
  <c r="P14" i="348"/>
  <c r="K241" i="347"/>
  <c r="J241" i="347"/>
  <c r="I241" i="347"/>
  <c r="H241" i="347"/>
  <c r="G241" i="347"/>
  <c r="E241" i="347"/>
  <c r="L240" i="347"/>
  <c r="M240" i="347" s="1"/>
  <c r="L239" i="347"/>
  <c r="M239" i="347" s="1"/>
  <c r="L238" i="347"/>
  <c r="M238" i="347" s="1"/>
  <c r="M237" i="347"/>
  <c r="L236" i="347"/>
  <c r="M236" i="347" s="1"/>
  <c r="L235" i="347"/>
  <c r="K232" i="347"/>
  <c r="J232" i="347"/>
  <c r="I232" i="347"/>
  <c r="H232" i="347"/>
  <c r="G232" i="347"/>
  <c r="E232" i="347"/>
  <c r="M231" i="347"/>
  <c r="M230" i="347"/>
  <c r="L229" i="347"/>
  <c r="M229" i="347" s="1"/>
  <c r="L228" i="347"/>
  <c r="M228" i="347" s="1"/>
  <c r="L226" i="347"/>
  <c r="M226" i="347" s="1"/>
  <c r="L225" i="347"/>
  <c r="K222" i="347"/>
  <c r="J222" i="347"/>
  <c r="I222" i="347"/>
  <c r="H222" i="347"/>
  <c r="G222" i="347"/>
  <c r="E222" i="347"/>
  <c r="M221" i="347"/>
  <c r="L220" i="347"/>
  <c r="M220" i="347" s="1"/>
  <c r="L219" i="347"/>
  <c r="M219" i="347" s="1"/>
  <c r="L218" i="347"/>
  <c r="M218" i="347" s="1"/>
  <c r="L216" i="347"/>
  <c r="M216" i="347" s="1"/>
  <c r="L215" i="347"/>
  <c r="M215" i="347" s="1"/>
  <c r="L214" i="347"/>
  <c r="M214" i="347" s="1"/>
  <c r="L213" i="347"/>
  <c r="K210" i="347"/>
  <c r="K242" i="347" s="1"/>
  <c r="J210" i="347"/>
  <c r="I210" i="347"/>
  <c r="H210" i="347"/>
  <c r="G210" i="347"/>
  <c r="E210" i="347"/>
  <c r="M209" i="347"/>
  <c r="L208" i="347"/>
  <c r="M208" i="347" s="1"/>
  <c r="L207" i="347"/>
  <c r="M207" i="347" s="1"/>
  <c r="L206" i="347"/>
  <c r="M206" i="347" s="1"/>
  <c r="L205" i="347"/>
  <c r="M205" i="347" s="1"/>
  <c r="L204" i="347"/>
  <c r="M204" i="347" s="1"/>
  <c r="L202" i="347"/>
  <c r="M202" i="347" s="1"/>
  <c r="L201" i="347"/>
  <c r="M201" i="347" s="1"/>
  <c r="L200" i="347"/>
  <c r="M200" i="347" s="1"/>
  <c r="M199" i="347"/>
  <c r="L198" i="347"/>
  <c r="M198" i="347" s="1"/>
  <c r="L197" i="347"/>
  <c r="M197" i="347" s="1"/>
  <c r="L196" i="347"/>
  <c r="K192" i="347"/>
  <c r="J192" i="347"/>
  <c r="I192" i="347"/>
  <c r="H192" i="347"/>
  <c r="G192" i="347"/>
  <c r="E192" i="347"/>
  <c r="L189" i="347"/>
  <c r="M189" i="347" s="1"/>
  <c r="L188" i="347"/>
  <c r="M188" i="347" s="1"/>
  <c r="L187" i="347"/>
  <c r="M187" i="347" s="1"/>
  <c r="K184" i="347"/>
  <c r="J184" i="347"/>
  <c r="I184" i="347"/>
  <c r="H184" i="347"/>
  <c r="G184" i="347"/>
  <c r="E184" i="347"/>
  <c r="L183" i="347"/>
  <c r="M183" i="347" s="1"/>
  <c r="L182" i="347"/>
  <c r="M182" i="347" s="1"/>
  <c r="L181" i="347"/>
  <c r="M181" i="347" s="1"/>
  <c r="L180" i="347"/>
  <c r="M180" i="347" s="1"/>
  <c r="L179" i="347"/>
  <c r="M179" i="347" s="1"/>
  <c r="K172" i="347"/>
  <c r="J172" i="347"/>
  <c r="I172" i="347"/>
  <c r="H172" i="347"/>
  <c r="G172" i="347"/>
  <c r="F172" i="347"/>
  <c r="E172" i="347"/>
  <c r="L171" i="347"/>
  <c r="M171" i="347" s="1"/>
  <c r="L170" i="347"/>
  <c r="M170" i="347" s="1"/>
  <c r="K167" i="347"/>
  <c r="J167" i="347"/>
  <c r="I167" i="347"/>
  <c r="H167" i="347"/>
  <c r="G167" i="347"/>
  <c r="E167" i="347"/>
  <c r="L166" i="347"/>
  <c r="L167" i="347" s="1"/>
  <c r="K163" i="347"/>
  <c r="J163" i="347"/>
  <c r="I163" i="347"/>
  <c r="H163" i="347"/>
  <c r="G163" i="347"/>
  <c r="F163" i="347"/>
  <c r="E163" i="347"/>
  <c r="L162" i="347"/>
  <c r="M162" i="347" s="1"/>
  <c r="L161" i="347"/>
  <c r="M161" i="347" s="1"/>
  <c r="L160" i="347"/>
  <c r="M160" i="347" s="1"/>
  <c r="K157" i="347"/>
  <c r="J157" i="347"/>
  <c r="I157" i="347"/>
  <c r="H157" i="347"/>
  <c r="G157" i="347"/>
  <c r="F157" i="347"/>
  <c r="E157" i="347"/>
  <c r="L156" i="347"/>
  <c r="M156" i="347" s="1"/>
  <c r="K153" i="347"/>
  <c r="J153" i="347"/>
  <c r="I153" i="347"/>
  <c r="H153" i="347"/>
  <c r="G153" i="347"/>
  <c r="E153" i="347"/>
  <c r="L152" i="347"/>
  <c r="M152" i="347" s="1"/>
  <c r="L151" i="347"/>
  <c r="M151" i="347" s="1"/>
  <c r="K148" i="347"/>
  <c r="J148" i="347"/>
  <c r="I148" i="347"/>
  <c r="H148" i="347"/>
  <c r="G148" i="347"/>
  <c r="L147" i="347"/>
  <c r="M147" i="347" s="1"/>
  <c r="L146" i="347"/>
  <c r="M146" i="347" s="1"/>
  <c r="L145" i="347"/>
  <c r="M145" i="347" s="1"/>
  <c r="L144" i="347"/>
  <c r="K141" i="347"/>
  <c r="J141" i="347"/>
  <c r="I141" i="347"/>
  <c r="H141" i="347"/>
  <c r="G141" i="347"/>
  <c r="F141" i="347"/>
  <c r="E141" i="347"/>
  <c r="L140" i="347"/>
  <c r="M140" i="347" s="1"/>
  <c r="L139" i="347"/>
  <c r="M139" i="347" s="1"/>
  <c r="M138" i="347"/>
  <c r="L137" i="347"/>
  <c r="K134" i="347"/>
  <c r="J134" i="347"/>
  <c r="I134" i="347"/>
  <c r="H134" i="347"/>
  <c r="G134" i="347"/>
  <c r="F134" i="347"/>
  <c r="E134" i="347"/>
  <c r="L133" i="347"/>
  <c r="L134" i="347" s="1"/>
  <c r="K130" i="347"/>
  <c r="J130" i="347"/>
  <c r="I130" i="347"/>
  <c r="H130" i="347"/>
  <c r="G130" i="347"/>
  <c r="E130" i="347"/>
  <c r="L129" i="347"/>
  <c r="M129" i="347" s="1"/>
  <c r="M130" i="347" s="1"/>
  <c r="K126" i="347"/>
  <c r="J126" i="347"/>
  <c r="I126" i="347"/>
  <c r="H126" i="347"/>
  <c r="G126" i="347"/>
  <c r="F126" i="347"/>
  <c r="L125" i="347"/>
  <c r="M125" i="347" s="1"/>
  <c r="M124" i="347"/>
  <c r="L123" i="347"/>
  <c r="M123" i="347" s="1"/>
  <c r="L122" i="347"/>
  <c r="M122" i="347" s="1"/>
  <c r="L121" i="347"/>
  <c r="K118" i="347"/>
  <c r="J118" i="347"/>
  <c r="I118" i="347"/>
  <c r="H118" i="347"/>
  <c r="G118" i="347"/>
  <c r="E118" i="347"/>
  <c r="L117" i="347"/>
  <c r="L118" i="347" s="1"/>
  <c r="K114" i="347"/>
  <c r="J114" i="347"/>
  <c r="I114" i="347"/>
  <c r="H114" i="347"/>
  <c r="G114" i="347"/>
  <c r="L113" i="347"/>
  <c r="M113" i="347" s="1"/>
  <c r="L112" i="347"/>
  <c r="M112" i="347" s="1"/>
  <c r="L111" i="347"/>
  <c r="M111" i="347" s="1"/>
  <c r="K108" i="347"/>
  <c r="J108" i="347"/>
  <c r="I108" i="347"/>
  <c r="H108" i="347"/>
  <c r="G108" i="347"/>
  <c r="E108" i="347"/>
  <c r="L106" i="347"/>
  <c r="L108" i="347" s="1"/>
  <c r="K103" i="347"/>
  <c r="J103" i="347"/>
  <c r="I103" i="347"/>
  <c r="H103" i="347"/>
  <c r="G103" i="347"/>
  <c r="L102" i="347"/>
  <c r="M102" i="347" s="1"/>
  <c r="L101" i="347"/>
  <c r="K98" i="347"/>
  <c r="J98" i="347"/>
  <c r="I98" i="347"/>
  <c r="H98" i="347"/>
  <c r="G98" i="347"/>
  <c r="F98" i="347"/>
  <c r="E98" i="347"/>
  <c r="L97" i="347"/>
  <c r="L98" i="347" s="1"/>
  <c r="K94" i="347"/>
  <c r="J94" i="347"/>
  <c r="I94" i="347"/>
  <c r="H94" i="347"/>
  <c r="G94" i="347"/>
  <c r="L93" i="347"/>
  <c r="M93" i="347" s="1"/>
  <c r="L92" i="347"/>
  <c r="M92" i="347" s="1"/>
  <c r="L91" i="347"/>
  <c r="M91" i="347" s="1"/>
  <c r="L90" i="347"/>
  <c r="M90" i="347" s="1"/>
  <c r="L89" i="347"/>
  <c r="M89" i="347" s="1"/>
  <c r="L88" i="347"/>
  <c r="M88" i="347" s="1"/>
  <c r="L87" i="347"/>
  <c r="M87" i="347" s="1"/>
  <c r="L86" i="347"/>
  <c r="M86" i="347" s="1"/>
  <c r="L85" i="347"/>
  <c r="M85" i="347" s="1"/>
  <c r="L84" i="347"/>
  <c r="L78" i="347"/>
  <c r="M78" i="347" s="1"/>
  <c r="L77" i="347"/>
  <c r="M77" i="347" s="1"/>
  <c r="L76" i="347"/>
  <c r="M76" i="347" s="1"/>
  <c r="L75" i="347"/>
  <c r="M75" i="347" s="1"/>
  <c r="L74" i="347"/>
  <c r="M74" i="347" s="1"/>
  <c r="L73" i="347"/>
  <c r="M73" i="347" s="1"/>
  <c r="L72" i="347"/>
  <c r="M72" i="347" s="1"/>
  <c r="L71" i="347"/>
  <c r="M71" i="347" s="1"/>
  <c r="L70" i="347"/>
  <c r="M70" i="347" s="1"/>
  <c r="L69" i="347"/>
  <c r="M69" i="347" s="1"/>
  <c r="L68" i="347"/>
  <c r="M68" i="347" s="1"/>
  <c r="L67" i="347"/>
  <c r="L66" i="347"/>
  <c r="M66" i="347" s="1"/>
  <c r="K63" i="347"/>
  <c r="J63" i="347"/>
  <c r="I63" i="347"/>
  <c r="H63" i="347"/>
  <c r="G63" i="347"/>
  <c r="M62" i="347"/>
  <c r="L61" i="347"/>
  <c r="M61" i="347" s="1"/>
  <c r="L60" i="347"/>
  <c r="M60" i="347" s="1"/>
  <c r="K57" i="347"/>
  <c r="J57" i="347"/>
  <c r="I57" i="347"/>
  <c r="H57" i="347"/>
  <c r="G57" i="347"/>
  <c r="L56" i="347"/>
  <c r="M56" i="347" s="1"/>
  <c r="L55" i="347"/>
  <c r="M55" i="347" s="1"/>
  <c r="L54" i="347"/>
  <c r="M54" i="347" s="1"/>
  <c r="L53" i="347"/>
  <c r="M53" i="347" s="1"/>
  <c r="L52" i="347"/>
  <c r="M52" i="347" s="1"/>
  <c r="L51" i="347"/>
  <c r="M51" i="347" s="1"/>
  <c r="K48" i="347"/>
  <c r="J48" i="347"/>
  <c r="I48" i="347"/>
  <c r="H48" i="347"/>
  <c r="G48" i="347"/>
  <c r="F48" i="347"/>
  <c r="L47" i="347"/>
  <c r="M47" i="347" s="1"/>
  <c r="L46" i="347"/>
  <c r="K43" i="347"/>
  <c r="J43" i="347"/>
  <c r="I43" i="347"/>
  <c r="H43" i="347"/>
  <c r="F43" i="347"/>
  <c r="L42" i="347"/>
  <c r="L43" i="347" s="1"/>
  <c r="K39" i="347"/>
  <c r="J39" i="347"/>
  <c r="I39" i="347"/>
  <c r="H39" i="347"/>
  <c r="G39" i="347"/>
  <c r="L38" i="347"/>
  <c r="M38" i="347" s="1"/>
  <c r="L37" i="347"/>
  <c r="M37" i="347" s="1"/>
  <c r="L36" i="347"/>
  <c r="L35" i="347"/>
  <c r="M35" i="347" s="1"/>
  <c r="K32" i="347"/>
  <c r="J32" i="347"/>
  <c r="I32" i="347"/>
  <c r="H32" i="347"/>
  <c r="G32" i="347"/>
  <c r="L31" i="347"/>
  <c r="M31" i="347" s="1"/>
  <c r="L30" i="347"/>
  <c r="M30" i="347" s="1"/>
  <c r="L29" i="347"/>
  <c r="M29" i="347" s="1"/>
  <c r="L28" i="347"/>
  <c r="K25" i="347"/>
  <c r="J25" i="347"/>
  <c r="I25" i="347"/>
  <c r="H25" i="347"/>
  <c r="G25" i="347"/>
  <c r="F25" i="347"/>
  <c r="L24" i="347"/>
  <c r="M24" i="347" s="1"/>
  <c r="L23" i="347"/>
  <c r="M23" i="347" s="1"/>
  <c r="L21" i="347"/>
  <c r="M21" i="347" s="1"/>
  <c r="L20" i="347"/>
  <c r="M20" i="347" s="1"/>
  <c r="H47" i="346"/>
  <c r="K47" i="346"/>
  <c r="E47" i="346"/>
  <c r="C47" i="346"/>
  <c r="F40" i="346"/>
  <c r="F47" i="346" s="1"/>
  <c r="G40" i="346"/>
  <c r="G47" i="346" s="1"/>
  <c r="H40" i="346"/>
  <c r="I40" i="346"/>
  <c r="I47" i="346" s="1"/>
  <c r="J40" i="346"/>
  <c r="J47" i="346" s="1"/>
  <c r="K40" i="346"/>
  <c r="E40" i="346"/>
  <c r="L39" i="346"/>
  <c r="L38" i="346"/>
  <c r="L37" i="346"/>
  <c r="L36" i="346"/>
  <c r="L35" i="346"/>
  <c r="L34" i="346"/>
  <c r="L33" i="346"/>
  <c r="K24" i="345"/>
  <c r="M45" i="346"/>
  <c r="K45" i="346"/>
  <c r="J45" i="346"/>
  <c r="I45" i="346"/>
  <c r="H45" i="346"/>
  <c r="G45" i="346"/>
  <c r="F45" i="346"/>
  <c r="E45" i="346"/>
  <c r="L44" i="346"/>
  <c r="L45" i="346" s="1"/>
  <c r="L32" i="346"/>
  <c r="L31" i="346"/>
  <c r="L30" i="346"/>
  <c r="L29" i="346"/>
  <c r="L28" i="346"/>
  <c r="L27" i="346"/>
  <c r="L26" i="346"/>
  <c r="L25" i="346"/>
  <c r="L24" i="346"/>
  <c r="L23" i="346"/>
  <c r="L22" i="346"/>
  <c r="L21" i="346"/>
  <c r="L20" i="346"/>
  <c r="L19" i="346"/>
  <c r="L18" i="346"/>
  <c r="L40" i="346" s="1"/>
  <c r="L47" i="346" s="1"/>
  <c r="L17" i="346"/>
  <c r="M16" i="346"/>
  <c r="M40" i="346" s="1"/>
  <c r="M47" i="346" s="1"/>
  <c r="G30" i="344"/>
  <c r="H30" i="344"/>
  <c r="I30" i="344"/>
  <c r="J30" i="344"/>
  <c r="L30" i="344"/>
  <c r="M30" i="344"/>
  <c r="E30" i="344"/>
  <c r="D30" i="344"/>
  <c r="O182" i="364" l="1"/>
  <c r="P182" i="364"/>
  <c r="O180" i="364"/>
  <c r="P180" i="364"/>
  <c r="L243" i="363"/>
  <c r="L241" i="363"/>
  <c r="M241" i="363"/>
  <c r="M243" i="363"/>
  <c r="O173" i="359"/>
  <c r="O175" i="359"/>
  <c r="P173" i="359"/>
  <c r="L245" i="358"/>
  <c r="P175" i="359"/>
  <c r="M243" i="358"/>
  <c r="M245" i="358"/>
  <c r="O172" i="357"/>
  <c r="P172" i="357"/>
  <c r="O60" i="348"/>
  <c r="O71" i="348"/>
  <c r="N172" i="348"/>
  <c r="O44" i="348"/>
  <c r="H172" i="348"/>
  <c r="J172" i="348"/>
  <c r="K172" i="348"/>
  <c r="O122" i="348"/>
  <c r="L172" i="348"/>
  <c r="M172" i="348"/>
  <c r="P16" i="348"/>
  <c r="O39" i="348"/>
  <c r="P29" i="348"/>
  <c r="L245" i="352"/>
  <c r="L243" i="352"/>
  <c r="M245" i="352"/>
  <c r="M243" i="352"/>
  <c r="M170" i="348"/>
  <c r="O85" i="348"/>
  <c r="O16" i="348"/>
  <c r="J170" i="348"/>
  <c r="N170" i="348"/>
  <c r="M106" i="347"/>
  <c r="M108" i="347" s="1"/>
  <c r="L81" i="347"/>
  <c r="L103" i="347"/>
  <c r="P58" i="348"/>
  <c r="P60" i="348" s="1"/>
  <c r="P78" i="348"/>
  <c r="P85" i="348" s="1"/>
  <c r="P97" i="348"/>
  <c r="P98" i="348" s="1"/>
  <c r="O136" i="348"/>
  <c r="O158" i="348"/>
  <c r="K170" i="348"/>
  <c r="P19" i="348"/>
  <c r="P20" i="348" s="1"/>
  <c r="O29" i="348"/>
  <c r="P36" i="348"/>
  <c r="P39" i="348" s="1"/>
  <c r="O64" i="348"/>
  <c r="O146" i="348"/>
  <c r="P149" i="348"/>
  <c r="P158" i="348" s="1"/>
  <c r="L170" i="348"/>
  <c r="P42" i="348"/>
  <c r="P44" i="348" s="1"/>
  <c r="P67" i="348"/>
  <c r="P71" i="348" s="1"/>
  <c r="O169" i="348"/>
  <c r="O94" i="348"/>
  <c r="O104" i="348"/>
  <c r="O118" i="348"/>
  <c r="H170" i="348"/>
  <c r="M15" i="349"/>
  <c r="I244" i="347"/>
  <c r="L126" i="347"/>
  <c r="L210" i="347"/>
  <c r="E242" i="347"/>
  <c r="M166" i="347"/>
  <c r="M167" i="347" s="1"/>
  <c r="L130" i="347"/>
  <c r="L241" i="347"/>
  <c r="M172" i="347"/>
  <c r="E244" i="347"/>
  <c r="J242" i="347"/>
  <c r="M117" i="347"/>
  <c r="M118" i="347" s="1"/>
  <c r="L94" i="347"/>
  <c r="G244" i="347"/>
  <c r="M84" i="347"/>
  <c r="M94" i="347" s="1"/>
  <c r="M121" i="347"/>
  <c r="M126" i="347" s="1"/>
  <c r="G242" i="347"/>
  <c r="H244" i="347"/>
  <c r="L39" i="347"/>
  <c r="M42" i="347"/>
  <c r="M43" i="347" s="1"/>
  <c r="M57" i="347"/>
  <c r="M101" i="347"/>
  <c r="M103" i="347" s="1"/>
  <c r="H242" i="347"/>
  <c r="M163" i="347"/>
  <c r="M196" i="347"/>
  <c r="L222" i="347"/>
  <c r="K244" i="347"/>
  <c r="L141" i="347"/>
  <c r="L148" i="347"/>
  <c r="L157" i="347"/>
  <c r="I242" i="347"/>
  <c r="M25" i="347"/>
  <c r="L32" i="347"/>
  <c r="L25" i="347"/>
  <c r="J244" i="347"/>
  <c r="L48" i="347"/>
  <c r="M63" i="347"/>
  <c r="M144" i="347"/>
  <c r="M148" i="347" s="1"/>
  <c r="M153" i="347"/>
  <c r="L163" i="347"/>
  <c r="L232" i="347"/>
  <c r="M41" i="350"/>
  <c r="M19" i="349"/>
  <c r="M22" i="349" s="1"/>
  <c r="M18" i="349"/>
  <c r="M14" i="349"/>
  <c r="P169" i="348"/>
  <c r="P94" i="348"/>
  <c r="P146" i="348"/>
  <c r="P102" i="348"/>
  <c r="P104" i="348" s="1"/>
  <c r="P111" i="348"/>
  <c r="P118" i="348" s="1"/>
  <c r="P107" i="348"/>
  <c r="P108" i="348" s="1"/>
  <c r="P126" i="348"/>
  <c r="P136" i="348" s="1"/>
  <c r="M184" i="347"/>
  <c r="M114" i="347"/>
  <c r="M210" i="347"/>
  <c r="M192" i="347"/>
  <c r="M28" i="347"/>
  <c r="M32" i="347" s="1"/>
  <c r="M36" i="347"/>
  <c r="M39" i="347" s="1"/>
  <c r="M46" i="347"/>
  <c r="M48" i="347" s="1"/>
  <c r="L57" i="347"/>
  <c r="M67" i="347"/>
  <c r="M81" i="347" s="1"/>
  <c r="M97" i="347"/>
  <c r="M98" i="347" s="1"/>
  <c r="M137" i="347"/>
  <c r="M141" i="347" s="1"/>
  <c r="L153" i="347"/>
  <c r="L172" i="347"/>
  <c r="L184" i="347"/>
  <c r="M225" i="347"/>
  <c r="M232" i="347" s="1"/>
  <c r="M235" i="347"/>
  <c r="M241" i="347" s="1"/>
  <c r="L63" i="347"/>
  <c r="M133" i="347"/>
  <c r="M134" i="347" s="1"/>
  <c r="M213" i="347"/>
  <c r="M222" i="347" s="1"/>
  <c r="L114" i="347"/>
  <c r="L192" i="347"/>
  <c r="P174" i="343"/>
  <c r="O174" i="343"/>
  <c r="N174" i="343"/>
  <c r="M174" i="343"/>
  <c r="L174" i="343"/>
  <c r="K174" i="343"/>
  <c r="J174" i="343"/>
  <c r="H174" i="343"/>
  <c r="D174" i="343"/>
  <c r="O72" i="343"/>
  <c r="P72" i="343" s="1"/>
  <c r="P71" i="343"/>
  <c r="O71" i="343"/>
  <c r="O172" i="348" l="1"/>
  <c r="P172" i="348"/>
  <c r="O170" i="348"/>
  <c r="L242" i="347"/>
  <c r="L244" i="347"/>
  <c r="M244" i="347"/>
  <c r="P170" i="348"/>
  <c r="M242" i="347"/>
  <c r="P34" i="343"/>
  <c r="O33" i="343"/>
  <c r="P33" i="343" s="1"/>
  <c r="O49" i="343"/>
  <c r="P49" i="343" s="1"/>
  <c r="H45" i="343"/>
  <c r="H40" i="343"/>
  <c r="H30" i="343"/>
  <c r="H26" i="343"/>
  <c r="H20" i="343"/>
  <c r="H16" i="343"/>
  <c r="K239" i="342"/>
  <c r="K240" i="342"/>
  <c r="K230" i="342"/>
  <c r="K220" i="342"/>
  <c r="K208" i="342"/>
  <c r="K190" i="342"/>
  <c r="K182" i="342"/>
  <c r="K170" i="342"/>
  <c r="K165" i="342"/>
  <c r="K161" i="342"/>
  <c r="K155" i="342"/>
  <c r="K151" i="342"/>
  <c r="K146" i="342"/>
  <c r="K139" i="342"/>
  <c r="K132" i="342"/>
  <c r="K128" i="342"/>
  <c r="K124" i="342"/>
  <c r="K116" i="342"/>
  <c r="K112" i="342"/>
  <c r="K106" i="342"/>
  <c r="K96" i="342"/>
  <c r="K92" i="342"/>
  <c r="K79" i="342"/>
  <c r="K63" i="342"/>
  <c r="K57" i="342"/>
  <c r="K242" i="342" s="1"/>
  <c r="K48" i="342"/>
  <c r="K43" i="342"/>
  <c r="K39" i="342"/>
  <c r="K32" i="342"/>
  <c r="K25" i="342"/>
  <c r="G242" i="342"/>
  <c r="H242" i="342"/>
  <c r="I242" i="342"/>
  <c r="J242" i="342"/>
  <c r="H124" i="342"/>
  <c r="I124" i="342"/>
  <c r="J124" i="342"/>
  <c r="L124" i="342"/>
  <c r="M124" i="342"/>
  <c r="G124" i="342"/>
  <c r="E124" i="342"/>
  <c r="L120" i="342"/>
  <c r="E170" i="342"/>
  <c r="E165" i="342"/>
  <c r="E161" i="342"/>
  <c r="E155" i="342"/>
  <c r="E151" i="342"/>
  <c r="E146" i="342"/>
  <c r="E139" i="342"/>
  <c r="E132" i="342"/>
  <c r="E128" i="342"/>
  <c r="E242" i="342"/>
  <c r="E116" i="342"/>
  <c r="E112" i="342"/>
  <c r="E106" i="342"/>
  <c r="E101" i="342"/>
  <c r="E96" i="342"/>
  <c r="E92" i="342"/>
  <c r="E79" i="342"/>
  <c r="E63" i="342"/>
  <c r="E57" i="342"/>
  <c r="E48" i="342"/>
  <c r="E43" i="342"/>
  <c r="E39" i="342"/>
  <c r="E32" i="342"/>
  <c r="E25" i="342"/>
  <c r="E208" i="342"/>
  <c r="E220" i="342"/>
  <c r="E230" i="342"/>
  <c r="E239" i="342"/>
  <c r="G146" i="342"/>
  <c r="F139" i="342"/>
  <c r="G63" i="342"/>
  <c r="G57" i="342"/>
  <c r="H57" i="342"/>
  <c r="I57" i="342"/>
  <c r="J57" i="342"/>
  <c r="H91" i="343"/>
  <c r="H101" i="343"/>
  <c r="C242" i="342"/>
  <c r="J45" i="343"/>
  <c r="K45" i="343"/>
  <c r="L45" i="343"/>
  <c r="M45" i="343"/>
  <c r="N45" i="343"/>
  <c r="O44" i="343"/>
  <c r="P44" i="343" s="1"/>
  <c r="O134" i="343"/>
  <c r="P134" i="343" s="1"/>
  <c r="O98" i="343"/>
  <c r="O99" i="343"/>
  <c r="P99" i="343" s="1"/>
  <c r="N91" i="343"/>
  <c r="O90" i="343"/>
  <c r="P90" i="343" s="1"/>
  <c r="M91" i="343"/>
  <c r="L91" i="343"/>
  <c r="K91" i="343"/>
  <c r="J91" i="343"/>
  <c r="J40" i="343"/>
  <c r="K40" i="343"/>
  <c r="L40" i="343"/>
  <c r="M40" i="343"/>
  <c r="N40" i="343"/>
  <c r="O38" i="343"/>
  <c r="P38" i="343" s="1"/>
  <c r="O39" i="343"/>
  <c r="P39" i="343" s="1"/>
  <c r="O37" i="343"/>
  <c r="J26" i="343"/>
  <c r="K26" i="343"/>
  <c r="L26" i="343"/>
  <c r="M26" i="343"/>
  <c r="N26" i="343"/>
  <c r="O25" i="343"/>
  <c r="P25" i="343" s="1"/>
  <c r="G190" i="342"/>
  <c r="H190" i="342"/>
  <c r="I190" i="342"/>
  <c r="J190" i="342"/>
  <c r="E190" i="342"/>
  <c r="L53" i="342"/>
  <c r="M53" i="342" s="1"/>
  <c r="D41" i="345"/>
  <c r="M38" i="345"/>
  <c r="M39" i="345" s="1"/>
  <c r="L32" i="345"/>
  <c r="M32" i="345" s="1"/>
  <c r="L31" i="345"/>
  <c r="M31" i="345" s="1"/>
  <c r="L28" i="345"/>
  <c r="M28" i="345" s="1"/>
  <c r="L27" i="345"/>
  <c r="M27" i="345" s="1"/>
  <c r="J24" i="345"/>
  <c r="I24" i="345"/>
  <c r="H24" i="345"/>
  <c r="G24" i="345"/>
  <c r="E24" i="345"/>
  <c r="L23" i="345"/>
  <c r="M23" i="345" s="1"/>
  <c r="K20" i="345"/>
  <c r="J20" i="345"/>
  <c r="I20" i="345"/>
  <c r="H20" i="345"/>
  <c r="G20" i="345"/>
  <c r="F20" i="345"/>
  <c r="E20" i="345"/>
  <c r="L19" i="345"/>
  <c r="M19" i="345" s="1"/>
  <c r="K16" i="345"/>
  <c r="J16" i="345"/>
  <c r="I16" i="345"/>
  <c r="H16" i="345"/>
  <c r="G16" i="345"/>
  <c r="F16" i="345"/>
  <c r="E16" i="345"/>
  <c r="L15" i="345"/>
  <c r="M15" i="345" s="1"/>
  <c r="M16" i="345" s="1"/>
  <c r="J27" i="344"/>
  <c r="I27" i="344"/>
  <c r="H27" i="344"/>
  <c r="G27" i="344"/>
  <c r="E27" i="344"/>
  <c r="L26" i="344"/>
  <c r="L27" i="344" s="1"/>
  <c r="J23" i="344"/>
  <c r="I23" i="344"/>
  <c r="H23" i="344"/>
  <c r="G23" i="344"/>
  <c r="E23" i="344"/>
  <c r="L22" i="344"/>
  <c r="M22" i="344" s="1"/>
  <c r="J19" i="344"/>
  <c r="I19" i="344"/>
  <c r="H19" i="344"/>
  <c r="G19" i="344"/>
  <c r="E19" i="344"/>
  <c r="L18" i="344"/>
  <c r="L19" i="344" s="1"/>
  <c r="M19" i="344" s="1"/>
  <c r="J15" i="344"/>
  <c r="I15" i="344"/>
  <c r="H15" i="344"/>
  <c r="G15" i="344"/>
  <c r="E15" i="344"/>
  <c r="L14" i="344"/>
  <c r="L15" i="344" s="1"/>
  <c r="N171" i="343"/>
  <c r="M171" i="343"/>
  <c r="L171" i="343"/>
  <c r="K171" i="343"/>
  <c r="J171" i="343"/>
  <c r="H171" i="343"/>
  <c r="O170" i="343"/>
  <c r="P170" i="343" s="1"/>
  <c r="O169" i="343"/>
  <c r="P169" i="343" s="1"/>
  <c r="O168" i="343"/>
  <c r="P168" i="343" s="1"/>
  <c r="O167" i="343"/>
  <c r="P167" i="343" s="1"/>
  <c r="O166" i="343"/>
  <c r="P166" i="343" s="1"/>
  <c r="O165" i="343"/>
  <c r="P165" i="343" s="1"/>
  <c r="O164" i="343"/>
  <c r="P164" i="343" s="1"/>
  <c r="O163" i="343"/>
  <c r="N160" i="343"/>
  <c r="M160" i="343"/>
  <c r="L160" i="343"/>
  <c r="K160" i="343"/>
  <c r="J160" i="343"/>
  <c r="H160" i="343"/>
  <c r="O159" i="343"/>
  <c r="P159" i="343" s="1"/>
  <c r="O158" i="343"/>
  <c r="P158" i="343" s="1"/>
  <c r="O157" i="343"/>
  <c r="P157" i="343" s="1"/>
  <c r="O156" i="343"/>
  <c r="P156" i="343" s="1"/>
  <c r="O155" i="343"/>
  <c r="P155" i="343" s="1"/>
  <c r="O154" i="343"/>
  <c r="P154" i="343" s="1"/>
  <c r="O153" i="343"/>
  <c r="P153" i="343" s="1"/>
  <c r="O152" i="343"/>
  <c r="P152" i="343" s="1"/>
  <c r="O151" i="343"/>
  <c r="P151" i="343" s="1"/>
  <c r="N148" i="343"/>
  <c r="M148" i="343"/>
  <c r="L148" i="343"/>
  <c r="K148" i="343"/>
  <c r="J148" i="343"/>
  <c r="H148" i="343"/>
  <c r="O147" i="343"/>
  <c r="P147" i="343" s="1"/>
  <c r="O145" i="343"/>
  <c r="P145" i="343" s="1"/>
  <c r="O144" i="343"/>
  <c r="P144" i="343" s="1"/>
  <c r="O143" i="343"/>
  <c r="P143" i="343" s="1"/>
  <c r="O146" i="343"/>
  <c r="P146" i="343" s="1"/>
  <c r="O142" i="343"/>
  <c r="P142" i="343" s="1"/>
  <c r="O141" i="343"/>
  <c r="P141" i="343" s="1"/>
  <c r="O140" i="343"/>
  <c r="N137" i="343"/>
  <c r="M137" i="343"/>
  <c r="L137" i="343"/>
  <c r="K137" i="343"/>
  <c r="J137" i="343"/>
  <c r="H137" i="343"/>
  <c r="O136" i="343"/>
  <c r="P136" i="343" s="1"/>
  <c r="O135" i="343"/>
  <c r="P135" i="343" s="1"/>
  <c r="O133" i="343"/>
  <c r="P133" i="343" s="1"/>
  <c r="O132" i="343"/>
  <c r="P132" i="343" s="1"/>
  <c r="O131" i="343"/>
  <c r="P131" i="343" s="1"/>
  <c r="O130" i="343"/>
  <c r="P130" i="343" s="1"/>
  <c r="O129" i="343"/>
  <c r="P129" i="343" s="1"/>
  <c r="O128" i="343"/>
  <c r="O127" i="343"/>
  <c r="P127" i="343" s="1"/>
  <c r="N123" i="343"/>
  <c r="M123" i="343"/>
  <c r="L123" i="343"/>
  <c r="K123" i="343"/>
  <c r="J123" i="343"/>
  <c r="H123" i="343"/>
  <c r="O122" i="343"/>
  <c r="O123" i="343" s="1"/>
  <c r="N119" i="343"/>
  <c r="M119" i="343"/>
  <c r="L119" i="343"/>
  <c r="K119" i="343"/>
  <c r="J119" i="343"/>
  <c r="H119" i="343"/>
  <c r="O89" i="343"/>
  <c r="P89" i="343" s="1"/>
  <c r="O118" i="343"/>
  <c r="P118" i="343" s="1"/>
  <c r="N115" i="343"/>
  <c r="M115" i="343"/>
  <c r="L115" i="343"/>
  <c r="K115" i="343"/>
  <c r="J115" i="343"/>
  <c r="I115" i="343"/>
  <c r="H115" i="343"/>
  <c r="O114" i="343"/>
  <c r="P114" i="343" s="1"/>
  <c r="O113" i="343"/>
  <c r="P113" i="343" s="1"/>
  <c r="O112" i="343"/>
  <c r="P112" i="343" s="1"/>
  <c r="O111" i="343"/>
  <c r="P111" i="343" s="1"/>
  <c r="O110" i="343"/>
  <c r="P110" i="343" s="1"/>
  <c r="O109" i="343"/>
  <c r="P109" i="343" s="1"/>
  <c r="O108" i="343"/>
  <c r="N105" i="343"/>
  <c r="O104" i="343"/>
  <c r="P104" i="343" s="1"/>
  <c r="P105" i="343" s="1"/>
  <c r="N101" i="343"/>
  <c r="M101" i="343"/>
  <c r="L101" i="343"/>
  <c r="K101" i="343"/>
  <c r="J101" i="343"/>
  <c r="I101" i="343"/>
  <c r="O100" i="343"/>
  <c r="P100" i="343" s="1"/>
  <c r="N95" i="343"/>
  <c r="M95" i="343"/>
  <c r="L95" i="343"/>
  <c r="K95" i="343"/>
  <c r="J95" i="343"/>
  <c r="I95" i="343"/>
  <c r="H95" i="343"/>
  <c r="O94" i="343"/>
  <c r="O95" i="343" s="1"/>
  <c r="O88" i="343"/>
  <c r="P88" i="343" s="1"/>
  <c r="O87" i="343"/>
  <c r="P87" i="343" s="1"/>
  <c r="O86" i="343"/>
  <c r="P86" i="343" s="1"/>
  <c r="P85" i="343"/>
  <c r="N82" i="343"/>
  <c r="M82" i="343"/>
  <c r="L82" i="343"/>
  <c r="K82" i="343"/>
  <c r="J82" i="343"/>
  <c r="H82" i="343"/>
  <c r="O80" i="343"/>
  <c r="P80" i="343" s="1"/>
  <c r="O79" i="343"/>
  <c r="P79" i="343" s="1"/>
  <c r="O78" i="343"/>
  <c r="P78" i="343" s="1"/>
  <c r="O77" i="343"/>
  <c r="P77" i="343" s="1"/>
  <c r="O76" i="343"/>
  <c r="P76" i="343" s="1"/>
  <c r="O75" i="343"/>
  <c r="P75" i="343" s="1"/>
  <c r="N68" i="343"/>
  <c r="M68" i="343"/>
  <c r="L68" i="343"/>
  <c r="K68" i="343"/>
  <c r="J68" i="343"/>
  <c r="I68" i="343"/>
  <c r="H68" i="343"/>
  <c r="P67" i="343"/>
  <c r="O66" i="343"/>
  <c r="P66" i="343" s="1"/>
  <c r="O65" i="343"/>
  <c r="N62" i="343"/>
  <c r="M62" i="343"/>
  <c r="L62" i="343"/>
  <c r="K62" i="343"/>
  <c r="J62" i="343"/>
  <c r="I62" i="343"/>
  <c r="H62" i="343"/>
  <c r="O61" i="343"/>
  <c r="P61" i="343" s="1"/>
  <c r="P62" i="343" s="1"/>
  <c r="N58" i="343"/>
  <c r="M58" i="343"/>
  <c r="L58" i="343"/>
  <c r="K58" i="343"/>
  <c r="J58" i="343"/>
  <c r="I58" i="343"/>
  <c r="H58" i="343"/>
  <c r="O57" i="343"/>
  <c r="P57" i="343" s="1"/>
  <c r="O56" i="343"/>
  <c r="O48" i="343"/>
  <c r="O43" i="343"/>
  <c r="P43" i="343" s="1"/>
  <c r="N30" i="343"/>
  <c r="M30" i="343"/>
  <c r="L30" i="343"/>
  <c r="K30" i="343"/>
  <c r="J30" i="343"/>
  <c r="O29" i="343"/>
  <c r="O30" i="343" s="1"/>
  <c r="O24" i="343"/>
  <c r="P24" i="343" s="1"/>
  <c r="N20" i="343"/>
  <c r="M20" i="343"/>
  <c r="L20" i="343"/>
  <c r="K20" i="343"/>
  <c r="J20" i="343"/>
  <c r="I20" i="343"/>
  <c r="O19" i="343"/>
  <c r="O20" i="343" s="1"/>
  <c r="N16" i="343"/>
  <c r="M16" i="343"/>
  <c r="L16" i="343"/>
  <c r="K16" i="343"/>
  <c r="J16" i="343"/>
  <c r="O15" i="343"/>
  <c r="O16" i="343" s="1"/>
  <c r="P14" i="343"/>
  <c r="J239" i="342"/>
  <c r="I239" i="342"/>
  <c r="H239" i="342"/>
  <c r="G239" i="342"/>
  <c r="L238" i="342"/>
  <c r="M238" i="342" s="1"/>
  <c r="L237" i="342"/>
  <c r="M237" i="342" s="1"/>
  <c r="L236" i="342"/>
  <c r="M236" i="342" s="1"/>
  <c r="M235" i="342"/>
  <c r="L234" i="342"/>
  <c r="M234" i="342" s="1"/>
  <c r="L233" i="342"/>
  <c r="M233" i="342" s="1"/>
  <c r="J230" i="342"/>
  <c r="I230" i="342"/>
  <c r="H230" i="342"/>
  <c r="G230" i="342"/>
  <c r="M229" i="342"/>
  <c r="M228" i="342"/>
  <c r="L227" i="342"/>
  <c r="M227" i="342" s="1"/>
  <c r="L226" i="342"/>
  <c r="M226" i="342" s="1"/>
  <c r="L224" i="342"/>
  <c r="M224" i="342" s="1"/>
  <c r="L223" i="342"/>
  <c r="J220" i="342"/>
  <c r="I220" i="342"/>
  <c r="H220" i="342"/>
  <c r="G220" i="342"/>
  <c r="M219" i="342"/>
  <c r="L218" i="342"/>
  <c r="M218" i="342" s="1"/>
  <c r="L217" i="342"/>
  <c r="M217" i="342" s="1"/>
  <c r="L216" i="342"/>
  <c r="M216" i="342" s="1"/>
  <c r="L214" i="342"/>
  <c r="M214" i="342" s="1"/>
  <c r="L213" i="342"/>
  <c r="M213" i="342" s="1"/>
  <c r="L212" i="342"/>
  <c r="M212" i="342" s="1"/>
  <c r="L211" i="342"/>
  <c r="J208" i="342"/>
  <c r="I208" i="342"/>
  <c r="H208" i="342"/>
  <c r="G208" i="342"/>
  <c r="M207" i="342"/>
  <c r="L206" i="342"/>
  <c r="M206" i="342" s="1"/>
  <c r="L205" i="342"/>
  <c r="M205" i="342" s="1"/>
  <c r="L204" i="342"/>
  <c r="M204" i="342" s="1"/>
  <c r="L203" i="342"/>
  <c r="M203" i="342" s="1"/>
  <c r="L202" i="342"/>
  <c r="M202" i="342" s="1"/>
  <c r="L200" i="342"/>
  <c r="M200" i="342" s="1"/>
  <c r="L199" i="342"/>
  <c r="M199" i="342" s="1"/>
  <c r="L198" i="342"/>
  <c r="M198" i="342" s="1"/>
  <c r="M197" i="342"/>
  <c r="L196" i="342"/>
  <c r="M196" i="342" s="1"/>
  <c r="L195" i="342"/>
  <c r="M195" i="342" s="1"/>
  <c r="L194" i="342"/>
  <c r="M194" i="342" s="1"/>
  <c r="L187" i="342"/>
  <c r="M187" i="342" s="1"/>
  <c r="L186" i="342"/>
  <c r="M186" i="342" s="1"/>
  <c r="L185" i="342"/>
  <c r="M185" i="342" s="1"/>
  <c r="J182" i="342"/>
  <c r="I182" i="342"/>
  <c r="H182" i="342"/>
  <c r="G182" i="342"/>
  <c r="E182" i="342"/>
  <c r="L56" i="342"/>
  <c r="M56" i="342" s="1"/>
  <c r="L181" i="342"/>
  <c r="M181" i="342" s="1"/>
  <c r="L180" i="342"/>
  <c r="M180" i="342" s="1"/>
  <c r="L179" i="342"/>
  <c r="M179" i="342" s="1"/>
  <c r="L178" i="342"/>
  <c r="M178" i="342" s="1"/>
  <c r="L177" i="342"/>
  <c r="J170" i="342"/>
  <c r="I170" i="342"/>
  <c r="H170" i="342"/>
  <c r="G170" i="342"/>
  <c r="F170" i="342"/>
  <c r="L168" i="342"/>
  <c r="M168" i="342" s="1"/>
  <c r="J165" i="342"/>
  <c r="I165" i="342"/>
  <c r="H165" i="342"/>
  <c r="G165" i="342"/>
  <c r="L143" i="342"/>
  <c r="M143" i="342" s="1"/>
  <c r="L164" i="342"/>
  <c r="M164" i="342" s="1"/>
  <c r="J161" i="342"/>
  <c r="I161" i="342"/>
  <c r="H161" i="342"/>
  <c r="G161" i="342"/>
  <c r="F161" i="342"/>
  <c r="L160" i="342"/>
  <c r="L159" i="342"/>
  <c r="M159" i="342" s="1"/>
  <c r="L158" i="342"/>
  <c r="M158" i="342" s="1"/>
  <c r="J155" i="342"/>
  <c r="I155" i="342"/>
  <c r="H155" i="342"/>
  <c r="G155" i="342"/>
  <c r="F155" i="342"/>
  <c r="L154" i="342"/>
  <c r="M154" i="342" s="1"/>
  <c r="J151" i="342"/>
  <c r="I151" i="342"/>
  <c r="H151" i="342"/>
  <c r="G151" i="342"/>
  <c r="L150" i="342"/>
  <c r="M150" i="342" s="1"/>
  <c r="L149" i="342"/>
  <c r="M149" i="342" s="1"/>
  <c r="J146" i="342"/>
  <c r="I146" i="342"/>
  <c r="H146" i="342"/>
  <c r="L145" i="342"/>
  <c r="M145" i="342" s="1"/>
  <c r="L169" i="342"/>
  <c r="M169" i="342" s="1"/>
  <c r="L142" i="342"/>
  <c r="J139" i="342"/>
  <c r="I139" i="342"/>
  <c r="H139" i="342"/>
  <c r="G139" i="342"/>
  <c r="L138" i="342"/>
  <c r="M138" i="342" s="1"/>
  <c r="L137" i="342"/>
  <c r="M137" i="342" s="1"/>
  <c r="M136" i="342"/>
  <c r="L135" i="342"/>
  <c r="J132" i="342"/>
  <c r="I132" i="342"/>
  <c r="H132" i="342"/>
  <c r="G132" i="342"/>
  <c r="F132" i="342"/>
  <c r="L131" i="342"/>
  <c r="J128" i="342"/>
  <c r="I128" i="342"/>
  <c r="H128" i="342"/>
  <c r="G128" i="342"/>
  <c r="L127" i="342"/>
  <c r="M127" i="342" s="1"/>
  <c r="M128" i="342" s="1"/>
  <c r="F124" i="342"/>
  <c r="L123" i="342"/>
  <c r="M123" i="342" s="1"/>
  <c r="M122" i="342"/>
  <c r="L121" i="342"/>
  <c r="M121" i="342" s="1"/>
  <c r="M120" i="342"/>
  <c r="L119" i="342"/>
  <c r="M119" i="342" s="1"/>
  <c r="J116" i="342"/>
  <c r="I116" i="342"/>
  <c r="H116" i="342"/>
  <c r="G116" i="342"/>
  <c r="L115" i="342"/>
  <c r="L116" i="342" s="1"/>
  <c r="J112" i="342"/>
  <c r="I112" i="342"/>
  <c r="H112" i="342"/>
  <c r="G112" i="342"/>
  <c r="L111" i="342"/>
  <c r="M111" i="342" s="1"/>
  <c r="L110" i="342"/>
  <c r="M110" i="342" s="1"/>
  <c r="L109" i="342"/>
  <c r="M109" i="342" s="1"/>
  <c r="J106" i="342"/>
  <c r="I106" i="342"/>
  <c r="H106" i="342"/>
  <c r="G106" i="342"/>
  <c r="L104" i="342"/>
  <c r="L106" i="342" s="1"/>
  <c r="K101" i="342"/>
  <c r="J101" i="342"/>
  <c r="I101" i="342"/>
  <c r="H101" i="342"/>
  <c r="G101" i="342"/>
  <c r="L100" i="342"/>
  <c r="M100" i="342" s="1"/>
  <c r="L99" i="342"/>
  <c r="J96" i="342"/>
  <c r="I96" i="342"/>
  <c r="H96" i="342"/>
  <c r="G96" i="342"/>
  <c r="F96" i="342"/>
  <c r="L95" i="342"/>
  <c r="M95" i="342" s="1"/>
  <c r="J92" i="342"/>
  <c r="I92" i="342"/>
  <c r="H92" i="342"/>
  <c r="G92" i="342"/>
  <c r="L55" i="342"/>
  <c r="M55" i="342" s="1"/>
  <c r="L54" i="342"/>
  <c r="M54" i="342" s="1"/>
  <c r="M57" i="342" s="1"/>
  <c r="M242" i="342" s="1"/>
  <c r="L91" i="342"/>
  <c r="M91" i="342" s="1"/>
  <c r="L90" i="342"/>
  <c r="M90" i="342" s="1"/>
  <c r="L89" i="342"/>
  <c r="M89" i="342" s="1"/>
  <c r="L88" i="342"/>
  <c r="M88" i="342" s="1"/>
  <c r="L87" i="342"/>
  <c r="M87" i="342" s="1"/>
  <c r="L86" i="342"/>
  <c r="M86" i="342" s="1"/>
  <c r="L85" i="342"/>
  <c r="M85" i="342" s="1"/>
  <c r="L84" i="342"/>
  <c r="M84" i="342" s="1"/>
  <c r="L83" i="342"/>
  <c r="M83" i="342" s="1"/>
  <c r="L82" i="342"/>
  <c r="M82" i="342" s="1"/>
  <c r="J79" i="342"/>
  <c r="I79" i="342"/>
  <c r="H79" i="342"/>
  <c r="G79" i="342"/>
  <c r="L78" i="342"/>
  <c r="M78" i="342" s="1"/>
  <c r="L77" i="342"/>
  <c r="M77" i="342" s="1"/>
  <c r="L76" i="342"/>
  <c r="M76" i="342" s="1"/>
  <c r="L75" i="342"/>
  <c r="M75" i="342" s="1"/>
  <c r="L74" i="342"/>
  <c r="M74" i="342" s="1"/>
  <c r="L73" i="342"/>
  <c r="M73" i="342" s="1"/>
  <c r="L72" i="342"/>
  <c r="M72" i="342" s="1"/>
  <c r="L71" i="342"/>
  <c r="M71" i="342" s="1"/>
  <c r="L69" i="342"/>
  <c r="M69" i="342" s="1"/>
  <c r="L68" i="342"/>
  <c r="M68" i="342" s="1"/>
  <c r="L70" i="342"/>
  <c r="M70" i="342" s="1"/>
  <c r="L67" i="342"/>
  <c r="M67" i="342" s="1"/>
  <c r="L66" i="342"/>
  <c r="J63" i="342"/>
  <c r="I63" i="342"/>
  <c r="H63" i="342"/>
  <c r="M62" i="342"/>
  <c r="L61" i="342"/>
  <c r="L60" i="342"/>
  <c r="M60" i="342" s="1"/>
  <c r="L52" i="342"/>
  <c r="L51" i="342"/>
  <c r="M51" i="342" s="1"/>
  <c r="J48" i="342"/>
  <c r="I48" i="342"/>
  <c r="H48" i="342"/>
  <c r="G48" i="342"/>
  <c r="F48" i="342"/>
  <c r="L47" i="342"/>
  <c r="M47" i="342" s="1"/>
  <c r="L46" i="342"/>
  <c r="M46" i="342" s="1"/>
  <c r="J43" i="342"/>
  <c r="I43" i="342"/>
  <c r="H43" i="342"/>
  <c r="F43" i="342"/>
  <c r="L42" i="342"/>
  <c r="L43" i="342" s="1"/>
  <c r="J39" i="342"/>
  <c r="I39" i="342"/>
  <c r="H39" i="342"/>
  <c r="G39" i="342"/>
  <c r="L38" i="342"/>
  <c r="M38" i="342" s="1"/>
  <c r="L144" i="342"/>
  <c r="M144" i="342" s="1"/>
  <c r="L37" i="342"/>
  <c r="M37" i="342" s="1"/>
  <c r="L36" i="342"/>
  <c r="M36" i="342" s="1"/>
  <c r="L35" i="342"/>
  <c r="M35" i="342" s="1"/>
  <c r="J32" i="342"/>
  <c r="I32" i="342"/>
  <c r="H32" i="342"/>
  <c r="G32" i="342"/>
  <c r="L31" i="342"/>
  <c r="M31" i="342" s="1"/>
  <c r="L30" i="342"/>
  <c r="M30" i="342" s="1"/>
  <c r="L29" i="342"/>
  <c r="M29" i="342" s="1"/>
  <c r="L28" i="342"/>
  <c r="J25" i="342"/>
  <c r="I25" i="342"/>
  <c r="H25" i="342"/>
  <c r="G25" i="342"/>
  <c r="F25" i="342"/>
  <c r="L24" i="342"/>
  <c r="M24" i="342" s="1"/>
  <c r="L23" i="342"/>
  <c r="M23" i="342" s="1"/>
  <c r="L22" i="342"/>
  <c r="M22" i="342" s="1"/>
  <c r="L21" i="342"/>
  <c r="F38" i="341"/>
  <c r="G38" i="341"/>
  <c r="H38" i="341"/>
  <c r="I38" i="341"/>
  <c r="J38" i="341"/>
  <c r="K38" i="341"/>
  <c r="M38" i="341"/>
  <c r="E38" i="341"/>
  <c r="F34" i="341"/>
  <c r="G34" i="341"/>
  <c r="H34" i="341"/>
  <c r="H39" i="341" s="1"/>
  <c r="I34" i="341"/>
  <c r="J34" i="341"/>
  <c r="K34" i="341"/>
  <c r="E34" i="341"/>
  <c r="L33" i="341"/>
  <c r="L32" i="341"/>
  <c r="L37" i="341"/>
  <c r="L38" i="341" s="1"/>
  <c r="L31" i="341"/>
  <c r="L30" i="341"/>
  <c r="L29" i="341"/>
  <c r="L28" i="341"/>
  <c r="L27" i="341"/>
  <c r="L26" i="341"/>
  <c r="L25" i="341"/>
  <c r="L24" i="341"/>
  <c r="L23" i="341"/>
  <c r="L22" i="341"/>
  <c r="L21" i="341"/>
  <c r="L20" i="341"/>
  <c r="L19" i="341"/>
  <c r="L18" i="341"/>
  <c r="L17" i="341"/>
  <c r="M16" i="341"/>
  <c r="M34" i="341" s="1"/>
  <c r="I18" i="340"/>
  <c r="E18" i="340"/>
  <c r="J16" i="340"/>
  <c r="J18" i="340" s="1"/>
  <c r="I16" i="340"/>
  <c r="H16" i="340"/>
  <c r="H18" i="340" s="1"/>
  <c r="G16" i="340"/>
  <c r="G18" i="340" s="1"/>
  <c r="F16" i="340"/>
  <c r="L16" i="340" s="1"/>
  <c r="L18" i="340" s="1"/>
  <c r="E16" i="340"/>
  <c r="D16" i="340"/>
  <c r="D18" i="340" s="1"/>
  <c r="K15" i="340"/>
  <c r="K16" i="340" s="1"/>
  <c r="K18" i="340" s="1"/>
  <c r="D41" i="339"/>
  <c r="M38" i="339"/>
  <c r="M39" i="339" s="1"/>
  <c r="L32" i="339"/>
  <c r="M32" i="339" s="1"/>
  <c r="L31" i="339"/>
  <c r="M31" i="339" s="1"/>
  <c r="L28" i="339"/>
  <c r="M28" i="339" s="1"/>
  <c r="L27" i="339"/>
  <c r="M27" i="339" s="1"/>
  <c r="K24" i="339"/>
  <c r="J24" i="339"/>
  <c r="I24" i="339"/>
  <c r="H24" i="339"/>
  <c r="L24" i="339" s="1"/>
  <c r="G24" i="339"/>
  <c r="E24" i="339"/>
  <c r="L23" i="339"/>
  <c r="M23" i="339" s="1"/>
  <c r="K20" i="339"/>
  <c r="J20" i="339"/>
  <c r="I20" i="339"/>
  <c r="H20" i="339"/>
  <c r="G20" i="339"/>
  <c r="F20" i="339"/>
  <c r="E20" i="339"/>
  <c r="L19" i="339"/>
  <c r="L20" i="339" s="1"/>
  <c r="K16" i="339"/>
  <c r="J16" i="339"/>
  <c r="I16" i="339"/>
  <c r="H16" i="339"/>
  <c r="G16" i="339"/>
  <c r="F16" i="339"/>
  <c r="E16" i="339"/>
  <c r="L15" i="339"/>
  <c r="L16" i="339" s="1"/>
  <c r="H49" i="338"/>
  <c r="I49" i="338"/>
  <c r="J49" i="338"/>
  <c r="L49" i="338"/>
  <c r="M49" i="338"/>
  <c r="G49" i="338"/>
  <c r="E49" i="338"/>
  <c r="J46" i="338"/>
  <c r="I46" i="338"/>
  <c r="H46" i="338"/>
  <c r="G46" i="338"/>
  <c r="E46" i="338"/>
  <c r="L45" i="338"/>
  <c r="L46" i="338" s="1"/>
  <c r="J42" i="338"/>
  <c r="I42" i="338"/>
  <c r="H42" i="338"/>
  <c r="G42" i="338"/>
  <c r="E42" i="338"/>
  <c r="L41" i="338"/>
  <c r="M41" i="338" s="1"/>
  <c r="J38" i="338"/>
  <c r="I38" i="338"/>
  <c r="H38" i="338"/>
  <c r="G38" i="338"/>
  <c r="E38" i="338"/>
  <c r="L37" i="338"/>
  <c r="L38" i="338" s="1"/>
  <c r="J27" i="338"/>
  <c r="I27" i="338"/>
  <c r="H27" i="338"/>
  <c r="G27" i="338"/>
  <c r="E27" i="338"/>
  <c r="L26" i="338"/>
  <c r="M26" i="338" s="1"/>
  <c r="J23" i="338"/>
  <c r="I23" i="338"/>
  <c r="H23" i="338"/>
  <c r="G23" i="338"/>
  <c r="E23" i="338"/>
  <c r="L22" i="338"/>
  <c r="L23" i="338" s="1"/>
  <c r="D159" i="337"/>
  <c r="D149" i="329"/>
  <c r="H60" i="337"/>
  <c r="O108" i="337"/>
  <c r="O109" i="337" s="1"/>
  <c r="O103" i="337"/>
  <c r="N109" i="337"/>
  <c r="M109" i="337"/>
  <c r="L109" i="337"/>
  <c r="K109" i="337"/>
  <c r="J109" i="337"/>
  <c r="H109" i="337"/>
  <c r="H86" i="337"/>
  <c r="K100" i="337"/>
  <c r="L100" i="337"/>
  <c r="M100" i="337"/>
  <c r="N100" i="337"/>
  <c r="J100" i="337"/>
  <c r="H100" i="337"/>
  <c r="O93" i="337"/>
  <c r="K60" i="337"/>
  <c r="O58" i="337"/>
  <c r="P58" i="337" s="1"/>
  <c r="K42" i="337"/>
  <c r="L42" i="337"/>
  <c r="M42" i="337"/>
  <c r="N42" i="337"/>
  <c r="J42" i="337"/>
  <c r="H42" i="337"/>
  <c r="O40" i="337"/>
  <c r="P40" i="337" s="1"/>
  <c r="P42" i="337" s="1"/>
  <c r="N156" i="337"/>
  <c r="M156" i="337"/>
  <c r="L156" i="337"/>
  <c r="K156" i="337"/>
  <c r="J156" i="337"/>
  <c r="I156" i="337"/>
  <c r="H156" i="337"/>
  <c r="O155" i="337"/>
  <c r="P155" i="337" s="1"/>
  <c r="O154" i="337"/>
  <c r="P154" i="337" s="1"/>
  <c r="O153" i="337"/>
  <c r="P153" i="337" s="1"/>
  <c r="O152" i="337"/>
  <c r="P152" i="337" s="1"/>
  <c r="O151" i="337"/>
  <c r="P151" i="337" s="1"/>
  <c r="O150" i="337"/>
  <c r="P150" i="337" s="1"/>
  <c r="O149" i="337"/>
  <c r="P149" i="337" s="1"/>
  <c r="O148" i="337"/>
  <c r="N145" i="337"/>
  <c r="M145" i="337"/>
  <c r="L145" i="337"/>
  <c r="K145" i="337"/>
  <c r="J145" i="337"/>
  <c r="I145" i="337"/>
  <c r="H145" i="337"/>
  <c r="O144" i="337"/>
  <c r="P144" i="337" s="1"/>
  <c r="O143" i="337"/>
  <c r="P143" i="337" s="1"/>
  <c r="O142" i="337"/>
  <c r="P142" i="337" s="1"/>
  <c r="O141" i="337"/>
  <c r="P141" i="337" s="1"/>
  <c r="O140" i="337"/>
  <c r="P140" i="337" s="1"/>
  <c r="O139" i="337"/>
  <c r="P139" i="337" s="1"/>
  <c r="O138" i="337"/>
  <c r="P138" i="337" s="1"/>
  <c r="O137" i="337"/>
  <c r="P137" i="337" s="1"/>
  <c r="O136" i="337"/>
  <c r="N133" i="337"/>
  <c r="M133" i="337"/>
  <c r="L133" i="337"/>
  <c r="K133" i="337"/>
  <c r="J133" i="337"/>
  <c r="I133" i="337"/>
  <c r="H133" i="337"/>
  <c r="O132" i="337"/>
  <c r="P132" i="337" s="1"/>
  <c r="O131" i="337"/>
  <c r="P131" i="337" s="1"/>
  <c r="O130" i="337"/>
  <c r="P130" i="337" s="1"/>
  <c r="O129" i="337"/>
  <c r="P129" i="337" s="1"/>
  <c r="O128" i="337"/>
  <c r="P128" i="337" s="1"/>
  <c r="O127" i="337"/>
  <c r="P127" i="337" s="1"/>
  <c r="O126" i="337"/>
  <c r="P126" i="337" s="1"/>
  <c r="O125" i="337"/>
  <c r="N122" i="337"/>
  <c r="M122" i="337"/>
  <c r="L122" i="337"/>
  <c r="K122" i="337"/>
  <c r="J122" i="337"/>
  <c r="I122" i="337"/>
  <c r="H122" i="337"/>
  <c r="O121" i="337"/>
  <c r="P121" i="337" s="1"/>
  <c r="O120" i="337"/>
  <c r="P120" i="337" s="1"/>
  <c r="O119" i="337"/>
  <c r="P119" i="337" s="1"/>
  <c r="O118" i="337"/>
  <c r="P118" i="337" s="1"/>
  <c r="O117" i="337"/>
  <c r="P117" i="337" s="1"/>
  <c r="O116" i="337"/>
  <c r="P116" i="337" s="1"/>
  <c r="O115" i="337"/>
  <c r="P115" i="337" s="1"/>
  <c r="O114" i="337"/>
  <c r="P114" i="337" s="1"/>
  <c r="O113" i="337"/>
  <c r="N105" i="337"/>
  <c r="M105" i="337"/>
  <c r="L105" i="337"/>
  <c r="K105" i="337"/>
  <c r="J105" i="337"/>
  <c r="H105" i="337"/>
  <c r="O104" i="337"/>
  <c r="O105" i="337" s="1"/>
  <c r="P103" i="337"/>
  <c r="I100" i="337"/>
  <c r="O99" i="337"/>
  <c r="P99" i="337" s="1"/>
  <c r="O98" i="337"/>
  <c r="P98" i="337" s="1"/>
  <c r="O97" i="337"/>
  <c r="P97" i="337" s="1"/>
  <c r="O96" i="337"/>
  <c r="P96" i="337" s="1"/>
  <c r="O95" i="337"/>
  <c r="P95" i="337" s="1"/>
  <c r="O94" i="337"/>
  <c r="P94" i="337" s="1"/>
  <c r="N90" i="337"/>
  <c r="O89" i="337"/>
  <c r="O90" i="337" s="1"/>
  <c r="N86" i="337"/>
  <c r="M86" i="337"/>
  <c r="L86" i="337"/>
  <c r="K86" i="337"/>
  <c r="J86" i="337"/>
  <c r="I86" i="337"/>
  <c r="O85" i="337"/>
  <c r="P85" i="337" s="1"/>
  <c r="O84" i="337"/>
  <c r="N81" i="337"/>
  <c r="M81" i="337"/>
  <c r="L81" i="337"/>
  <c r="K81" i="337"/>
  <c r="J81" i="337"/>
  <c r="I81" i="337"/>
  <c r="H81" i="337"/>
  <c r="O80" i="337"/>
  <c r="O81" i="337" s="1"/>
  <c r="N77" i="337"/>
  <c r="M77" i="337"/>
  <c r="L77" i="337"/>
  <c r="K77" i="337"/>
  <c r="J77" i="337"/>
  <c r="H77" i="337"/>
  <c r="O76" i="337"/>
  <c r="P76" i="337" s="1"/>
  <c r="O75" i="337"/>
  <c r="P75" i="337" s="1"/>
  <c r="O74" i="337"/>
  <c r="P73" i="337"/>
  <c r="N70" i="337"/>
  <c r="M70" i="337"/>
  <c r="L70" i="337"/>
  <c r="K70" i="337"/>
  <c r="J70" i="337"/>
  <c r="H70" i="337"/>
  <c r="O68" i="337"/>
  <c r="P68" i="337" s="1"/>
  <c r="O67" i="337"/>
  <c r="P67" i="337" s="1"/>
  <c r="O66" i="337"/>
  <c r="P66" i="337" s="1"/>
  <c r="O65" i="337"/>
  <c r="P65" i="337" s="1"/>
  <c r="O64" i="337"/>
  <c r="P64" i="337" s="1"/>
  <c r="O63" i="337"/>
  <c r="P63" i="337" s="1"/>
  <c r="N60" i="337"/>
  <c r="M60" i="337"/>
  <c r="L60" i="337"/>
  <c r="J60" i="337"/>
  <c r="I60" i="337"/>
  <c r="P59" i="337"/>
  <c r="O57" i="337"/>
  <c r="P57" i="337" s="1"/>
  <c r="N54" i="337"/>
  <c r="M54" i="337"/>
  <c r="L54" i="337"/>
  <c r="K54" i="337"/>
  <c r="J54" i="337"/>
  <c r="I54" i="337"/>
  <c r="H54" i="337"/>
  <c r="O53" i="337"/>
  <c r="O54" i="337" s="1"/>
  <c r="N50" i="337"/>
  <c r="M50" i="337"/>
  <c r="L50" i="337"/>
  <c r="K50" i="337"/>
  <c r="J50" i="337"/>
  <c r="I50" i="337"/>
  <c r="H50" i="337"/>
  <c r="O49" i="337"/>
  <c r="O48" i="337"/>
  <c r="P48" i="337" s="1"/>
  <c r="O37" i="337"/>
  <c r="P37" i="337" s="1"/>
  <c r="O36" i="337"/>
  <c r="P36" i="337" s="1"/>
  <c r="O33" i="337"/>
  <c r="P33" i="337" s="1"/>
  <c r="O32" i="337"/>
  <c r="P32" i="337" s="1"/>
  <c r="N29" i="337"/>
  <c r="M29" i="337"/>
  <c r="L29" i="337"/>
  <c r="K29" i="337"/>
  <c r="J29" i="337"/>
  <c r="H29" i="337"/>
  <c r="O28" i="337"/>
  <c r="O29" i="337" s="1"/>
  <c r="N25" i="337"/>
  <c r="M25" i="337"/>
  <c r="L25" i="337"/>
  <c r="K25" i="337"/>
  <c r="J25" i="337"/>
  <c r="H25" i="337"/>
  <c r="O24" i="337"/>
  <c r="P24" i="337" s="1"/>
  <c r="P25" i="337" s="1"/>
  <c r="N20" i="337"/>
  <c r="M20" i="337"/>
  <c r="L20" i="337"/>
  <c r="K20" i="337"/>
  <c r="J20" i="337"/>
  <c r="I20" i="337"/>
  <c r="H20" i="337"/>
  <c r="O19" i="337"/>
  <c r="O20" i="337" s="1"/>
  <c r="N16" i="337"/>
  <c r="M16" i="337"/>
  <c r="L16" i="337"/>
  <c r="K16" i="337"/>
  <c r="J16" i="337"/>
  <c r="H16" i="337"/>
  <c r="O15" i="337"/>
  <c r="P15" i="337" s="1"/>
  <c r="P14" i="337"/>
  <c r="F243" i="336"/>
  <c r="G243" i="336"/>
  <c r="H243" i="336"/>
  <c r="I243" i="336"/>
  <c r="J243" i="336"/>
  <c r="K243" i="336"/>
  <c r="E243" i="336"/>
  <c r="G234" i="336"/>
  <c r="H234" i="336"/>
  <c r="I234" i="336"/>
  <c r="J234" i="336"/>
  <c r="K234" i="336"/>
  <c r="E234" i="336"/>
  <c r="G224" i="336"/>
  <c r="H224" i="336"/>
  <c r="H244" i="336" s="1"/>
  <c r="I224" i="336"/>
  <c r="J224" i="336"/>
  <c r="K224" i="336"/>
  <c r="G212" i="336"/>
  <c r="H212" i="336"/>
  <c r="I212" i="336"/>
  <c r="J212" i="336"/>
  <c r="K212" i="336"/>
  <c r="E212" i="336"/>
  <c r="L107" i="336"/>
  <c r="M107" i="336" s="1"/>
  <c r="L102" i="336"/>
  <c r="M102" i="336" s="1"/>
  <c r="L117" i="336"/>
  <c r="M117" i="336" s="1"/>
  <c r="L118" i="336"/>
  <c r="L116" i="336"/>
  <c r="I113" i="336"/>
  <c r="G108" i="336"/>
  <c r="E108" i="336"/>
  <c r="K83" i="336"/>
  <c r="G83" i="336"/>
  <c r="H83" i="336"/>
  <c r="I83" i="336"/>
  <c r="J83" i="336"/>
  <c r="E83" i="336"/>
  <c r="L82" i="336"/>
  <c r="M82" i="336" s="1"/>
  <c r="C246" i="336"/>
  <c r="L242" i="336"/>
  <c r="M242" i="336" s="1"/>
  <c r="L241" i="336"/>
  <c r="M241" i="336" s="1"/>
  <c r="L240" i="336"/>
  <c r="M240" i="336" s="1"/>
  <c r="M239" i="336"/>
  <c r="L238" i="336"/>
  <c r="M238" i="336" s="1"/>
  <c r="L237" i="336"/>
  <c r="M233" i="336"/>
  <c r="M232" i="336"/>
  <c r="L231" i="336"/>
  <c r="M231" i="336" s="1"/>
  <c r="L230" i="336"/>
  <c r="M230" i="336" s="1"/>
  <c r="L228" i="336"/>
  <c r="M228" i="336" s="1"/>
  <c r="L227" i="336"/>
  <c r="E224" i="336"/>
  <c r="M223" i="336"/>
  <c r="L222" i="336"/>
  <c r="M222" i="336" s="1"/>
  <c r="L221" i="336"/>
  <c r="M221" i="336" s="1"/>
  <c r="L220" i="336"/>
  <c r="M220" i="336" s="1"/>
  <c r="L218" i="336"/>
  <c r="M218" i="336" s="1"/>
  <c r="L217" i="336"/>
  <c r="M217" i="336" s="1"/>
  <c r="L216" i="336"/>
  <c r="M216" i="336" s="1"/>
  <c r="L215" i="336"/>
  <c r="M215" i="336" s="1"/>
  <c r="M211" i="336"/>
  <c r="L210" i="336"/>
  <c r="M210" i="336" s="1"/>
  <c r="L209" i="336"/>
  <c r="M209" i="336" s="1"/>
  <c r="L208" i="336"/>
  <c r="M208" i="336" s="1"/>
  <c r="L207" i="336"/>
  <c r="M207" i="336" s="1"/>
  <c r="L206" i="336"/>
  <c r="M206" i="336" s="1"/>
  <c r="L204" i="336"/>
  <c r="M204" i="336" s="1"/>
  <c r="L203" i="336"/>
  <c r="M203" i="336" s="1"/>
  <c r="L202" i="336"/>
  <c r="M202" i="336" s="1"/>
  <c r="M201" i="336"/>
  <c r="L200" i="336"/>
  <c r="M200" i="336" s="1"/>
  <c r="L199" i="336"/>
  <c r="M199" i="336" s="1"/>
  <c r="L198" i="336"/>
  <c r="M198" i="336" s="1"/>
  <c r="K194" i="336"/>
  <c r="J194" i="336"/>
  <c r="I194" i="336"/>
  <c r="H194" i="336"/>
  <c r="G194" i="336"/>
  <c r="E194" i="336"/>
  <c r="L192" i="336"/>
  <c r="M192" i="336" s="1"/>
  <c r="L191" i="336"/>
  <c r="M191" i="336" s="1"/>
  <c r="L190" i="336"/>
  <c r="M190" i="336" s="1"/>
  <c r="K187" i="336"/>
  <c r="J187" i="336"/>
  <c r="I187" i="336"/>
  <c r="H187" i="336"/>
  <c r="G187" i="336"/>
  <c r="E187" i="336"/>
  <c r="L186" i="336"/>
  <c r="M186" i="336" s="1"/>
  <c r="L185" i="336"/>
  <c r="M185" i="336" s="1"/>
  <c r="L184" i="336"/>
  <c r="M184" i="336" s="1"/>
  <c r="L183" i="336"/>
  <c r="M183" i="336" s="1"/>
  <c r="L182" i="336"/>
  <c r="M182" i="336" s="1"/>
  <c r="L181" i="336"/>
  <c r="K178" i="336"/>
  <c r="J178" i="336"/>
  <c r="I178" i="336"/>
  <c r="H178" i="336"/>
  <c r="G178" i="336"/>
  <c r="F178" i="336"/>
  <c r="E178" i="336"/>
  <c r="L177" i="336"/>
  <c r="M177" i="336" s="1"/>
  <c r="L176" i="336"/>
  <c r="K173" i="336"/>
  <c r="J173" i="336"/>
  <c r="I173" i="336"/>
  <c r="H173" i="336"/>
  <c r="G173" i="336"/>
  <c r="E173" i="336"/>
  <c r="L172" i="336"/>
  <c r="M172" i="336" s="1"/>
  <c r="L171" i="336"/>
  <c r="M171" i="336" s="1"/>
  <c r="K168" i="336"/>
  <c r="J168" i="336"/>
  <c r="I168" i="336"/>
  <c r="H168" i="336"/>
  <c r="G168" i="336"/>
  <c r="F168" i="336"/>
  <c r="E168" i="336"/>
  <c r="L167" i="336"/>
  <c r="M167" i="336" s="1"/>
  <c r="L166" i="336"/>
  <c r="M166" i="336" s="1"/>
  <c r="L165" i="336"/>
  <c r="K162" i="336"/>
  <c r="J162" i="336"/>
  <c r="I162" i="336"/>
  <c r="H162" i="336"/>
  <c r="G162" i="336"/>
  <c r="F162" i="336"/>
  <c r="E162" i="336"/>
  <c r="L161" i="336"/>
  <c r="K158" i="336"/>
  <c r="J158" i="336"/>
  <c r="I158" i="336"/>
  <c r="H158" i="336"/>
  <c r="G158" i="336"/>
  <c r="E158" i="336"/>
  <c r="L157" i="336"/>
  <c r="M157" i="336" s="1"/>
  <c r="L156" i="336"/>
  <c r="K153" i="336"/>
  <c r="J153" i="336"/>
  <c r="I153" i="336"/>
  <c r="H153" i="336"/>
  <c r="G153" i="336"/>
  <c r="F153" i="336"/>
  <c r="E153" i="336"/>
  <c r="L152" i="336"/>
  <c r="M152" i="336" s="1"/>
  <c r="L151" i="336"/>
  <c r="M151" i="336" s="1"/>
  <c r="L150" i="336"/>
  <c r="K147" i="336"/>
  <c r="J147" i="336"/>
  <c r="I147" i="336"/>
  <c r="H147" i="336"/>
  <c r="G147" i="336"/>
  <c r="F147" i="336"/>
  <c r="E147" i="336"/>
  <c r="L146" i="336"/>
  <c r="M146" i="336" s="1"/>
  <c r="L145" i="336"/>
  <c r="M145" i="336" s="1"/>
  <c r="M144" i="336"/>
  <c r="L143" i="336"/>
  <c r="M143" i="336" s="1"/>
  <c r="K140" i="336"/>
  <c r="J140" i="336"/>
  <c r="I140" i="336"/>
  <c r="H140" i="336"/>
  <c r="G140" i="336"/>
  <c r="F140" i="336"/>
  <c r="E140" i="336"/>
  <c r="L139" i="336"/>
  <c r="M139" i="336" s="1"/>
  <c r="L138" i="336"/>
  <c r="M138" i="336" s="1"/>
  <c r="K135" i="336"/>
  <c r="J135" i="336"/>
  <c r="I135" i="336"/>
  <c r="H135" i="336"/>
  <c r="G135" i="336"/>
  <c r="E135" i="336"/>
  <c r="L134" i="336"/>
  <c r="M134" i="336" s="1"/>
  <c r="M135" i="336" s="1"/>
  <c r="K131" i="336"/>
  <c r="J131" i="336"/>
  <c r="I131" i="336"/>
  <c r="H131" i="336"/>
  <c r="G131" i="336"/>
  <c r="F131" i="336"/>
  <c r="E131" i="336"/>
  <c r="L130" i="336"/>
  <c r="M130" i="336" s="1"/>
  <c r="M129" i="336"/>
  <c r="L128" i="336"/>
  <c r="M128" i="336" s="1"/>
  <c r="L127" i="336"/>
  <c r="M127" i="336" s="1"/>
  <c r="L126" i="336"/>
  <c r="K123" i="336"/>
  <c r="J123" i="336"/>
  <c r="I123" i="336"/>
  <c r="H123" i="336"/>
  <c r="G123" i="336"/>
  <c r="E123" i="336"/>
  <c r="L122" i="336"/>
  <c r="M122" i="336" s="1"/>
  <c r="M123" i="336" s="1"/>
  <c r="K119" i="336"/>
  <c r="J119" i="336"/>
  <c r="I119" i="336"/>
  <c r="H119" i="336"/>
  <c r="G119" i="336"/>
  <c r="E119" i="336"/>
  <c r="M118" i="336"/>
  <c r="K113" i="336"/>
  <c r="J113" i="336"/>
  <c r="H113" i="336"/>
  <c r="G113" i="336"/>
  <c r="E113" i="336"/>
  <c r="L111" i="336"/>
  <c r="M111" i="336" s="1"/>
  <c r="M113" i="336" s="1"/>
  <c r="K108" i="336"/>
  <c r="J108" i="336"/>
  <c r="I108" i="336"/>
  <c r="H108" i="336"/>
  <c r="L106" i="336"/>
  <c r="M106" i="336" s="1"/>
  <c r="K103" i="336"/>
  <c r="J103" i="336"/>
  <c r="I103" i="336"/>
  <c r="H103" i="336"/>
  <c r="G103" i="336"/>
  <c r="F103" i="336"/>
  <c r="E103" i="336"/>
  <c r="L101" i="336"/>
  <c r="K98" i="336"/>
  <c r="J98" i="336"/>
  <c r="I98" i="336"/>
  <c r="H98" i="336"/>
  <c r="G98" i="336"/>
  <c r="E98" i="336"/>
  <c r="L97" i="336"/>
  <c r="M97" i="336" s="1"/>
  <c r="L96" i="336"/>
  <c r="M96" i="336" s="1"/>
  <c r="L95" i="336"/>
  <c r="M95" i="336" s="1"/>
  <c r="L94" i="336"/>
  <c r="M94" i="336" s="1"/>
  <c r="L93" i="336"/>
  <c r="M93" i="336" s="1"/>
  <c r="L92" i="336"/>
  <c r="M92" i="336" s="1"/>
  <c r="L91" i="336"/>
  <c r="M91" i="336" s="1"/>
  <c r="L90" i="336"/>
  <c r="M90" i="336" s="1"/>
  <c r="L89" i="336"/>
  <c r="M89" i="336" s="1"/>
  <c r="L88" i="336"/>
  <c r="M88" i="336" s="1"/>
  <c r="L87" i="336"/>
  <c r="M87" i="336" s="1"/>
  <c r="L86" i="336"/>
  <c r="L81" i="336"/>
  <c r="M81" i="336" s="1"/>
  <c r="L80" i="336"/>
  <c r="M80" i="336" s="1"/>
  <c r="L79" i="336"/>
  <c r="M79" i="336" s="1"/>
  <c r="L78" i="336"/>
  <c r="M78" i="336" s="1"/>
  <c r="L77" i="336"/>
  <c r="M77" i="336" s="1"/>
  <c r="L76" i="336"/>
  <c r="M76" i="336" s="1"/>
  <c r="L75" i="336"/>
  <c r="M75" i="336" s="1"/>
  <c r="L74" i="336"/>
  <c r="M74" i="336" s="1"/>
  <c r="L73" i="336"/>
  <c r="M73" i="336" s="1"/>
  <c r="L72" i="336"/>
  <c r="M72" i="336" s="1"/>
  <c r="L71" i="336"/>
  <c r="L70" i="336"/>
  <c r="M70" i="336" s="1"/>
  <c r="K67" i="336"/>
  <c r="J67" i="336"/>
  <c r="I67" i="336"/>
  <c r="H67" i="336"/>
  <c r="G67" i="336"/>
  <c r="E67" i="336"/>
  <c r="M66" i="336"/>
  <c r="L65" i="336"/>
  <c r="M65" i="336" s="1"/>
  <c r="L64" i="336"/>
  <c r="M64" i="336" s="1"/>
  <c r="K61" i="336"/>
  <c r="J61" i="336"/>
  <c r="I61" i="336"/>
  <c r="H61" i="336"/>
  <c r="G61" i="336"/>
  <c r="E61" i="336"/>
  <c r="L60" i="336"/>
  <c r="M60" i="336" s="1"/>
  <c r="L59" i="336"/>
  <c r="M59" i="336" s="1"/>
  <c r="K56" i="336"/>
  <c r="J56" i="336"/>
  <c r="I56" i="336"/>
  <c r="H56" i="336"/>
  <c r="G56" i="336"/>
  <c r="F56" i="336"/>
  <c r="E56" i="336"/>
  <c r="L55" i="336"/>
  <c r="M55" i="336" s="1"/>
  <c r="L54" i="336"/>
  <c r="M54" i="336" s="1"/>
  <c r="K51" i="336"/>
  <c r="J51" i="336"/>
  <c r="I51" i="336"/>
  <c r="H51" i="336"/>
  <c r="F51" i="336"/>
  <c r="E51" i="336"/>
  <c r="L50" i="336"/>
  <c r="L51" i="336" s="1"/>
  <c r="K47" i="336"/>
  <c r="J47" i="336"/>
  <c r="I47" i="336"/>
  <c r="H47" i="336"/>
  <c r="G47" i="336"/>
  <c r="E47" i="336"/>
  <c r="L46" i="336"/>
  <c r="M46" i="336" s="1"/>
  <c r="L45" i="336"/>
  <c r="M45" i="336" s="1"/>
  <c r="L44" i="336"/>
  <c r="M44" i="336" s="1"/>
  <c r="L43" i="336"/>
  <c r="M43" i="336" s="1"/>
  <c r="L42" i="336"/>
  <c r="M42" i="336" s="1"/>
  <c r="L41" i="336"/>
  <c r="M41" i="336" s="1"/>
  <c r="K38" i="336"/>
  <c r="J38" i="336"/>
  <c r="I38" i="336"/>
  <c r="H38" i="336"/>
  <c r="G38" i="336"/>
  <c r="F38" i="336"/>
  <c r="E38" i="336"/>
  <c r="L37" i="336"/>
  <c r="L38" i="336" s="1"/>
  <c r="K34" i="336"/>
  <c r="J34" i="336"/>
  <c r="I34" i="336"/>
  <c r="H34" i="336"/>
  <c r="G34" i="336"/>
  <c r="E34" i="336"/>
  <c r="L33" i="336"/>
  <c r="M33" i="336" s="1"/>
  <c r="L32" i="336"/>
  <c r="M32" i="336" s="1"/>
  <c r="L31" i="336"/>
  <c r="M31" i="336" s="1"/>
  <c r="L30" i="336"/>
  <c r="M30" i="336" s="1"/>
  <c r="K27" i="336"/>
  <c r="J27" i="336"/>
  <c r="I27" i="336"/>
  <c r="H27" i="336"/>
  <c r="G27" i="336"/>
  <c r="F27" i="336"/>
  <c r="E27" i="336"/>
  <c r="L26" i="336"/>
  <c r="M26" i="336" s="1"/>
  <c r="L25" i="336"/>
  <c r="M25" i="336" s="1"/>
  <c r="L24" i="336"/>
  <c r="L23" i="336"/>
  <c r="M23" i="336" s="1"/>
  <c r="M16" i="330"/>
  <c r="K15" i="333"/>
  <c r="L15" i="333" s="1"/>
  <c r="D16" i="333"/>
  <c r="D18" i="333" s="1"/>
  <c r="E16" i="333"/>
  <c r="E18" i="333" s="1"/>
  <c r="F16" i="333"/>
  <c r="F18" i="333" s="1"/>
  <c r="G16" i="333"/>
  <c r="G18" i="333" s="1"/>
  <c r="H16" i="333"/>
  <c r="H18" i="333" s="1"/>
  <c r="I16" i="333"/>
  <c r="J16" i="333"/>
  <c r="I18" i="333"/>
  <c r="J18" i="333"/>
  <c r="C241" i="335"/>
  <c r="K238" i="335"/>
  <c r="J238" i="335"/>
  <c r="I238" i="335"/>
  <c r="H238" i="335"/>
  <c r="G238" i="335"/>
  <c r="F238" i="335"/>
  <c r="E238" i="335"/>
  <c r="L237" i="335"/>
  <c r="M237" i="335" s="1"/>
  <c r="L236" i="335"/>
  <c r="M236" i="335" s="1"/>
  <c r="L235" i="335"/>
  <c r="M235" i="335" s="1"/>
  <c r="M234" i="335"/>
  <c r="M233" i="335"/>
  <c r="L233" i="335"/>
  <c r="M232" i="335"/>
  <c r="L232" i="335"/>
  <c r="L238" i="335" s="1"/>
  <c r="K229" i="335"/>
  <c r="J229" i="335"/>
  <c r="I229" i="335"/>
  <c r="H229" i="335"/>
  <c r="G229" i="335"/>
  <c r="F229" i="335"/>
  <c r="E229" i="335"/>
  <c r="M228" i="335"/>
  <c r="M227" i="335"/>
  <c r="L226" i="335"/>
  <c r="M226" i="335" s="1"/>
  <c r="L225" i="335"/>
  <c r="M225" i="335" s="1"/>
  <c r="L223" i="335"/>
  <c r="M223" i="335" s="1"/>
  <c r="L222" i="335"/>
  <c r="L229" i="335" s="1"/>
  <c r="K219" i="335"/>
  <c r="J219" i="335"/>
  <c r="I219" i="335"/>
  <c r="H219" i="335"/>
  <c r="G219" i="335"/>
  <c r="F219" i="335"/>
  <c r="E219" i="335"/>
  <c r="M218" i="335"/>
  <c r="L217" i="335"/>
  <c r="M217" i="335" s="1"/>
  <c r="L216" i="335"/>
  <c r="M216" i="335" s="1"/>
  <c r="L215" i="335"/>
  <c r="M215" i="335" s="1"/>
  <c r="L213" i="335"/>
  <c r="M213" i="335" s="1"/>
  <c r="L212" i="335"/>
  <c r="M212" i="335" s="1"/>
  <c r="L211" i="335"/>
  <c r="L219" i="335" s="1"/>
  <c r="L210" i="335"/>
  <c r="M210" i="335" s="1"/>
  <c r="K207" i="335"/>
  <c r="K239" i="335" s="1"/>
  <c r="J207" i="335"/>
  <c r="J239" i="335" s="1"/>
  <c r="I207" i="335"/>
  <c r="I239" i="335" s="1"/>
  <c r="H207" i="335"/>
  <c r="H239" i="335" s="1"/>
  <c r="G207" i="335"/>
  <c r="G239" i="335" s="1"/>
  <c r="F207" i="335"/>
  <c r="F239" i="335" s="1"/>
  <c r="E207" i="335"/>
  <c r="E239" i="335" s="1"/>
  <c r="M206" i="335"/>
  <c r="L205" i="335"/>
  <c r="M205" i="335" s="1"/>
  <c r="L204" i="335"/>
  <c r="M204" i="335" s="1"/>
  <c r="L203" i="335"/>
  <c r="M203" i="335" s="1"/>
  <c r="L202" i="335"/>
  <c r="M202" i="335" s="1"/>
  <c r="L201" i="335"/>
  <c r="M201" i="335" s="1"/>
  <c r="L199" i="335"/>
  <c r="M199" i="335" s="1"/>
  <c r="L198" i="335"/>
  <c r="M198" i="335" s="1"/>
  <c r="L197" i="335"/>
  <c r="M197" i="335" s="1"/>
  <c r="M196" i="335"/>
  <c r="M195" i="335"/>
  <c r="L195" i="335"/>
  <c r="M194" i="335"/>
  <c r="L194" i="335"/>
  <c r="L193" i="335"/>
  <c r="M193" i="335" s="1"/>
  <c r="K189" i="335"/>
  <c r="J189" i="335"/>
  <c r="I189" i="335"/>
  <c r="H189" i="335"/>
  <c r="G189" i="335"/>
  <c r="E189" i="335"/>
  <c r="M187" i="335"/>
  <c r="L187" i="335"/>
  <c r="L186" i="335"/>
  <c r="M186" i="335" s="1"/>
  <c r="M185" i="335"/>
  <c r="L185" i="335"/>
  <c r="L184" i="335"/>
  <c r="L189" i="335" s="1"/>
  <c r="K181" i="335"/>
  <c r="J181" i="335"/>
  <c r="I181" i="335"/>
  <c r="H181" i="335"/>
  <c r="G181" i="335"/>
  <c r="E181" i="335"/>
  <c r="M180" i="335"/>
  <c r="L180" i="335"/>
  <c r="L179" i="335"/>
  <c r="M179" i="335" s="1"/>
  <c r="M178" i="335"/>
  <c r="L178" i="335"/>
  <c r="L177" i="335"/>
  <c r="M177" i="335" s="1"/>
  <c r="M176" i="335"/>
  <c r="L176" i="335"/>
  <c r="L175" i="335"/>
  <c r="L181" i="335" s="1"/>
  <c r="K172" i="335"/>
  <c r="J172" i="335"/>
  <c r="I172" i="335"/>
  <c r="H172" i="335"/>
  <c r="G172" i="335"/>
  <c r="F172" i="335"/>
  <c r="E172" i="335"/>
  <c r="M171" i="335"/>
  <c r="L171" i="335"/>
  <c r="L170" i="335"/>
  <c r="L172" i="335" s="1"/>
  <c r="K167" i="335"/>
  <c r="J167" i="335"/>
  <c r="I167" i="335"/>
  <c r="H167" i="335"/>
  <c r="G167" i="335"/>
  <c r="E167" i="335"/>
  <c r="L166" i="335"/>
  <c r="M166" i="335" s="1"/>
  <c r="L165" i="335"/>
  <c r="L167" i="335" s="1"/>
  <c r="K162" i="335"/>
  <c r="J162" i="335"/>
  <c r="I162" i="335"/>
  <c r="H162" i="335"/>
  <c r="G162" i="335"/>
  <c r="F162" i="335"/>
  <c r="E162" i="335"/>
  <c r="L161" i="335"/>
  <c r="M161" i="335" s="1"/>
  <c r="M160" i="335"/>
  <c r="L160" i="335"/>
  <c r="L159" i="335"/>
  <c r="M159" i="335" s="1"/>
  <c r="M158" i="335"/>
  <c r="L158" i="335"/>
  <c r="L162" i="335" s="1"/>
  <c r="K155" i="335"/>
  <c r="J155" i="335"/>
  <c r="I155" i="335"/>
  <c r="H155" i="335"/>
  <c r="G155" i="335"/>
  <c r="F155" i="335"/>
  <c r="E155" i="335"/>
  <c r="L154" i="335"/>
  <c r="L155" i="335" s="1"/>
  <c r="K151" i="335"/>
  <c r="J151" i="335"/>
  <c r="I151" i="335"/>
  <c r="H151" i="335"/>
  <c r="G151" i="335"/>
  <c r="E151" i="335"/>
  <c r="M150" i="335"/>
  <c r="L150" i="335"/>
  <c r="L149" i="335"/>
  <c r="L151" i="335" s="1"/>
  <c r="K146" i="335"/>
  <c r="J146" i="335"/>
  <c r="I146" i="335"/>
  <c r="H146" i="335"/>
  <c r="G146" i="335"/>
  <c r="F146" i="335"/>
  <c r="E146" i="335"/>
  <c r="L145" i="335"/>
  <c r="M145" i="335" s="1"/>
  <c r="L144" i="335"/>
  <c r="M144" i="335" s="1"/>
  <c r="L143" i="335"/>
  <c r="L146" i="335" s="1"/>
  <c r="L140" i="335"/>
  <c r="K140" i="335"/>
  <c r="J140" i="335"/>
  <c r="I140" i="335"/>
  <c r="H140" i="335"/>
  <c r="G140" i="335"/>
  <c r="F140" i="335"/>
  <c r="E140" i="335"/>
  <c r="M139" i="335"/>
  <c r="L139" i="335"/>
  <c r="L138" i="335"/>
  <c r="M138" i="335" s="1"/>
  <c r="M137" i="335"/>
  <c r="L136" i="335"/>
  <c r="M136" i="335" s="1"/>
  <c r="M140" i="335" s="1"/>
  <c r="L133" i="335"/>
  <c r="K133" i="335"/>
  <c r="J133" i="335"/>
  <c r="I133" i="335"/>
  <c r="H133" i="335"/>
  <c r="G133" i="335"/>
  <c r="F133" i="335"/>
  <c r="E133" i="335"/>
  <c r="M132" i="335"/>
  <c r="L132" i="335"/>
  <c r="L131" i="335"/>
  <c r="M131" i="335" s="1"/>
  <c r="M130" i="335"/>
  <c r="M133" i="335" s="1"/>
  <c r="L130" i="335"/>
  <c r="K127" i="335"/>
  <c r="J127" i="335"/>
  <c r="I127" i="335"/>
  <c r="H127" i="335"/>
  <c r="G127" i="335"/>
  <c r="E127" i="335"/>
  <c r="L126" i="335"/>
  <c r="M126" i="335" s="1"/>
  <c r="M127" i="335" s="1"/>
  <c r="K123" i="335"/>
  <c r="J123" i="335"/>
  <c r="I123" i="335"/>
  <c r="H123" i="335"/>
  <c r="G123" i="335"/>
  <c r="F123" i="335"/>
  <c r="E123" i="335"/>
  <c r="L122" i="335"/>
  <c r="M122" i="335" s="1"/>
  <c r="M121" i="335"/>
  <c r="M120" i="335"/>
  <c r="L120" i="335"/>
  <c r="L119" i="335"/>
  <c r="M119" i="335" s="1"/>
  <c r="M118" i="335"/>
  <c r="L118" i="335"/>
  <c r="L123" i="335" s="1"/>
  <c r="K115" i="335"/>
  <c r="J115" i="335"/>
  <c r="I115" i="335"/>
  <c r="H115" i="335"/>
  <c r="G115" i="335"/>
  <c r="E115" i="335"/>
  <c r="L114" i="335"/>
  <c r="M114" i="335" s="1"/>
  <c r="M115" i="335" s="1"/>
  <c r="K111" i="335"/>
  <c r="J111" i="335"/>
  <c r="I111" i="335"/>
  <c r="H111" i="335"/>
  <c r="G111" i="335"/>
  <c r="E111" i="335"/>
  <c r="M110" i="335"/>
  <c r="L110" i="335"/>
  <c r="M109" i="335"/>
  <c r="L108" i="335"/>
  <c r="L111" i="335" s="1"/>
  <c r="K105" i="335"/>
  <c r="J105" i="335"/>
  <c r="I105" i="335"/>
  <c r="H105" i="335"/>
  <c r="G105" i="335"/>
  <c r="E105" i="335"/>
  <c r="L103" i="335"/>
  <c r="M103" i="335" s="1"/>
  <c r="M105" i="335" s="1"/>
  <c r="L100" i="335"/>
  <c r="K100" i="335"/>
  <c r="J100" i="335"/>
  <c r="I100" i="335"/>
  <c r="H100" i="335"/>
  <c r="G100" i="335"/>
  <c r="E100" i="335"/>
  <c r="M99" i="335"/>
  <c r="M98" i="335"/>
  <c r="L98" i="335"/>
  <c r="L97" i="335"/>
  <c r="M97" i="335" s="1"/>
  <c r="M100" i="335" s="1"/>
  <c r="K94" i="335"/>
  <c r="J94" i="335"/>
  <c r="I94" i="335"/>
  <c r="H94" i="335"/>
  <c r="G94" i="335"/>
  <c r="F94" i="335"/>
  <c r="E94" i="335"/>
  <c r="L93" i="335"/>
  <c r="M93" i="335" s="1"/>
  <c r="L92" i="335"/>
  <c r="L94" i="335" s="1"/>
  <c r="K89" i="335"/>
  <c r="J89" i="335"/>
  <c r="I89" i="335"/>
  <c r="H89" i="335"/>
  <c r="G89" i="335"/>
  <c r="E89" i="335"/>
  <c r="M88" i="335"/>
  <c r="L88" i="335"/>
  <c r="L87" i="335"/>
  <c r="M87" i="335" s="1"/>
  <c r="M86" i="335"/>
  <c r="L86" i="335"/>
  <c r="L85" i="335"/>
  <c r="M85" i="335" s="1"/>
  <c r="L84" i="335"/>
  <c r="M84" i="335" s="1"/>
  <c r="L83" i="335"/>
  <c r="M83" i="335" s="1"/>
  <c r="L82" i="335"/>
  <c r="M82" i="335" s="1"/>
  <c r="L81" i="335"/>
  <c r="M81" i="335" s="1"/>
  <c r="L80" i="335"/>
  <c r="M80" i="335" s="1"/>
  <c r="L79" i="335"/>
  <c r="M79" i="335" s="1"/>
  <c r="L78" i="335"/>
  <c r="M78" i="335" s="1"/>
  <c r="L77" i="335"/>
  <c r="L89" i="335" s="1"/>
  <c r="K74" i="335"/>
  <c r="J74" i="335"/>
  <c r="I74" i="335"/>
  <c r="H74" i="335"/>
  <c r="G74" i="335"/>
  <c r="F74" i="335"/>
  <c r="E74" i="335"/>
  <c r="L73" i="335"/>
  <c r="M73" i="335" s="1"/>
  <c r="M72" i="335"/>
  <c r="L72" i="335"/>
  <c r="L71" i="335"/>
  <c r="M71" i="335" s="1"/>
  <c r="M70" i="335"/>
  <c r="L70" i="335"/>
  <c r="L69" i="335"/>
  <c r="M69" i="335" s="1"/>
  <c r="M68" i="335"/>
  <c r="L68" i="335"/>
  <c r="L67" i="335"/>
  <c r="M67" i="335" s="1"/>
  <c r="M66" i="335"/>
  <c r="L66" i="335"/>
  <c r="L65" i="335"/>
  <c r="M65" i="335" s="1"/>
  <c r="M64" i="335"/>
  <c r="L64" i="335"/>
  <c r="L63" i="335"/>
  <c r="M63" i="335" s="1"/>
  <c r="M62" i="335"/>
  <c r="L62" i="335"/>
  <c r="L74" i="335" s="1"/>
  <c r="K59" i="335"/>
  <c r="J59" i="335"/>
  <c r="I59" i="335"/>
  <c r="H59" i="335"/>
  <c r="G59" i="335"/>
  <c r="E59" i="335"/>
  <c r="M58" i="335"/>
  <c r="L57" i="335"/>
  <c r="M57" i="335" s="1"/>
  <c r="M56" i="335"/>
  <c r="M59" i="335" s="1"/>
  <c r="L56" i="335"/>
  <c r="L59" i="335" s="1"/>
  <c r="K53" i="335"/>
  <c r="J53" i="335"/>
  <c r="I53" i="335"/>
  <c r="H53" i="335"/>
  <c r="G53" i="335"/>
  <c r="E53" i="335"/>
  <c r="L52" i="335"/>
  <c r="M52" i="335" s="1"/>
  <c r="L51" i="335"/>
  <c r="M51" i="335" s="1"/>
  <c r="L48" i="335"/>
  <c r="K48" i="335"/>
  <c r="J48" i="335"/>
  <c r="I48" i="335"/>
  <c r="H48" i="335"/>
  <c r="G48" i="335"/>
  <c r="F48" i="335"/>
  <c r="E48" i="335"/>
  <c r="M47" i="335"/>
  <c r="L47" i="335"/>
  <c r="L46" i="335"/>
  <c r="M46" i="335" s="1"/>
  <c r="M48" i="335" s="1"/>
  <c r="K43" i="335"/>
  <c r="J43" i="335"/>
  <c r="I43" i="335"/>
  <c r="H43" i="335"/>
  <c r="F43" i="335"/>
  <c r="E43" i="335"/>
  <c r="M42" i="335"/>
  <c r="M43" i="335" s="1"/>
  <c r="L42" i="335"/>
  <c r="L43" i="335" s="1"/>
  <c r="K39" i="335"/>
  <c r="J39" i="335"/>
  <c r="I39" i="335"/>
  <c r="H39" i="335"/>
  <c r="G39" i="335"/>
  <c r="E39" i="335"/>
  <c r="L38" i="335"/>
  <c r="M38" i="335" s="1"/>
  <c r="M37" i="335"/>
  <c r="L37" i="335"/>
  <c r="L36" i="335"/>
  <c r="M36" i="335" s="1"/>
  <c r="M35" i="335"/>
  <c r="L35" i="335"/>
  <c r="L34" i="335"/>
  <c r="M34" i="335" s="1"/>
  <c r="M33" i="335"/>
  <c r="M39" i="335" s="1"/>
  <c r="L33" i="335"/>
  <c r="L39" i="335" s="1"/>
  <c r="K30" i="335"/>
  <c r="J30" i="335"/>
  <c r="I30" i="335"/>
  <c r="H30" i="335"/>
  <c r="G30" i="335"/>
  <c r="F30" i="335"/>
  <c r="E30" i="335"/>
  <c r="L29" i="335"/>
  <c r="L30" i="335" s="1"/>
  <c r="K26" i="335"/>
  <c r="J26" i="335"/>
  <c r="I26" i="335"/>
  <c r="H26" i="335"/>
  <c r="G26" i="335"/>
  <c r="E26" i="335"/>
  <c r="L25" i="335"/>
  <c r="M25" i="335" s="1"/>
  <c r="L24" i="335"/>
  <c r="M24" i="335" s="1"/>
  <c r="L23" i="335"/>
  <c r="M23" i="335" s="1"/>
  <c r="L22" i="335"/>
  <c r="L26" i="335" s="1"/>
  <c r="K19" i="335"/>
  <c r="K241" i="335" s="1"/>
  <c r="J19" i="335"/>
  <c r="I19" i="335"/>
  <c r="I241" i="335" s="1"/>
  <c r="H19" i="335"/>
  <c r="G19" i="335"/>
  <c r="G241" i="335" s="1"/>
  <c r="F19" i="335"/>
  <c r="E19" i="335"/>
  <c r="E241" i="335" s="1"/>
  <c r="M18" i="335"/>
  <c r="L18" i="335"/>
  <c r="M17" i="335"/>
  <c r="L17" i="335"/>
  <c r="M16" i="335"/>
  <c r="L16" i="335"/>
  <c r="M15" i="335"/>
  <c r="M19" i="335" s="1"/>
  <c r="L15" i="335"/>
  <c r="L19" i="335" s="1"/>
  <c r="L24" i="345" l="1"/>
  <c r="J41" i="345"/>
  <c r="I41" i="345"/>
  <c r="G41" i="345"/>
  <c r="L20" i="345"/>
  <c r="M20" i="345" s="1"/>
  <c r="M41" i="345" s="1"/>
  <c r="L16" i="345"/>
  <c r="L41" i="345" s="1"/>
  <c r="H41" i="345"/>
  <c r="M24" i="345"/>
  <c r="E41" i="345"/>
  <c r="M26" i="344"/>
  <c r="M27" i="344" s="1"/>
  <c r="M14" i="344"/>
  <c r="M15" i="344"/>
  <c r="L23" i="344"/>
  <c r="M23" i="344" s="1"/>
  <c r="M18" i="344"/>
  <c r="P45" i="343"/>
  <c r="O45" i="343"/>
  <c r="L57" i="342"/>
  <c r="L242" i="342" s="1"/>
  <c r="P91" i="343"/>
  <c r="O91" i="343"/>
  <c r="O40" i="343"/>
  <c r="O68" i="343"/>
  <c r="P37" i="343"/>
  <c r="P40" i="343" s="1"/>
  <c r="P26" i="343"/>
  <c r="O26" i="343"/>
  <c r="M190" i="342"/>
  <c r="O58" i="343"/>
  <c r="O101" i="343"/>
  <c r="H172" i="343"/>
  <c r="N172" i="343"/>
  <c r="P94" i="343"/>
  <c r="P95" i="343" s="1"/>
  <c r="O62" i="343"/>
  <c r="O105" i="343"/>
  <c r="O148" i="343"/>
  <c r="P119" i="343"/>
  <c r="P19" i="343"/>
  <c r="P20" i="343" s="1"/>
  <c r="O115" i="343"/>
  <c r="O137" i="343"/>
  <c r="O171" i="343"/>
  <c r="P160" i="343"/>
  <c r="O160" i="343"/>
  <c r="P128" i="343"/>
  <c r="P137" i="343" s="1"/>
  <c r="K172" i="343"/>
  <c r="P163" i="343"/>
  <c r="P171" i="343" s="1"/>
  <c r="J172" i="343"/>
  <c r="P122" i="343"/>
  <c r="P123" i="343" s="1"/>
  <c r="M172" i="343"/>
  <c r="L172" i="343"/>
  <c r="P15" i="343"/>
  <c r="P16" i="343" s="1"/>
  <c r="O119" i="343"/>
  <c r="L190" i="342"/>
  <c r="M96" i="342"/>
  <c r="L101" i="342"/>
  <c r="M170" i="342"/>
  <c r="L32" i="342"/>
  <c r="L132" i="342"/>
  <c r="M151" i="342"/>
  <c r="J240" i="342"/>
  <c r="L128" i="342"/>
  <c r="M48" i="342"/>
  <c r="M165" i="342"/>
  <c r="E240" i="342"/>
  <c r="L139" i="342"/>
  <c r="M112" i="342"/>
  <c r="L63" i="342"/>
  <c r="L96" i="342"/>
  <c r="L146" i="342"/>
  <c r="L161" i="342"/>
  <c r="L165" i="342"/>
  <c r="L170" i="342"/>
  <c r="I240" i="342"/>
  <c r="L239" i="342"/>
  <c r="L25" i="342"/>
  <c r="L182" i="342"/>
  <c r="L220" i="342"/>
  <c r="M239" i="342"/>
  <c r="L79" i="342"/>
  <c r="G240" i="342"/>
  <c r="M42" i="342"/>
  <c r="M43" i="342" s="1"/>
  <c r="M66" i="342"/>
  <c r="M79" i="342" s="1"/>
  <c r="M92" i="342"/>
  <c r="M131" i="342"/>
  <c r="M132" i="342" s="1"/>
  <c r="H240" i="342"/>
  <c r="L230" i="342"/>
  <c r="M223" i="342"/>
  <c r="M230" i="342" s="1"/>
  <c r="P82" i="343"/>
  <c r="P56" i="343"/>
  <c r="P58" i="343" s="1"/>
  <c r="P65" i="343"/>
  <c r="P68" i="343" s="1"/>
  <c r="P98" i="343"/>
  <c r="P101" i="343" s="1"/>
  <c r="P108" i="343"/>
  <c r="P115" i="343" s="1"/>
  <c r="P140" i="343"/>
  <c r="P148" i="343" s="1"/>
  <c r="O82" i="343"/>
  <c r="P29" i="343"/>
  <c r="P30" i="343" s="1"/>
  <c r="P48" i="343"/>
  <c r="M39" i="342"/>
  <c r="M208" i="342"/>
  <c r="M28" i="342"/>
  <c r="M32" i="342" s="1"/>
  <c r="M52" i="342"/>
  <c r="M61" i="342"/>
  <c r="M63" i="342" s="1"/>
  <c r="M99" i="342"/>
  <c r="M101" i="342" s="1"/>
  <c r="M104" i="342"/>
  <c r="M106" i="342" s="1"/>
  <c r="M115" i="342"/>
  <c r="M116" i="342" s="1"/>
  <c r="L155" i="342"/>
  <c r="M160" i="342"/>
  <c r="M161" i="342" s="1"/>
  <c r="M177" i="342"/>
  <c r="M182" i="342" s="1"/>
  <c r="M211" i="342"/>
  <c r="M220" i="342" s="1"/>
  <c r="M21" i="342"/>
  <c r="M25" i="342" s="1"/>
  <c r="L48" i="342"/>
  <c r="M142" i="342"/>
  <c r="M146" i="342" s="1"/>
  <c r="L151" i="342"/>
  <c r="L39" i="342"/>
  <c r="L92" i="342"/>
  <c r="L112" i="342"/>
  <c r="M135" i="342"/>
  <c r="M139" i="342" s="1"/>
  <c r="L208" i="342"/>
  <c r="E39" i="341"/>
  <c r="M39" i="341"/>
  <c r="K39" i="341"/>
  <c r="K40" i="341" s="1"/>
  <c r="G39" i="341"/>
  <c r="G40" i="341" s="1"/>
  <c r="J39" i="341"/>
  <c r="J40" i="341" s="1"/>
  <c r="F39" i="341"/>
  <c r="F40" i="341" s="1"/>
  <c r="H40" i="341"/>
  <c r="E40" i="341"/>
  <c r="I39" i="341"/>
  <c r="I40" i="341" s="1"/>
  <c r="G41" i="339"/>
  <c r="M19" i="339"/>
  <c r="I41" i="339"/>
  <c r="E41" i="339"/>
  <c r="H41" i="339"/>
  <c r="L41" i="339"/>
  <c r="J41" i="339"/>
  <c r="M20" i="339"/>
  <c r="M24" i="339"/>
  <c r="L34" i="341"/>
  <c r="M40" i="341"/>
  <c r="M224" i="336"/>
  <c r="L224" i="336"/>
  <c r="L234" i="336"/>
  <c r="L243" i="336"/>
  <c r="L119" i="336"/>
  <c r="M212" i="336"/>
  <c r="H159" i="337"/>
  <c r="P108" i="337"/>
  <c r="P109" i="337" s="1"/>
  <c r="M159" i="337"/>
  <c r="L15" i="340"/>
  <c r="F18" i="340"/>
  <c r="M15" i="339"/>
  <c r="M16" i="339" s="1"/>
  <c r="M46" i="338"/>
  <c r="M23" i="338"/>
  <c r="L27" i="338"/>
  <c r="M27" i="338" s="1"/>
  <c r="M38" i="338"/>
  <c r="L42" i="338"/>
  <c r="M22" i="338"/>
  <c r="M37" i="338"/>
  <c r="M45" i="338"/>
  <c r="M42" i="338"/>
  <c r="O100" i="337"/>
  <c r="P93" i="337"/>
  <c r="P100" i="337" s="1"/>
  <c r="O50" i="337"/>
  <c r="P49" i="337"/>
  <c r="P60" i="337"/>
  <c r="O122" i="337"/>
  <c r="I157" i="337"/>
  <c r="I159" i="337" s="1"/>
  <c r="M157" i="337"/>
  <c r="P53" i="337"/>
  <c r="P54" i="337" s="1"/>
  <c r="P104" i="337"/>
  <c r="P105" i="337" s="1"/>
  <c r="P113" i="337"/>
  <c r="P122" i="337" s="1"/>
  <c r="J157" i="337"/>
  <c r="J159" i="337" s="1"/>
  <c r="N157" i="337"/>
  <c r="N159" i="337" s="1"/>
  <c r="O86" i="337"/>
  <c r="O133" i="337"/>
  <c r="K157" i="337"/>
  <c r="K159" i="337" s="1"/>
  <c r="O42" i="337"/>
  <c r="P28" i="337"/>
  <c r="P29" i="337" s="1"/>
  <c r="O60" i="337"/>
  <c r="P50" i="337"/>
  <c r="O77" i="337"/>
  <c r="P84" i="337"/>
  <c r="P86" i="337" s="1"/>
  <c r="P19" i="337"/>
  <c r="P20" i="337" s="1"/>
  <c r="O70" i="337"/>
  <c r="P74" i="337"/>
  <c r="P77" i="337" s="1"/>
  <c r="O145" i="337"/>
  <c r="O156" i="337"/>
  <c r="H157" i="337"/>
  <c r="L157" i="337"/>
  <c r="L159" i="337" s="1"/>
  <c r="P16" i="337"/>
  <c r="P70" i="337"/>
  <c r="O16" i="337"/>
  <c r="O25" i="337"/>
  <c r="P80" i="337"/>
  <c r="P81" i="337" s="1"/>
  <c r="P89" i="337"/>
  <c r="P90" i="337" s="1"/>
  <c r="P125" i="337"/>
  <c r="P133" i="337" s="1"/>
  <c r="P148" i="337"/>
  <c r="P156" i="337" s="1"/>
  <c r="P136" i="337"/>
  <c r="P145" i="337" s="1"/>
  <c r="L212" i="336"/>
  <c r="I244" i="336"/>
  <c r="I246" i="336" s="1"/>
  <c r="M61" i="336"/>
  <c r="L178" i="336"/>
  <c r="H246" i="336"/>
  <c r="L103" i="336"/>
  <c r="L83" i="336"/>
  <c r="M140" i="336"/>
  <c r="M56" i="336"/>
  <c r="L131" i="336"/>
  <c r="L27" i="336"/>
  <c r="M34" i="336"/>
  <c r="M67" i="336"/>
  <c r="M108" i="336"/>
  <c r="M126" i="336"/>
  <c r="M131" i="336" s="1"/>
  <c r="M147" i="336"/>
  <c r="L147" i="336"/>
  <c r="J244" i="336"/>
  <c r="J246" i="336" s="1"/>
  <c r="M50" i="336"/>
  <c r="M51" i="336" s="1"/>
  <c r="M71" i="336"/>
  <c r="M83" i="336" s="1"/>
  <c r="M176" i="336"/>
  <c r="M178" i="336" s="1"/>
  <c r="E244" i="336"/>
  <c r="E246" i="336" s="1"/>
  <c r="L56" i="336"/>
  <c r="L173" i="336"/>
  <c r="G244" i="336"/>
  <c r="G246" i="336" s="1"/>
  <c r="K244" i="336"/>
  <c r="K246" i="336" s="1"/>
  <c r="M47" i="336"/>
  <c r="L162" i="336"/>
  <c r="M161" i="336"/>
  <c r="M37" i="336"/>
  <c r="M38" i="336" s="1"/>
  <c r="L47" i="336"/>
  <c r="L98" i="336"/>
  <c r="L135" i="336"/>
  <c r="L187" i="336"/>
  <c r="M181" i="336"/>
  <c r="M187" i="336" s="1"/>
  <c r="L194" i="336"/>
  <c r="M194" i="336"/>
  <c r="M237" i="336"/>
  <c r="M243" i="336" s="1"/>
  <c r="L34" i="336"/>
  <c r="M116" i="336"/>
  <c r="M119" i="336" s="1"/>
  <c r="M24" i="336"/>
  <c r="M27" i="336" s="1"/>
  <c r="L61" i="336"/>
  <c r="L67" i="336"/>
  <c r="M86" i="336"/>
  <c r="M98" i="336" s="1"/>
  <c r="M101" i="336"/>
  <c r="M103" i="336" s="1"/>
  <c r="L108" i="336"/>
  <c r="L123" i="336"/>
  <c r="L140" i="336"/>
  <c r="L153" i="336"/>
  <c r="L158" i="336"/>
  <c r="M156" i="336"/>
  <c r="M158" i="336" s="1"/>
  <c r="L168" i="336"/>
  <c r="M165" i="336"/>
  <c r="M168" i="336" s="1"/>
  <c r="M173" i="336"/>
  <c r="L113" i="336"/>
  <c r="M150" i="336"/>
  <c r="M153" i="336" s="1"/>
  <c r="M227" i="336"/>
  <c r="M234" i="336" s="1"/>
  <c r="K16" i="333"/>
  <c r="F241" i="335"/>
  <c r="J241" i="335"/>
  <c r="M162" i="335"/>
  <c r="M74" i="335"/>
  <c r="M207" i="335"/>
  <c r="H241" i="335"/>
  <c r="M53" i="335"/>
  <c r="M123" i="335"/>
  <c r="M238" i="335"/>
  <c r="L53" i="335"/>
  <c r="L241" i="335" s="1"/>
  <c r="L207" i="335"/>
  <c r="L239" i="335" s="1"/>
  <c r="M22" i="335"/>
  <c r="M26" i="335" s="1"/>
  <c r="M29" i="335"/>
  <c r="M30" i="335" s="1"/>
  <c r="M77" i="335"/>
  <c r="M89" i="335" s="1"/>
  <c r="M92" i="335"/>
  <c r="M94" i="335" s="1"/>
  <c r="M108" i="335"/>
  <c r="M111" i="335" s="1"/>
  <c r="L115" i="335"/>
  <c r="L127" i="335"/>
  <c r="M165" i="335"/>
  <c r="M167" i="335" s="1"/>
  <c r="M170" i="335"/>
  <c r="M172" i="335" s="1"/>
  <c r="M211" i="335"/>
  <c r="M219" i="335" s="1"/>
  <c r="L105" i="335"/>
  <c r="M149" i="335"/>
  <c r="M151" i="335" s="1"/>
  <c r="M154" i="335"/>
  <c r="M175" i="335"/>
  <c r="M181" i="335" s="1"/>
  <c r="M184" i="335"/>
  <c r="M189" i="335" s="1"/>
  <c r="M143" i="335"/>
  <c r="M146" i="335" s="1"/>
  <c r="M222" i="335"/>
  <c r="M229" i="335" s="1"/>
  <c r="P172" i="343" l="1"/>
  <c r="O172" i="343"/>
  <c r="L240" i="342"/>
  <c r="M240" i="342"/>
  <c r="L39" i="341"/>
  <c r="L40" i="341" s="1"/>
  <c r="M41" i="339"/>
  <c r="O157" i="337"/>
  <c r="O159" i="337" s="1"/>
  <c r="P157" i="337"/>
  <c r="P159" i="337" s="1"/>
  <c r="L244" i="336"/>
  <c r="L246" i="336" s="1"/>
  <c r="M244" i="336"/>
  <c r="M246" i="336" s="1"/>
  <c r="K18" i="333"/>
  <c r="L16" i="333"/>
  <c r="L18" i="333" s="1"/>
  <c r="M241" i="335"/>
  <c r="M239" i="335"/>
  <c r="I146" i="329" l="1"/>
  <c r="J146" i="329"/>
  <c r="K146" i="329"/>
  <c r="L146" i="329"/>
  <c r="M146" i="329"/>
  <c r="N146" i="329"/>
  <c r="H146" i="329"/>
  <c r="I135" i="329"/>
  <c r="J135" i="329"/>
  <c r="K135" i="329"/>
  <c r="L135" i="329"/>
  <c r="M135" i="329"/>
  <c r="N135" i="329"/>
  <c r="H135" i="329"/>
  <c r="I123" i="329"/>
  <c r="J123" i="329"/>
  <c r="K123" i="329"/>
  <c r="L123" i="329"/>
  <c r="M123" i="329"/>
  <c r="N123" i="329"/>
  <c r="H123" i="329"/>
  <c r="I112" i="329"/>
  <c r="J112" i="329"/>
  <c r="K112" i="329"/>
  <c r="L112" i="329"/>
  <c r="M112" i="329"/>
  <c r="N112" i="329"/>
  <c r="H112" i="329"/>
  <c r="O142" i="329"/>
  <c r="P142" i="329" s="1"/>
  <c r="O144" i="329"/>
  <c r="P144" i="329" s="1"/>
  <c r="O143" i="329"/>
  <c r="P143" i="329" s="1"/>
  <c r="O141" i="329"/>
  <c r="P141" i="329" s="1"/>
  <c r="O145" i="329"/>
  <c r="P145" i="329" s="1"/>
  <c r="O140" i="329"/>
  <c r="P140" i="329" s="1"/>
  <c r="O139" i="329"/>
  <c r="P139" i="329" s="1"/>
  <c r="O138" i="329"/>
  <c r="P138" i="329" s="1"/>
  <c r="O132" i="329"/>
  <c r="P132" i="329" s="1"/>
  <c r="O131" i="329"/>
  <c r="P131" i="329" s="1"/>
  <c r="O133" i="329"/>
  <c r="P133" i="329" s="1"/>
  <c r="O130" i="329"/>
  <c r="P130" i="329" s="1"/>
  <c r="O129" i="329"/>
  <c r="P129" i="329" s="1"/>
  <c r="O134" i="329"/>
  <c r="P134" i="329" s="1"/>
  <c r="O128" i="329"/>
  <c r="P128" i="329" s="1"/>
  <c r="O127" i="329"/>
  <c r="P127" i="329" s="1"/>
  <c r="O126" i="329"/>
  <c r="P126" i="329" s="1"/>
  <c r="O122" i="329"/>
  <c r="P122" i="329" s="1"/>
  <c r="O121" i="329"/>
  <c r="P121" i="329" s="1"/>
  <c r="O120" i="329"/>
  <c r="P120" i="329" s="1"/>
  <c r="O119" i="329"/>
  <c r="P119" i="329" s="1"/>
  <c r="O118" i="329"/>
  <c r="P118" i="329" s="1"/>
  <c r="O117" i="329"/>
  <c r="P117" i="329" s="1"/>
  <c r="O116" i="329"/>
  <c r="P116" i="329" s="1"/>
  <c r="O115" i="329"/>
  <c r="P115" i="329" s="1"/>
  <c r="O107" i="329"/>
  <c r="P107" i="329" s="1"/>
  <c r="O111" i="329"/>
  <c r="P111" i="329" s="1"/>
  <c r="O110" i="329"/>
  <c r="P110" i="329" s="1"/>
  <c r="O109" i="329"/>
  <c r="P109" i="329" s="1"/>
  <c r="O108" i="329"/>
  <c r="P108" i="329" s="1"/>
  <c r="O106" i="329"/>
  <c r="P106" i="329" s="1"/>
  <c r="O105" i="329"/>
  <c r="P105" i="329" s="1"/>
  <c r="O37" i="329"/>
  <c r="P37" i="329" s="1"/>
  <c r="O33" i="329"/>
  <c r="P33" i="329" s="1"/>
  <c r="D41" i="332"/>
  <c r="M38" i="332"/>
  <c r="M39" i="332" s="1"/>
  <c r="H24" i="332"/>
  <c r="I24" i="332"/>
  <c r="J24" i="332"/>
  <c r="K24" i="332"/>
  <c r="G24" i="332"/>
  <c r="E24" i="332"/>
  <c r="L23" i="332"/>
  <c r="M23" i="332" s="1"/>
  <c r="J27" i="331"/>
  <c r="I27" i="331"/>
  <c r="H27" i="331"/>
  <c r="G27" i="331"/>
  <c r="E27" i="331"/>
  <c r="L26" i="331"/>
  <c r="L27" i="331" s="1"/>
  <c r="P97" i="329"/>
  <c r="O84" i="329"/>
  <c r="O85" i="329" s="1"/>
  <c r="N50" i="329"/>
  <c r="N85" i="329"/>
  <c r="L32" i="332"/>
  <c r="M32" i="332" s="1"/>
  <c r="L31" i="332"/>
  <c r="M31" i="332" s="1"/>
  <c r="L28" i="332"/>
  <c r="M28" i="332" s="1"/>
  <c r="L27" i="332"/>
  <c r="M27" i="332" s="1"/>
  <c r="K20" i="332"/>
  <c r="J20" i="332"/>
  <c r="I20" i="332"/>
  <c r="H20" i="332"/>
  <c r="G20" i="332"/>
  <c r="F20" i="332"/>
  <c r="E20" i="332"/>
  <c r="L19" i="332"/>
  <c r="M19" i="332" s="1"/>
  <c r="K16" i="332"/>
  <c r="J16" i="332"/>
  <c r="J41" i="332" s="1"/>
  <c r="I16" i="332"/>
  <c r="H16" i="332"/>
  <c r="G16" i="332"/>
  <c r="G41" i="332" s="1"/>
  <c r="F16" i="332"/>
  <c r="E16" i="332"/>
  <c r="L15" i="332"/>
  <c r="M15" i="332" s="1"/>
  <c r="M16" i="332" s="1"/>
  <c r="J60" i="331"/>
  <c r="I60" i="331"/>
  <c r="I62" i="331" s="1"/>
  <c r="H60" i="331"/>
  <c r="G60" i="331"/>
  <c r="E60" i="331"/>
  <c r="L59" i="331"/>
  <c r="L60" i="331" s="1"/>
  <c r="J56" i="331"/>
  <c r="I56" i="331"/>
  <c r="H56" i="331"/>
  <c r="G56" i="331"/>
  <c r="E56" i="331"/>
  <c r="L55" i="331"/>
  <c r="L56" i="331" s="1"/>
  <c r="J52" i="331"/>
  <c r="I52" i="331"/>
  <c r="H52" i="331"/>
  <c r="G52" i="331"/>
  <c r="E52" i="331"/>
  <c r="L51" i="331"/>
  <c r="M51" i="331" s="1"/>
  <c r="L50" i="331"/>
  <c r="J47" i="331"/>
  <c r="I47" i="331"/>
  <c r="H47" i="331"/>
  <c r="G47" i="331"/>
  <c r="E47" i="331"/>
  <c r="L46" i="331"/>
  <c r="M46" i="331" s="1"/>
  <c r="J43" i="331"/>
  <c r="I43" i="331"/>
  <c r="H43" i="331"/>
  <c r="G43" i="331"/>
  <c r="E43" i="331"/>
  <c r="L42" i="331"/>
  <c r="M42" i="331" s="1"/>
  <c r="J39" i="331"/>
  <c r="I39" i="331"/>
  <c r="H39" i="331"/>
  <c r="G39" i="331"/>
  <c r="E39" i="331"/>
  <c r="L38" i="331"/>
  <c r="L39" i="331" s="1"/>
  <c r="J31" i="331"/>
  <c r="I31" i="331"/>
  <c r="H31" i="331"/>
  <c r="G31" i="331"/>
  <c r="E31" i="331"/>
  <c r="L30" i="331"/>
  <c r="L31" i="331" s="1"/>
  <c r="J23" i="331"/>
  <c r="I23" i="331"/>
  <c r="H23" i="331"/>
  <c r="G23" i="331"/>
  <c r="E23" i="331"/>
  <c r="L22" i="331"/>
  <c r="L23" i="331" s="1"/>
  <c r="J33" i="330"/>
  <c r="H33" i="330"/>
  <c r="F33" i="330"/>
  <c r="K32" i="330"/>
  <c r="K33" i="330" s="1"/>
  <c r="J32" i="330"/>
  <c r="I32" i="330"/>
  <c r="I33" i="330" s="1"/>
  <c r="H32" i="330"/>
  <c r="G32" i="330"/>
  <c r="G33" i="330" s="1"/>
  <c r="E32" i="330"/>
  <c r="E33" i="330" s="1"/>
  <c r="L31" i="330"/>
  <c r="L30" i="330"/>
  <c r="L29" i="330"/>
  <c r="L28" i="330"/>
  <c r="L27" i="330"/>
  <c r="L26" i="330"/>
  <c r="L25" i="330"/>
  <c r="L24" i="330"/>
  <c r="L23" i="330"/>
  <c r="L22" i="330"/>
  <c r="L21" i="330"/>
  <c r="L20" i="330"/>
  <c r="L19" i="330"/>
  <c r="L18" i="330"/>
  <c r="L17" i="330"/>
  <c r="L32" i="330" s="1"/>
  <c r="L33" i="330" s="1"/>
  <c r="M32" i="330"/>
  <c r="M33" i="330" s="1"/>
  <c r="O104" i="329"/>
  <c r="P104" i="329" s="1"/>
  <c r="O103" i="329"/>
  <c r="P103" i="329" s="1"/>
  <c r="N99" i="329"/>
  <c r="M99" i="329"/>
  <c r="L99" i="329"/>
  <c r="K99" i="329"/>
  <c r="J99" i="329"/>
  <c r="H99" i="329"/>
  <c r="O98" i="329"/>
  <c r="O99" i="329" s="1"/>
  <c r="N94" i="329"/>
  <c r="M94" i="329"/>
  <c r="L94" i="329"/>
  <c r="K94" i="329"/>
  <c r="J94" i="329"/>
  <c r="I94" i="329"/>
  <c r="H94" i="329"/>
  <c r="O93" i="329"/>
  <c r="P93" i="329" s="1"/>
  <c r="O92" i="329"/>
  <c r="P92" i="329" s="1"/>
  <c r="O91" i="329"/>
  <c r="P91" i="329" s="1"/>
  <c r="O90" i="329"/>
  <c r="P90" i="329" s="1"/>
  <c r="O89" i="329"/>
  <c r="P89" i="329" s="1"/>
  <c r="O88" i="329"/>
  <c r="P88" i="329" s="1"/>
  <c r="N81" i="329"/>
  <c r="M81" i="329"/>
  <c r="L81" i="329"/>
  <c r="K81" i="329"/>
  <c r="J81" i="329"/>
  <c r="I81" i="329"/>
  <c r="H81" i="329"/>
  <c r="O80" i="329"/>
  <c r="P80" i="329" s="1"/>
  <c r="O79" i="329"/>
  <c r="P79" i="329" s="1"/>
  <c r="N76" i="329"/>
  <c r="M76" i="329"/>
  <c r="L76" i="329"/>
  <c r="K76" i="329"/>
  <c r="J76" i="329"/>
  <c r="I76" i="329"/>
  <c r="H76" i="329"/>
  <c r="O75" i="329"/>
  <c r="O76" i="329" s="1"/>
  <c r="N72" i="329"/>
  <c r="M72" i="329"/>
  <c r="L72" i="329"/>
  <c r="K72" i="329"/>
  <c r="J72" i="329"/>
  <c r="H72" i="329"/>
  <c r="O71" i="329"/>
  <c r="P71" i="329" s="1"/>
  <c r="O70" i="329"/>
  <c r="P70" i="329" s="1"/>
  <c r="O69" i="329"/>
  <c r="P69" i="329" s="1"/>
  <c r="P68" i="329"/>
  <c r="N65" i="329"/>
  <c r="M65" i="329"/>
  <c r="L65" i="329"/>
  <c r="K65" i="329"/>
  <c r="J65" i="329"/>
  <c r="H65" i="329"/>
  <c r="O63" i="329"/>
  <c r="P63" i="329" s="1"/>
  <c r="O62" i="329"/>
  <c r="P62" i="329" s="1"/>
  <c r="O61" i="329"/>
  <c r="P61" i="329" s="1"/>
  <c r="O60" i="329"/>
  <c r="P60" i="329" s="1"/>
  <c r="O59" i="329"/>
  <c r="P59" i="329" s="1"/>
  <c r="O58" i="329"/>
  <c r="N55" i="329"/>
  <c r="M55" i="329"/>
  <c r="L55" i="329"/>
  <c r="K55" i="329"/>
  <c r="J55" i="329"/>
  <c r="I55" i="329"/>
  <c r="H55" i="329"/>
  <c r="P54" i="329"/>
  <c r="O53" i="329"/>
  <c r="P53" i="329" s="1"/>
  <c r="M50" i="329"/>
  <c r="L50" i="329"/>
  <c r="K50" i="329"/>
  <c r="J50" i="329"/>
  <c r="I50" i="329"/>
  <c r="H50" i="329"/>
  <c r="O49" i="329"/>
  <c r="O50" i="329" s="1"/>
  <c r="N46" i="329"/>
  <c r="M46" i="329"/>
  <c r="L46" i="329"/>
  <c r="K46" i="329"/>
  <c r="J46" i="329"/>
  <c r="I46" i="329"/>
  <c r="H46" i="329"/>
  <c r="O45" i="329"/>
  <c r="P45" i="329" s="1"/>
  <c r="O44" i="329"/>
  <c r="P44" i="329" s="1"/>
  <c r="O32" i="329"/>
  <c r="P32" i="329" s="1"/>
  <c r="O36" i="329"/>
  <c r="P36" i="329" s="1"/>
  <c r="N29" i="329"/>
  <c r="M29" i="329"/>
  <c r="L29" i="329"/>
  <c r="K29" i="329"/>
  <c r="J29" i="329"/>
  <c r="H29" i="329"/>
  <c r="O28" i="329"/>
  <c r="O29" i="329" s="1"/>
  <c r="N25" i="329"/>
  <c r="M25" i="329"/>
  <c r="L25" i="329"/>
  <c r="K25" i="329"/>
  <c r="J25" i="329"/>
  <c r="H25" i="329"/>
  <c r="O24" i="329"/>
  <c r="P24" i="329" s="1"/>
  <c r="P25" i="329" s="1"/>
  <c r="N20" i="329"/>
  <c r="M20" i="329"/>
  <c r="L20" i="329"/>
  <c r="K20" i="329"/>
  <c r="J20" i="329"/>
  <c r="I20" i="329"/>
  <c r="H20" i="329"/>
  <c r="O19" i="329"/>
  <c r="O20" i="329" s="1"/>
  <c r="N16" i="329"/>
  <c r="M16" i="329"/>
  <c r="L16" i="329"/>
  <c r="K16" i="329"/>
  <c r="J16" i="329"/>
  <c r="H16" i="329"/>
  <c r="O15" i="329"/>
  <c r="P15" i="329" s="1"/>
  <c r="P14" i="329"/>
  <c r="G37" i="325"/>
  <c r="H37" i="325"/>
  <c r="I37" i="325"/>
  <c r="J37" i="325"/>
  <c r="L37" i="325"/>
  <c r="M37" i="325"/>
  <c r="E37" i="325"/>
  <c r="D37" i="325"/>
  <c r="L28" i="325"/>
  <c r="M28" i="325" s="1"/>
  <c r="L27" i="325"/>
  <c r="M27" i="325" s="1"/>
  <c r="H41" i="332" l="1"/>
  <c r="I41" i="332"/>
  <c r="E41" i="332"/>
  <c r="L24" i="332"/>
  <c r="M24" i="332" s="1"/>
  <c r="J62" i="331"/>
  <c r="H62" i="331"/>
  <c r="E62" i="331"/>
  <c r="G62" i="331"/>
  <c r="M26" i="331"/>
  <c r="M27" i="331"/>
  <c r="P123" i="329"/>
  <c r="N147" i="329"/>
  <c r="J147" i="329"/>
  <c r="J149" i="329" s="1"/>
  <c r="M147" i="329"/>
  <c r="K147" i="329"/>
  <c r="K149" i="329" s="1"/>
  <c r="L147" i="329"/>
  <c r="L149" i="329" s="1"/>
  <c r="P112" i="329"/>
  <c r="P146" i="329"/>
  <c r="H147" i="329"/>
  <c r="H149" i="329" s="1"/>
  <c r="I147" i="329"/>
  <c r="I149" i="329" s="1"/>
  <c r="N149" i="329"/>
  <c r="M149" i="329"/>
  <c r="P135" i="329"/>
  <c r="O146" i="329"/>
  <c r="O112" i="329"/>
  <c r="O135" i="329"/>
  <c r="O123" i="329"/>
  <c r="P81" i="329"/>
  <c r="O25" i="329"/>
  <c r="P98" i="329"/>
  <c r="P99" i="329" s="1"/>
  <c r="P94" i="329"/>
  <c r="P16" i="329"/>
  <c r="O55" i="329"/>
  <c r="P84" i="329"/>
  <c r="P85" i="329" s="1"/>
  <c r="L20" i="332"/>
  <c r="M20" i="332" s="1"/>
  <c r="M39" i="331"/>
  <c r="L43" i="331"/>
  <c r="L47" i="331"/>
  <c r="M47" i="331" s="1"/>
  <c r="M38" i="331"/>
  <c r="M31" i="331"/>
  <c r="L52" i="331"/>
  <c r="M56" i="331"/>
  <c r="M43" i="331"/>
  <c r="M50" i="331"/>
  <c r="M52" i="331" s="1"/>
  <c r="M22" i="331"/>
  <c r="M23" i="331"/>
  <c r="P49" i="329"/>
  <c r="P50" i="329" s="1"/>
  <c r="O65" i="329"/>
  <c r="P72" i="329"/>
  <c r="P19" i="329"/>
  <c r="P20" i="329" s="1"/>
  <c r="P75" i="329"/>
  <c r="P76" i="329" s="1"/>
  <c r="O46" i="329"/>
  <c r="P55" i="329"/>
  <c r="O81" i="329"/>
  <c r="O94" i="329"/>
  <c r="L16" i="332"/>
  <c r="M60" i="331"/>
  <c r="M59" i="331"/>
  <c r="M55" i="331"/>
  <c r="P46" i="329"/>
  <c r="O72" i="329"/>
  <c r="O16" i="329"/>
  <c r="P28" i="329"/>
  <c r="P29" i="329" s="1"/>
  <c r="P58" i="329"/>
  <c r="P65" i="329" s="1"/>
  <c r="M18" i="326"/>
  <c r="L18" i="326"/>
  <c r="L16" i="326"/>
  <c r="M16" i="326"/>
  <c r="M15" i="326"/>
  <c r="L15" i="326"/>
  <c r="I31" i="323"/>
  <c r="I32" i="323" s="1"/>
  <c r="J31" i="323"/>
  <c r="J32" i="323" s="1"/>
  <c r="K31" i="323"/>
  <c r="K32" i="323" s="1"/>
  <c r="L31" i="323"/>
  <c r="H31" i="323"/>
  <c r="F31" i="323"/>
  <c r="F32" i="323" s="1"/>
  <c r="M30" i="323"/>
  <c r="M29" i="323"/>
  <c r="I138" i="322"/>
  <c r="J138" i="322"/>
  <c r="K138" i="322"/>
  <c r="L138" i="322"/>
  <c r="M138" i="322"/>
  <c r="G138" i="322"/>
  <c r="G16" i="322"/>
  <c r="N33" i="322"/>
  <c r="O33" i="322"/>
  <c r="I224" i="321"/>
  <c r="I177" i="321"/>
  <c r="I19" i="321"/>
  <c r="I151" i="321"/>
  <c r="I158" i="321"/>
  <c r="I163" i="321"/>
  <c r="I168" i="321"/>
  <c r="I185" i="321"/>
  <c r="H185" i="321"/>
  <c r="J185" i="321"/>
  <c r="K185" i="321"/>
  <c r="M185" i="321"/>
  <c r="G185" i="321"/>
  <c r="E185" i="321"/>
  <c r="L120" i="321"/>
  <c r="M120" i="321" s="1"/>
  <c r="L98" i="321"/>
  <c r="M98" i="321" s="1"/>
  <c r="L48" i="321"/>
  <c r="M48" i="321" s="1"/>
  <c r="L146" i="321"/>
  <c r="M146" i="321" s="1"/>
  <c r="I18" i="327"/>
  <c r="H18" i="327"/>
  <c r="G18" i="327"/>
  <c r="K16" i="327"/>
  <c r="K18" i="327" s="1"/>
  <c r="J16" i="327"/>
  <c r="J18" i="327" s="1"/>
  <c r="I16" i="327"/>
  <c r="H16" i="327"/>
  <c r="G16" i="327"/>
  <c r="F16" i="327"/>
  <c r="F18" i="327" s="1"/>
  <c r="E16" i="327"/>
  <c r="E18" i="327" s="1"/>
  <c r="D16" i="327"/>
  <c r="D18" i="327" s="1"/>
  <c r="K15" i="327"/>
  <c r="L15" i="327" s="1"/>
  <c r="L24" i="325"/>
  <c r="M24" i="325" s="1"/>
  <c r="L23" i="325"/>
  <c r="M23" i="325" s="1"/>
  <c r="K20" i="325"/>
  <c r="J20" i="325"/>
  <c r="I20" i="325"/>
  <c r="H20" i="325"/>
  <c r="G20" i="325"/>
  <c r="F20" i="325"/>
  <c r="E20" i="325"/>
  <c r="L19" i="325"/>
  <c r="L20" i="325" s="1"/>
  <c r="K16" i="325"/>
  <c r="J16" i="325"/>
  <c r="I16" i="325"/>
  <c r="H16" i="325"/>
  <c r="G16" i="325"/>
  <c r="F16" i="325"/>
  <c r="E16" i="325"/>
  <c r="L15" i="325"/>
  <c r="L16" i="325" s="1"/>
  <c r="D58" i="324"/>
  <c r="J56" i="324"/>
  <c r="I56" i="324"/>
  <c r="H56" i="324"/>
  <c r="G56" i="324"/>
  <c r="E56" i="324"/>
  <c r="L55" i="324"/>
  <c r="L56" i="324" s="1"/>
  <c r="J52" i="324"/>
  <c r="I52" i="324"/>
  <c r="H52" i="324"/>
  <c r="G52" i="324"/>
  <c r="E52" i="324"/>
  <c r="L51" i="324"/>
  <c r="L52" i="324" s="1"/>
  <c r="J48" i="324"/>
  <c r="I48" i="324"/>
  <c r="H48" i="324"/>
  <c r="G48" i="324"/>
  <c r="E48" i="324"/>
  <c r="L47" i="324"/>
  <c r="M47" i="324" s="1"/>
  <c r="L46" i="324"/>
  <c r="M46" i="324" s="1"/>
  <c r="J43" i="324"/>
  <c r="I43" i="324"/>
  <c r="H43" i="324"/>
  <c r="G43" i="324"/>
  <c r="E43" i="324"/>
  <c r="L42" i="324"/>
  <c r="L43" i="324" s="1"/>
  <c r="J39" i="324"/>
  <c r="I39" i="324"/>
  <c r="H39" i="324"/>
  <c r="G39" i="324"/>
  <c r="E39" i="324"/>
  <c r="L38" i="324"/>
  <c r="L39" i="324" s="1"/>
  <c r="J35" i="324"/>
  <c r="I35" i="324"/>
  <c r="H35" i="324"/>
  <c r="G35" i="324"/>
  <c r="E35" i="324"/>
  <c r="L34" i="324"/>
  <c r="L35" i="324" s="1"/>
  <c r="J27" i="324"/>
  <c r="I27" i="324"/>
  <c r="H27" i="324"/>
  <c r="G27" i="324"/>
  <c r="E27" i="324"/>
  <c r="L26" i="324"/>
  <c r="L27" i="324" s="1"/>
  <c r="J23" i="324"/>
  <c r="I23" i="324"/>
  <c r="H23" i="324"/>
  <c r="G23" i="324"/>
  <c r="E23" i="324"/>
  <c r="L22" i="324"/>
  <c r="L23" i="324" s="1"/>
  <c r="G32" i="323"/>
  <c r="M28" i="323"/>
  <c r="M27" i="323"/>
  <c r="M26" i="323"/>
  <c r="M25" i="323"/>
  <c r="M24" i="323"/>
  <c r="M23" i="323"/>
  <c r="M22" i="323"/>
  <c r="M21" i="323"/>
  <c r="M20" i="323"/>
  <c r="M19" i="323"/>
  <c r="M18" i="323"/>
  <c r="M17" i="323"/>
  <c r="M16" i="323"/>
  <c r="N15" i="323"/>
  <c r="N31" i="323" s="1"/>
  <c r="C138" i="322"/>
  <c r="M136" i="322"/>
  <c r="L136" i="322"/>
  <c r="K136" i="322"/>
  <c r="J136" i="322"/>
  <c r="I136" i="322"/>
  <c r="G136" i="322"/>
  <c r="O135" i="322"/>
  <c r="N135" i="322"/>
  <c r="O134" i="322"/>
  <c r="N134" i="322"/>
  <c r="N133" i="322"/>
  <c r="O133" i="322" s="1"/>
  <c r="O132" i="322"/>
  <c r="N132" i="322"/>
  <c r="O131" i="322"/>
  <c r="N131" i="322"/>
  <c r="N130" i="322"/>
  <c r="O130" i="322" s="1"/>
  <c r="O129" i="322"/>
  <c r="N129" i="322"/>
  <c r="O128" i="322"/>
  <c r="N128" i="322"/>
  <c r="N127" i="322"/>
  <c r="O127" i="322" s="1"/>
  <c r="O126" i="322"/>
  <c r="N126" i="322"/>
  <c r="O125" i="322"/>
  <c r="N125" i="322"/>
  <c r="N124" i="322"/>
  <c r="O124" i="322" s="1"/>
  <c r="O123" i="322"/>
  <c r="N123" i="322"/>
  <c r="O122" i="322"/>
  <c r="N122" i="322"/>
  <c r="N121" i="322"/>
  <c r="O121" i="322" s="1"/>
  <c r="O120" i="322"/>
  <c r="N120" i="322"/>
  <c r="O119" i="322"/>
  <c r="N119" i="322"/>
  <c r="N118" i="322"/>
  <c r="O118" i="322" s="1"/>
  <c r="O117" i="322"/>
  <c r="N117" i="322"/>
  <c r="O116" i="322"/>
  <c r="N116" i="322"/>
  <c r="N115" i="322"/>
  <c r="O115" i="322" s="1"/>
  <c r="O114" i="322"/>
  <c r="N114" i="322"/>
  <c r="O113" i="322"/>
  <c r="N113" i="322"/>
  <c r="N112" i="322"/>
  <c r="O112" i="322" s="1"/>
  <c r="O111" i="322"/>
  <c r="N111" i="322"/>
  <c r="O110" i="322"/>
  <c r="N110" i="322"/>
  <c r="N109" i="322"/>
  <c r="O109" i="322" s="1"/>
  <c r="O108" i="322"/>
  <c r="N108" i="322"/>
  <c r="O107" i="322"/>
  <c r="N107" i="322"/>
  <c r="N106" i="322"/>
  <c r="O106" i="322" s="1"/>
  <c r="O105" i="322"/>
  <c r="N105" i="322"/>
  <c r="O104" i="322"/>
  <c r="N104" i="322"/>
  <c r="N103" i="322"/>
  <c r="O103" i="322" s="1"/>
  <c r="O102" i="322"/>
  <c r="N102" i="322"/>
  <c r="M99" i="322"/>
  <c r="L99" i="322"/>
  <c r="K99" i="322"/>
  <c r="J99" i="322"/>
  <c r="I99" i="322"/>
  <c r="G99" i="322"/>
  <c r="N98" i="322"/>
  <c r="N99" i="322" s="1"/>
  <c r="O97" i="322"/>
  <c r="M94" i="322"/>
  <c r="L94" i="322"/>
  <c r="K94" i="322"/>
  <c r="J94" i="322"/>
  <c r="I94" i="322"/>
  <c r="H94" i="322"/>
  <c r="G94" i="322"/>
  <c r="N93" i="322"/>
  <c r="O93" i="322" s="1"/>
  <c r="O92" i="322"/>
  <c r="N92" i="322"/>
  <c r="O91" i="322"/>
  <c r="N91" i="322"/>
  <c r="N90" i="322"/>
  <c r="N94" i="322" s="1"/>
  <c r="O89" i="322"/>
  <c r="N89" i="322"/>
  <c r="O88" i="322"/>
  <c r="N88" i="322"/>
  <c r="N81" i="322"/>
  <c r="M81" i="322"/>
  <c r="L81" i="322"/>
  <c r="K81" i="322"/>
  <c r="J81" i="322"/>
  <c r="I81" i="322"/>
  <c r="H81" i="322"/>
  <c r="G81" i="322"/>
  <c r="N80" i="322"/>
  <c r="O80" i="322" s="1"/>
  <c r="N79" i="322"/>
  <c r="O79" i="322" s="1"/>
  <c r="O76" i="322"/>
  <c r="N76" i="322"/>
  <c r="M76" i="322"/>
  <c r="L76" i="322"/>
  <c r="K76" i="322"/>
  <c r="J76" i="322"/>
  <c r="I76" i="322"/>
  <c r="H76" i="322"/>
  <c r="G76" i="322"/>
  <c r="O75" i="322"/>
  <c r="N75" i="322"/>
  <c r="M72" i="322"/>
  <c r="L72" i="322"/>
  <c r="K72" i="322"/>
  <c r="J72" i="322"/>
  <c r="I72" i="322"/>
  <c r="G72" i="322"/>
  <c r="O71" i="322"/>
  <c r="N71" i="322"/>
  <c r="O70" i="322"/>
  <c r="N70" i="322"/>
  <c r="N69" i="322"/>
  <c r="N72" i="322" s="1"/>
  <c r="O68" i="322"/>
  <c r="M65" i="322"/>
  <c r="L65" i="322"/>
  <c r="K65" i="322"/>
  <c r="J65" i="322"/>
  <c r="I65" i="322"/>
  <c r="G65" i="322"/>
  <c r="N63" i="322"/>
  <c r="O63" i="322" s="1"/>
  <c r="N62" i="322"/>
  <c r="O62" i="322" s="1"/>
  <c r="N61" i="322"/>
  <c r="O61" i="322" s="1"/>
  <c r="N60" i="322"/>
  <c r="O60" i="322" s="1"/>
  <c r="N59" i="322"/>
  <c r="O59" i="322" s="1"/>
  <c r="N58" i="322"/>
  <c r="O58" i="322" s="1"/>
  <c r="N57" i="322"/>
  <c r="O57" i="322" s="1"/>
  <c r="N54" i="322"/>
  <c r="M54" i="322"/>
  <c r="L54" i="322"/>
  <c r="K54" i="322"/>
  <c r="J54" i="322"/>
  <c r="I54" i="322"/>
  <c r="H54" i="322"/>
  <c r="G54" i="322"/>
  <c r="O53" i="322"/>
  <c r="N52" i="322"/>
  <c r="O52" i="322" s="1"/>
  <c r="O54" i="322" s="1"/>
  <c r="O49" i="322"/>
  <c r="N49" i="322"/>
  <c r="M49" i="322"/>
  <c r="L49" i="322"/>
  <c r="K49" i="322"/>
  <c r="J49" i="322"/>
  <c r="I49" i="322"/>
  <c r="H49" i="322"/>
  <c r="G49" i="322"/>
  <c r="O48" i="322"/>
  <c r="N48" i="322"/>
  <c r="N45" i="322"/>
  <c r="M45" i="322"/>
  <c r="L45" i="322"/>
  <c r="K45" i="322"/>
  <c r="J45" i="322"/>
  <c r="I45" i="322"/>
  <c r="H45" i="322"/>
  <c r="G45" i="322"/>
  <c r="N44" i="322"/>
  <c r="O44" i="322" s="1"/>
  <c r="N43" i="322"/>
  <c r="O43" i="322" s="1"/>
  <c r="O45" i="322" s="1"/>
  <c r="N36" i="322"/>
  <c r="O36" i="322" s="1"/>
  <c r="O138" i="322" s="1"/>
  <c r="N35" i="322"/>
  <c r="O35" i="322" s="1"/>
  <c r="N32" i="322"/>
  <c r="O32" i="322" s="1"/>
  <c r="M29" i="322"/>
  <c r="L29" i="322"/>
  <c r="K29" i="322"/>
  <c r="J29" i="322"/>
  <c r="I29" i="322"/>
  <c r="G29" i="322"/>
  <c r="N28" i="322"/>
  <c r="N29" i="322" s="1"/>
  <c r="O25" i="322"/>
  <c r="M25" i="322"/>
  <c r="L25" i="322"/>
  <c r="K25" i="322"/>
  <c r="J25" i="322"/>
  <c r="I25" i="322"/>
  <c r="G25" i="322"/>
  <c r="O24" i="322"/>
  <c r="N24" i="322"/>
  <c r="N25" i="322" s="1"/>
  <c r="N20" i="322"/>
  <c r="M20" i="322"/>
  <c r="L20" i="322"/>
  <c r="K20" i="322"/>
  <c r="J20" i="322"/>
  <c r="I20" i="322"/>
  <c r="H20" i="322"/>
  <c r="G20" i="322"/>
  <c r="N19" i="322"/>
  <c r="O19" i="322" s="1"/>
  <c r="O20" i="322" s="1"/>
  <c r="M16" i="322"/>
  <c r="L16" i="322"/>
  <c r="K16" i="322"/>
  <c r="J16" i="322"/>
  <c r="I16" i="322"/>
  <c r="N15" i="322"/>
  <c r="O15" i="322" s="1"/>
  <c r="O14" i="322"/>
  <c r="O16" i="322" s="1"/>
  <c r="C226" i="321"/>
  <c r="K224" i="321"/>
  <c r="J224" i="321"/>
  <c r="H224" i="321"/>
  <c r="G224" i="321"/>
  <c r="E224" i="321"/>
  <c r="M223" i="321"/>
  <c r="M222" i="321"/>
  <c r="M221" i="321"/>
  <c r="M220" i="321"/>
  <c r="L219" i="321"/>
  <c r="M219" i="321" s="1"/>
  <c r="L218" i="321"/>
  <c r="M218" i="321" s="1"/>
  <c r="L217" i="321"/>
  <c r="M217" i="321" s="1"/>
  <c r="L216" i="321"/>
  <c r="M216" i="321" s="1"/>
  <c r="L215" i="321"/>
  <c r="M215" i="321" s="1"/>
  <c r="L214" i="321"/>
  <c r="M214" i="321" s="1"/>
  <c r="L213" i="321"/>
  <c r="M213" i="321" s="1"/>
  <c r="L212" i="321"/>
  <c r="M212" i="321" s="1"/>
  <c r="L211" i="321"/>
  <c r="M211" i="321" s="1"/>
  <c r="L210" i="321"/>
  <c r="M210" i="321" s="1"/>
  <c r="L209" i="321"/>
  <c r="M209" i="321" s="1"/>
  <c r="L208" i="321"/>
  <c r="M208" i="321" s="1"/>
  <c r="L207" i="321"/>
  <c r="M207" i="321" s="1"/>
  <c r="L203" i="321"/>
  <c r="M203" i="321" s="1"/>
  <c r="L202" i="321"/>
  <c r="M202" i="321" s="1"/>
  <c r="M201" i="321"/>
  <c r="L200" i="321"/>
  <c r="M200" i="321" s="1"/>
  <c r="L199" i="321"/>
  <c r="M199" i="321" s="1"/>
  <c r="L198" i="321"/>
  <c r="M198" i="321" s="1"/>
  <c r="L197" i="321"/>
  <c r="M197" i="321" s="1"/>
  <c r="L196" i="321"/>
  <c r="M196" i="321" s="1"/>
  <c r="L195" i="321"/>
  <c r="M195" i="321" s="1"/>
  <c r="L194" i="321"/>
  <c r="M194" i="321" s="1"/>
  <c r="M193" i="321"/>
  <c r="L192" i="321"/>
  <c r="M192" i="321" s="1"/>
  <c r="L191" i="321"/>
  <c r="M191" i="321" s="1"/>
  <c r="L190" i="321"/>
  <c r="M190" i="321" s="1"/>
  <c r="L189" i="321"/>
  <c r="M189" i="321" s="1"/>
  <c r="L188" i="321"/>
  <c r="M188" i="321" s="1"/>
  <c r="L183" i="321"/>
  <c r="M183" i="321" s="1"/>
  <c r="L182" i="321"/>
  <c r="M182" i="321" s="1"/>
  <c r="L181" i="321"/>
  <c r="M181" i="321" s="1"/>
  <c r="L180" i="321"/>
  <c r="M180" i="321" s="1"/>
  <c r="K177" i="321"/>
  <c r="J177" i="321"/>
  <c r="H177" i="321"/>
  <c r="G177" i="321"/>
  <c r="E177" i="321"/>
  <c r="L176" i="321"/>
  <c r="M176" i="321" s="1"/>
  <c r="L175" i="321"/>
  <c r="M175" i="321" s="1"/>
  <c r="L174" i="321"/>
  <c r="M174" i="321" s="1"/>
  <c r="L173" i="321"/>
  <c r="M173" i="321" s="1"/>
  <c r="L172" i="321"/>
  <c r="M172" i="321" s="1"/>
  <c r="L171" i="321"/>
  <c r="M171" i="321" s="1"/>
  <c r="K168" i="321"/>
  <c r="J168" i="321"/>
  <c r="H168" i="321"/>
  <c r="G168" i="321"/>
  <c r="F168" i="321"/>
  <c r="E168" i="321"/>
  <c r="L167" i="321"/>
  <c r="M167" i="321" s="1"/>
  <c r="L166" i="321"/>
  <c r="M166" i="321" s="1"/>
  <c r="K163" i="321"/>
  <c r="J163" i="321"/>
  <c r="H163" i="321"/>
  <c r="G163" i="321"/>
  <c r="E163" i="321"/>
  <c r="L162" i="321"/>
  <c r="M162" i="321" s="1"/>
  <c r="L161" i="321"/>
  <c r="M161" i="321" s="1"/>
  <c r="K158" i="321"/>
  <c r="J158" i="321"/>
  <c r="H158" i="321"/>
  <c r="G158" i="321"/>
  <c r="F158" i="321"/>
  <c r="E158" i="321"/>
  <c r="L157" i="321"/>
  <c r="M157" i="321" s="1"/>
  <c r="L156" i="321"/>
  <c r="M156" i="321" s="1"/>
  <c r="L155" i="321"/>
  <c r="M155" i="321" s="1"/>
  <c r="L154" i="321"/>
  <c r="M154" i="321" s="1"/>
  <c r="K151" i="321"/>
  <c r="J151" i="321"/>
  <c r="H151" i="321"/>
  <c r="G151" i="321"/>
  <c r="F151" i="321"/>
  <c r="E151" i="321"/>
  <c r="L150" i="321"/>
  <c r="L151" i="321" s="1"/>
  <c r="K147" i="321"/>
  <c r="J147" i="321"/>
  <c r="I147" i="321"/>
  <c r="H147" i="321"/>
  <c r="G147" i="321"/>
  <c r="E147" i="321"/>
  <c r="L145" i="321"/>
  <c r="M145" i="321" s="1"/>
  <c r="K142" i="321"/>
  <c r="J142" i="321"/>
  <c r="I142" i="321"/>
  <c r="H142" i="321"/>
  <c r="G142" i="321"/>
  <c r="F142" i="321"/>
  <c r="E142" i="321"/>
  <c r="L141" i="321"/>
  <c r="M141" i="321" s="1"/>
  <c r="L140" i="321"/>
  <c r="M140" i="321" s="1"/>
  <c r="L139" i="321"/>
  <c r="K136" i="321"/>
  <c r="J136" i="321"/>
  <c r="I136" i="321"/>
  <c r="H136" i="321"/>
  <c r="G136" i="321"/>
  <c r="F136" i="321"/>
  <c r="E136" i="321"/>
  <c r="L135" i="321"/>
  <c r="M135" i="321" s="1"/>
  <c r="L134" i="321"/>
  <c r="M134" i="321" s="1"/>
  <c r="M133" i="321"/>
  <c r="L132" i="321"/>
  <c r="M132" i="321" s="1"/>
  <c r="K129" i="321"/>
  <c r="J129" i="321"/>
  <c r="I129" i="321"/>
  <c r="H129" i="321"/>
  <c r="G129" i="321"/>
  <c r="F129" i="321"/>
  <c r="E129" i="321"/>
  <c r="L128" i="321"/>
  <c r="M128" i="321" s="1"/>
  <c r="L127" i="321"/>
  <c r="M127" i="321" s="1"/>
  <c r="L126" i="321"/>
  <c r="K123" i="321"/>
  <c r="J123" i="321"/>
  <c r="I123" i="321"/>
  <c r="H123" i="321"/>
  <c r="G123" i="321"/>
  <c r="F123" i="321"/>
  <c r="E123" i="321"/>
  <c r="L122" i="321"/>
  <c r="M122" i="321" s="1"/>
  <c r="M121" i="321"/>
  <c r="L119" i="321"/>
  <c r="M119" i="321" s="1"/>
  <c r="L118" i="321"/>
  <c r="M118" i="321" s="1"/>
  <c r="L117" i="321"/>
  <c r="M117" i="321" s="1"/>
  <c r="K114" i="321"/>
  <c r="J114" i="321"/>
  <c r="I114" i="321"/>
  <c r="H114" i="321"/>
  <c r="G114" i="321"/>
  <c r="E114" i="321"/>
  <c r="L113" i="321"/>
  <c r="L114" i="321" s="1"/>
  <c r="K110" i="321"/>
  <c r="J110" i="321"/>
  <c r="I110" i="321"/>
  <c r="H110" i="321"/>
  <c r="G110" i="321"/>
  <c r="E110" i="321"/>
  <c r="L109" i="321"/>
  <c r="L110" i="321" s="1"/>
  <c r="M108" i="321"/>
  <c r="K105" i="321"/>
  <c r="J105" i="321"/>
  <c r="H105" i="321"/>
  <c r="G105" i="321"/>
  <c r="E105" i="321"/>
  <c r="L104" i="321"/>
  <c r="L105" i="321" s="1"/>
  <c r="K101" i="321"/>
  <c r="J101" i="321"/>
  <c r="I101" i="321"/>
  <c r="H101" i="321"/>
  <c r="G101" i="321"/>
  <c r="E101" i="321"/>
  <c r="M100" i="321"/>
  <c r="L99" i="321"/>
  <c r="M99" i="321" s="1"/>
  <c r="L97" i="321"/>
  <c r="K94" i="321"/>
  <c r="J94" i="321"/>
  <c r="I94" i="321"/>
  <c r="H94" i="321"/>
  <c r="G94" i="321"/>
  <c r="F94" i="321"/>
  <c r="E94" i="321"/>
  <c r="L93" i="321"/>
  <c r="M93" i="321" s="1"/>
  <c r="L92" i="321"/>
  <c r="M92" i="321" s="1"/>
  <c r="K89" i="321"/>
  <c r="J89" i="321"/>
  <c r="I89" i="321"/>
  <c r="H89" i="321"/>
  <c r="G89" i="321"/>
  <c r="E89" i="321"/>
  <c r="L88" i="321"/>
  <c r="M88" i="321" s="1"/>
  <c r="L87" i="321"/>
  <c r="M87" i="321" s="1"/>
  <c r="L86" i="321"/>
  <c r="M86" i="321" s="1"/>
  <c r="L85" i="321"/>
  <c r="M85" i="321" s="1"/>
  <c r="L84" i="321"/>
  <c r="M84" i="321" s="1"/>
  <c r="L83" i="321"/>
  <c r="M83" i="321" s="1"/>
  <c r="L82" i="321"/>
  <c r="M82" i="321" s="1"/>
  <c r="L81" i="321"/>
  <c r="M81" i="321" s="1"/>
  <c r="L80" i="321"/>
  <c r="M80" i="321" s="1"/>
  <c r="L79" i="321"/>
  <c r="M79" i="321" s="1"/>
  <c r="L78" i="321"/>
  <c r="M78" i="321" s="1"/>
  <c r="L77" i="321"/>
  <c r="M77" i="321" s="1"/>
  <c r="K74" i="321"/>
  <c r="J74" i="321"/>
  <c r="I74" i="321"/>
  <c r="H74" i="321"/>
  <c r="G74" i="321"/>
  <c r="F74" i="321"/>
  <c r="E74" i="321"/>
  <c r="L73" i="321"/>
  <c r="M73" i="321" s="1"/>
  <c r="L66" i="321"/>
  <c r="M66" i="321" s="1"/>
  <c r="L72" i="321"/>
  <c r="M72" i="321" s="1"/>
  <c r="L71" i="321"/>
  <c r="M71" i="321" s="1"/>
  <c r="L70" i="321"/>
  <c r="M70" i="321" s="1"/>
  <c r="L69" i="321"/>
  <c r="M69" i="321" s="1"/>
  <c r="L68" i="321"/>
  <c r="M68" i="321" s="1"/>
  <c r="L67" i="321"/>
  <c r="M67" i="321" s="1"/>
  <c r="L65" i="321"/>
  <c r="M65" i="321" s="1"/>
  <c r="L64" i="321"/>
  <c r="M64" i="321" s="1"/>
  <c r="L63" i="321"/>
  <c r="M63" i="321" s="1"/>
  <c r="L62" i="321"/>
  <c r="K59" i="321"/>
  <c r="J59" i="321"/>
  <c r="I59" i="321"/>
  <c r="H59" i="321"/>
  <c r="G59" i="321"/>
  <c r="F59" i="321"/>
  <c r="E59" i="321"/>
  <c r="M58" i="321"/>
  <c r="L57" i="321"/>
  <c r="M57" i="321" s="1"/>
  <c r="L56" i="321"/>
  <c r="M56" i="321" s="1"/>
  <c r="K53" i="321"/>
  <c r="J53" i="321"/>
  <c r="I53" i="321"/>
  <c r="H53" i="321"/>
  <c r="G53" i="321"/>
  <c r="F53" i="321"/>
  <c r="E53" i="321"/>
  <c r="L52" i="321"/>
  <c r="L53" i="321" s="1"/>
  <c r="K49" i="321"/>
  <c r="J49" i="321"/>
  <c r="I49" i="321"/>
  <c r="H49" i="321"/>
  <c r="G49" i="321"/>
  <c r="F49" i="321"/>
  <c r="E49" i="321"/>
  <c r="L47" i="321"/>
  <c r="M47" i="321" s="1"/>
  <c r="K44" i="321"/>
  <c r="J44" i="321"/>
  <c r="I44" i="321"/>
  <c r="H44" i="321"/>
  <c r="F44" i="321"/>
  <c r="E44" i="321"/>
  <c r="L43" i="321"/>
  <c r="M43" i="321" s="1"/>
  <c r="M44" i="321" s="1"/>
  <c r="K40" i="321"/>
  <c r="J40" i="321"/>
  <c r="I40" i="321"/>
  <c r="H40" i="321"/>
  <c r="G40" i="321"/>
  <c r="E40" i="321"/>
  <c r="L39" i="321"/>
  <c r="M39" i="321" s="1"/>
  <c r="L38" i="321"/>
  <c r="M38" i="321" s="1"/>
  <c r="L37" i="321"/>
  <c r="M37" i="321" s="1"/>
  <c r="L36" i="321"/>
  <c r="M36" i="321" s="1"/>
  <c r="L35" i="321"/>
  <c r="M35" i="321" s="1"/>
  <c r="L34" i="321"/>
  <c r="M34" i="321" s="1"/>
  <c r="L33" i="321"/>
  <c r="M33" i="321" s="1"/>
  <c r="K30" i="321"/>
  <c r="J30" i="321"/>
  <c r="I30" i="321"/>
  <c r="H30" i="321"/>
  <c r="G30" i="321"/>
  <c r="F30" i="321"/>
  <c r="E30" i="321"/>
  <c r="L29" i="321"/>
  <c r="L30" i="321" s="1"/>
  <c r="K26" i="321"/>
  <c r="J26" i="321"/>
  <c r="I26" i="321"/>
  <c r="H26" i="321"/>
  <c r="G26" i="321"/>
  <c r="E26" i="321"/>
  <c r="L25" i="321"/>
  <c r="M25" i="321" s="1"/>
  <c r="L24" i="321"/>
  <c r="M24" i="321" s="1"/>
  <c r="L23" i="321"/>
  <c r="M23" i="321" s="1"/>
  <c r="L22" i="321"/>
  <c r="M22" i="321" s="1"/>
  <c r="K19" i="321"/>
  <c r="J19" i="321"/>
  <c r="H19" i="321"/>
  <c r="G19" i="321"/>
  <c r="F19" i="321"/>
  <c r="E19" i="321"/>
  <c r="L18" i="321"/>
  <c r="M18" i="321" s="1"/>
  <c r="M17" i="321"/>
  <c r="L16" i="321"/>
  <c r="M16" i="321" s="1"/>
  <c r="L15" i="321"/>
  <c r="F33" i="316"/>
  <c r="H33" i="316"/>
  <c r="N33" i="316" s="1"/>
  <c r="I33" i="316"/>
  <c r="J33" i="316"/>
  <c r="K33" i="316"/>
  <c r="L33" i="316"/>
  <c r="M33" i="316"/>
  <c r="G22" i="319"/>
  <c r="E22" i="319"/>
  <c r="D33" i="318"/>
  <c r="E33" i="318"/>
  <c r="L24" i="318"/>
  <c r="M24" i="318"/>
  <c r="D58" i="317"/>
  <c r="C138" i="315"/>
  <c r="H29" i="315"/>
  <c r="I29" i="315"/>
  <c r="J29" i="315"/>
  <c r="K29" i="315"/>
  <c r="L29" i="315"/>
  <c r="M29" i="315"/>
  <c r="G29" i="315"/>
  <c r="M25" i="315"/>
  <c r="M16" i="315"/>
  <c r="M94" i="315"/>
  <c r="M99" i="315"/>
  <c r="M136" i="315"/>
  <c r="G54" i="315"/>
  <c r="N36" i="315"/>
  <c r="O36" i="315" s="1"/>
  <c r="N35" i="315"/>
  <c r="O35" i="315" s="1"/>
  <c r="N33" i="315"/>
  <c r="O33" i="315"/>
  <c r="N32" i="315"/>
  <c r="O32" i="315" s="1"/>
  <c r="G81" i="315"/>
  <c r="K223" i="314"/>
  <c r="H109" i="314"/>
  <c r="M41" i="332" l="1"/>
  <c r="L41" i="332"/>
  <c r="L62" i="331"/>
  <c r="M62" i="331"/>
  <c r="P147" i="329"/>
  <c r="P149" i="329" s="1"/>
  <c r="O147" i="329"/>
  <c r="O149" i="329" s="1"/>
  <c r="M31" i="323"/>
  <c r="M32" i="323" s="1"/>
  <c r="E226" i="321"/>
  <c r="L185" i="321"/>
  <c r="G226" i="321"/>
  <c r="L101" i="321"/>
  <c r="H226" i="321"/>
  <c r="J226" i="321"/>
  <c r="M20" i="325"/>
  <c r="M38" i="324"/>
  <c r="L48" i="324"/>
  <c r="L58" i="324" s="1"/>
  <c r="M43" i="324"/>
  <c r="M48" i="324"/>
  <c r="M52" i="324"/>
  <c r="M56" i="324"/>
  <c r="M35" i="324"/>
  <c r="I58" i="324"/>
  <c r="J58" i="324"/>
  <c r="M39" i="324"/>
  <c r="M42" i="324"/>
  <c r="M55" i="324"/>
  <c r="E58" i="324"/>
  <c r="M34" i="324"/>
  <c r="H58" i="324"/>
  <c r="H32" i="323"/>
  <c r="N138" i="322"/>
  <c r="K226" i="321"/>
  <c r="I226" i="321"/>
  <c r="M94" i="321"/>
  <c r="M163" i="321"/>
  <c r="M113" i="321"/>
  <c r="M114" i="321" s="1"/>
  <c r="M29" i="321"/>
  <c r="M30" i="321" s="1"/>
  <c r="L94" i="321"/>
  <c r="L147" i="321"/>
  <c r="M168" i="321"/>
  <c r="M52" i="321"/>
  <c r="M53" i="321" s="1"/>
  <c r="L129" i="321"/>
  <c r="M126" i="321"/>
  <c r="M129" i="321" s="1"/>
  <c r="M59" i="321"/>
  <c r="L163" i="321"/>
  <c r="L19" i="321"/>
  <c r="M26" i="321"/>
  <c r="L142" i="321"/>
  <c r="L168" i="321"/>
  <c r="M136" i="321"/>
  <c r="L89" i="321"/>
  <c r="M109" i="321"/>
  <c r="M110" i="321" s="1"/>
  <c r="L74" i="321"/>
  <c r="M147" i="321"/>
  <c r="M49" i="321"/>
  <c r="L16" i="327"/>
  <c r="L18" i="327" s="1"/>
  <c r="M19" i="325"/>
  <c r="M15" i="325"/>
  <c r="M16" i="325" s="1"/>
  <c r="M23" i="324"/>
  <c r="M27" i="324"/>
  <c r="G58" i="324"/>
  <c r="M22" i="324"/>
  <c r="M51" i="324"/>
  <c r="L32" i="323"/>
  <c r="O99" i="322"/>
  <c r="O65" i="322"/>
  <c r="O81" i="322"/>
  <c r="O136" i="322"/>
  <c r="N136" i="322"/>
  <c r="N16" i="322"/>
  <c r="O28" i="322"/>
  <c r="O29" i="322" s="1"/>
  <c r="O69" i="322"/>
  <c r="O72" i="322" s="1"/>
  <c r="O90" i="322"/>
  <c r="O94" i="322" s="1"/>
  <c r="O98" i="322"/>
  <c r="N65" i="322"/>
  <c r="M123" i="321"/>
  <c r="M224" i="321"/>
  <c r="M177" i="321"/>
  <c r="M40" i="321"/>
  <c r="M89" i="321"/>
  <c r="M158" i="321"/>
  <c r="L26" i="321"/>
  <c r="M97" i="321"/>
  <c r="M101" i="321" s="1"/>
  <c r="L123" i="321"/>
  <c r="M15" i="321"/>
  <c r="M19" i="321" s="1"/>
  <c r="L44" i="321"/>
  <c r="M104" i="321"/>
  <c r="M105" i="321" s="1"/>
  <c r="L136" i="321"/>
  <c r="M62" i="321"/>
  <c r="M74" i="321" s="1"/>
  <c r="M150" i="321"/>
  <c r="L158" i="321"/>
  <c r="L49" i="321"/>
  <c r="L224" i="321"/>
  <c r="L40" i="321"/>
  <c r="L59" i="321"/>
  <c r="L177" i="321"/>
  <c r="M139" i="321"/>
  <c r="M142" i="321" s="1"/>
  <c r="E122" i="314"/>
  <c r="I18" i="320"/>
  <c r="H18" i="320"/>
  <c r="G18" i="320"/>
  <c r="K16" i="320"/>
  <c r="K18" i="320" s="1"/>
  <c r="J16" i="320"/>
  <c r="J18" i="320" s="1"/>
  <c r="I16" i="320"/>
  <c r="H16" i="320"/>
  <c r="G16" i="320"/>
  <c r="F16" i="320"/>
  <c r="F18" i="320" s="1"/>
  <c r="E16" i="320"/>
  <c r="E18" i="320" s="1"/>
  <c r="D16" i="320"/>
  <c r="D18" i="320" s="1"/>
  <c r="K15" i="320"/>
  <c r="L15" i="320" s="1"/>
  <c r="M22" i="319"/>
  <c r="L22" i="319"/>
  <c r="I22" i="319"/>
  <c r="H22" i="319"/>
  <c r="M16" i="319"/>
  <c r="L16" i="319"/>
  <c r="K16" i="319"/>
  <c r="K22" i="319" s="1"/>
  <c r="J16" i="319"/>
  <c r="J22" i="319" s="1"/>
  <c r="I16" i="319"/>
  <c r="H16" i="319"/>
  <c r="G16" i="319"/>
  <c r="F16" i="319"/>
  <c r="E16" i="319"/>
  <c r="G33" i="318"/>
  <c r="L23" i="318"/>
  <c r="M23" i="318" s="1"/>
  <c r="L20" i="318"/>
  <c r="K20" i="318"/>
  <c r="J20" i="318"/>
  <c r="J33" i="318" s="1"/>
  <c r="I20" i="318"/>
  <c r="H20" i="318"/>
  <c r="G20" i="318"/>
  <c r="M20" i="318" s="1"/>
  <c r="F20" i="318"/>
  <c r="E20" i="318"/>
  <c r="L19" i="318"/>
  <c r="M19" i="318" s="1"/>
  <c r="K16" i="318"/>
  <c r="J16" i="318"/>
  <c r="I16" i="318"/>
  <c r="I33" i="318" s="1"/>
  <c r="H16" i="318"/>
  <c r="H33" i="318" s="1"/>
  <c r="G16" i="318"/>
  <c r="F16" i="318"/>
  <c r="E16" i="318"/>
  <c r="L15" i="318"/>
  <c r="M15" i="318" s="1"/>
  <c r="M16" i="318" s="1"/>
  <c r="J56" i="317"/>
  <c r="I56" i="317"/>
  <c r="H56" i="317"/>
  <c r="G56" i="317"/>
  <c r="E56" i="317"/>
  <c r="L55" i="317"/>
  <c r="L56" i="317" s="1"/>
  <c r="J52" i="317"/>
  <c r="I52" i="317"/>
  <c r="H52" i="317"/>
  <c r="G52" i="317"/>
  <c r="E52" i="317"/>
  <c r="L51" i="317"/>
  <c r="L52" i="317" s="1"/>
  <c r="J48" i="317"/>
  <c r="I48" i="317"/>
  <c r="H48" i="317"/>
  <c r="G48" i="317"/>
  <c r="E48" i="317"/>
  <c r="L47" i="317"/>
  <c r="M47" i="317" s="1"/>
  <c r="L46" i="317"/>
  <c r="M46" i="317" s="1"/>
  <c r="J43" i="317"/>
  <c r="I43" i="317"/>
  <c r="H43" i="317"/>
  <c r="G43" i="317"/>
  <c r="E43" i="317"/>
  <c r="L42" i="317"/>
  <c r="L43" i="317" s="1"/>
  <c r="J39" i="317"/>
  <c r="I39" i="317"/>
  <c r="H39" i="317"/>
  <c r="G39" i="317"/>
  <c r="E39" i="317"/>
  <c r="L38" i="317"/>
  <c r="L39" i="317" s="1"/>
  <c r="J35" i="317"/>
  <c r="I35" i="317"/>
  <c r="H35" i="317"/>
  <c r="G35" i="317"/>
  <c r="E35" i="317"/>
  <c r="L34" i="317"/>
  <c r="L35" i="317" s="1"/>
  <c r="J27" i="317"/>
  <c r="I27" i="317"/>
  <c r="H27" i="317"/>
  <c r="G27" i="317"/>
  <c r="E27" i="317"/>
  <c r="L26" i="317"/>
  <c r="L27" i="317" s="1"/>
  <c r="J23" i="317"/>
  <c r="I23" i="317"/>
  <c r="H23" i="317"/>
  <c r="G23" i="317"/>
  <c r="E23" i="317"/>
  <c r="L22" i="317"/>
  <c r="L23" i="317" s="1"/>
  <c r="I34" i="316"/>
  <c r="G34" i="316"/>
  <c r="L34" i="316"/>
  <c r="K34" i="316"/>
  <c r="J34" i="316"/>
  <c r="H34" i="316"/>
  <c r="F34" i="316"/>
  <c r="M32" i="316"/>
  <c r="M31" i="316"/>
  <c r="M30" i="316"/>
  <c r="M29" i="316"/>
  <c r="M28" i="316"/>
  <c r="M27" i="316"/>
  <c r="M26" i="316"/>
  <c r="M24" i="316"/>
  <c r="M23" i="316"/>
  <c r="M22" i="316"/>
  <c r="M21" i="316"/>
  <c r="M20" i="316"/>
  <c r="M19" i="316"/>
  <c r="M18" i="316"/>
  <c r="M17" i="316"/>
  <c r="M16" i="316"/>
  <c r="N15" i="316"/>
  <c r="L136" i="315"/>
  <c r="K136" i="315"/>
  <c r="J136" i="315"/>
  <c r="I136" i="315"/>
  <c r="G136" i="315"/>
  <c r="N135" i="315"/>
  <c r="O135" i="315" s="1"/>
  <c r="N134" i="315"/>
  <c r="O134" i="315" s="1"/>
  <c r="N133" i="315"/>
  <c r="O133" i="315" s="1"/>
  <c r="N132" i="315"/>
  <c r="O132" i="315" s="1"/>
  <c r="N131" i="315"/>
  <c r="O131" i="315" s="1"/>
  <c r="N130" i="315"/>
  <c r="O130" i="315" s="1"/>
  <c r="N129" i="315"/>
  <c r="O129" i="315" s="1"/>
  <c r="N128" i="315"/>
  <c r="O128" i="315" s="1"/>
  <c r="N127" i="315"/>
  <c r="O127" i="315" s="1"/>
  <c r="N126" i="315"/>
  <c r="O126" i="315" s="1"/>
  <c r="N125" i="315"/>
  <c r="O125" i="315" s="1"/>
  <c r="N124" i="315"/>
  <c r="O124" i="315" s="1"/>
  <c r="N123" i="315"/>
  <c r="O123" i="315" s="1"/>
  <c r="N122" i="315"/>
  <c r="O122" i="315" s="1"/>
  <c r="N121" i="315"/>
  <c r="O121" i="315" s="1"/>
  <c r="N120" i="315"/>
  <c r="O120" i="315" s="1"/>
  <c r="N119" i="315"/>
  <c r="O119" i="315" s="1"/>
  <c r="N118" i="315"/>
  <c r="O118" i="315" s="1"/>
  <c r="N117" i="315"/>
  <c r="O117" i="315" s="1"/>
  <c r="N116" i="315"/>
  <c r="O116" i="315" s="1"/>
  <c r="N115" i="315"/>
  <c r="O115" i="315" s="1"/>
  <c r="N114" i="315"/>
  <c r="O114" i="315" s="1"/>
  <c r="N113" i="315"/>
  <c r="O113" i="315" s="1"/>
  <c r="N112" i="315"/>
  <c r="O112" i="315" s="1"/>
  <c r="N111" i="315"/>
  <c r="O111" i="315" s="1"/>
  <c r="N110" i="315"/>
  <c r="O110" i="315" s="1"/>
  <c r="N109" i="315"/>
  <c r="O109" i="315" s="1"/>
  <c r="N108" i="315"/>
  <c r="O108" i="315" s="1"/>
  <c r="N107" i="315"/>
  <c r="O107" i="315" s="1"/>
  <c r="N106" i="315"/>
  <c r="O106" i="315" s="1"/>
  <c r="N105" i="315"/>
  <c r="O105" i="315" s="1"/>
  <c r="N104" i="315"/>
  <c r="O104" i="315" s="1"/>
  <c r="N103" i="315"/>
  <c r="O103" i="315" s="1"/>
  <c r="N102" i="315"/>
  <c r="O102" i="315" s="1"/>
  <c r="L99" i="315"/>
  <c r="K99" i="315"/>
  <c r="J99" i="315"/>
  <c r="I99" i="315"/>
  <c r="G99" i="315"/>
  <c r="N98" i="315"/>
  <c r="O98" i="315" s="1"/>
  <c r="O97" i="315"/>
  <c r="L94" i="315"/>
  <c r="K94" i="315"/>
  <c r="J94" i="315"/>
  <c r="I94" i="315"/>
  <c r="H94" i="315"/>
  <c r="G94" i="315"/>
  <c r="N93" i="315"/>
  <c r="O93" i="315" s="1"/>
  <c r="N92" i="315"/>
  <c r="O92" i="315" s="1"/>
  <c r="N91" i="315"/>
  <c r="O91" i="315" s="1"/>
  <c r="N90" i="315"/>
  <c r="O90" i="315" s="1"/>
  <c r="N89" i="315"/>
  <c r="O89" i="315" s="1"/>
  <c r="N88" i="315"/>
  <c r="O88" i="315" s="1"/>
  <c r="M81" i="315"/>
  <c r="L81" i="315"/>
  <c r="K81" i="315"/>
  <c r="J81" i="315"/>
  <c r="I81" i="315"/>
  <c r="H81" i="315"/>
  <c r="N80" i="315"/>
  <c r="O80" i="315" s="1"/>
  <c r="N79" i="315"/>
  <c r="O79" i="315" s="1"/>
  <c r="M76" i="315"/>
  <c r="L76" i="315"/>
  <c r="K76" i="315"/>
  <c r="J76" i="315"/>
  <c r="I76" i="315"/>
  <c r="H76" i="315"/>
  <c r="G76" i="315"/>
  <c r="N75" i="315"/>
  <c r="O75" i="315" s="1"/>
  <c r="O76" i="315" s="1"/>
  <c r="M72" i="315"/>
  <c r="L72" i="315"/>
  <c r="K72" i="315"/>
  <c r="J72" i="315"/>
  <c r="I72" i="315"/>
  <c r="G72" i="315"/>
  <c r="N71" i="315"/>
  <c r="O71" i="315" s="1"/>
  <c r="N70" i="315"/>
  <c r="O70" i="315" s="1"/>
  <c r="N69" i="315"/>
  <c r="O69" i="315" s="1"/>
  <c r="O68" i="315"/>
  <c r="M65" i="315"/>
  <c r="L65" i="315"/>
  <c r="K65" i="315"/>
  <c r="J65" i="315"/>
  <c r="I65" i="315"/>
  <c r="G65" i="315"/>
  <c r="N63" i="315"/>
  <c r="O63" i="315" s="1"/>
  <c r="N62" i="315"/>
  <c r="O62" i="315" s="1"/>
  <c r="N61" i="315"/>
  <c r="O61" i="315" s="1"/>
  <c r="N60" i="315"/>
  <c r="O60" i="315" s="1"/>
  <c r="N59" i="315"/>
  <c r="O59" i="315" s="1"/>
  <c r="N58" i="315"/>
  <c r="O58" i="315" s="1"/>
  <c r="N57" i="315"/>
  <c r="M54" i="315"/>
  <c r="L54" i="315"/>
  <c r="K54" i="315"/>
  <c r="J54" i="315"/>
  <c r="I54" i="315"/>
  <c r="H54" i="315"/>
  <c r="O53" i="315"/>
  <c r="N52" i="315"/>
  <c r="O52" i="315" s="1"/>
  <c r="M49" i="315"/>
  <c r="L49" i="315"/>
  <c r="K49" i="315"/>
  <c r="J49" i="315"/>
  <c r="I49" i="315"/>
  <c r="H49" i="315"/>
  <c r="G49" i="315"/>
  <c r="N48" i="315"/>
  <c r="O48" i="315" s="1"/>
  <c r="O49" i="315" s="1"/>
  <c r="M45" i="315"/>
  <c r="L45" i="315"/>
  <c r="K45" i="315"/>
  <c r="J45" i="315"/>
  <c r="I45" i="315"/>
  <c r="H45" i="315"/>
  <c r="G45" i="315"/>
  <c r="N44" i="315"/>
  <c r="O44" i="315" s="1"/>
  <c r="N43" i="315"/>
  <c r="O43" i="315" s="1"/>
  <c r="N28" i="315"/>
  <c r="L25" i="315"/>
  <c r="K25" i="315"/>
  <c r="J25" i="315"/>
  <c r="I25" i="315"/>
  <c r="G25" i="315"/>
  <c r="N24" i="315"/>
  <c r="N25" i="315" s="1"/>
  <c r="M20" i="315"/>
  <c r="L20" i="315"/>
  <c r="K20" i="315"/>
  <c r="J20" i="315"/>
  <c r="I20" i="315"/>
  <c r="H20" i="315"/>
  <c r="G20" i="315"/>
  <c r="N19" i="315"/>
  <c r="N20" i="315" s="1"/>
  <c r="L16" i="315"/>
  <c r="K16" i="315"/>
  <c r="J16" i="315"/>
  <c r="I16" i="315"/>
  <c r="G16" i="315"/>
  <c r="N15" i="315"/>
  <c r="N16" i="315" s="1"/>
  <c r="O14" i="315"/>
  <c r="C225" i="314"/>
  <c r="J223" i="314"/>
  <c r="I223" i="314"/>
  <c r="H223" i="314"/>
  <c r="G223" i="314"/>
  <c r="E223" i="314"/>
  <c r="M222" i="314"/>
  <c r="M221" i="314"/>
  <c r="M220" i="314"/>
  <c r="M219" i="314"/>
  <c r="L218" i="314"/>
  <c r="M218" i="314" s="1"/>
  <c r="L217" i="314"/>
  <c r="M217" i="314" s="1"/>
  <c r="L216" i="314"/>
  <c r="M216" i="314" s="1"/>
  <c r="L215" i="314"/>
  <c r="M215" i="314" s="1"/>
  <c r="L214" i="314"/>
  <c r="M214" i="314" s="1"/>
  <c r="L213" i="314"/>
  <c r="M213" i="314" s="1"/>
  <c r="L212" i="314"/>
  <c r="M212" i="314" s="1"/>
  <c r="L211" i="314"/>
  <c r="M211" i="314" s="1"/>
  <c r="L210" i="314"/>
  <c r="M210" i="314" s="1"/>
  <c r="L209" i="314"/>
  <c r="M209" i="314" s="1"/>
  <c r="L208" i="314"/>
  <c r="M208" i="314" s="1"/>
  <c r="L207" i="314"/>
  <c r="M207" i="314" s="1"/>
  <c r="L206" i="314"/>
  <c r="M206" i="314" s="1"/>
  <c r="L201" i="314"/>
  <c r="M201" i="314" s="1"/>
  <c r="L200" i="314"/>
  <c r="M200" i="314" s="1"/>
  <c r="M199" i="314"/>
  <c r="L198" i="314"/>
  <c r="M198" i="314" s="1"/>
  <c r="L197" i="314"/>
  <c r="M197" i="314" s="1"/>
  <c r="L196" i="314"/>
  <c r="M196" i="314" s="1"/>
  <c r="L195" i="314"/>
  <c r="M195" i="314" s="1"/>
  <c r="L194" i="314"/>
  <c r="M194" i="314" s="1"/>
  <c r="L193" i="314"/>
  <c r="M193" i="314" s="1"/>
  <c r="L192" i="314"/>
  <c r="M192" i="314" s="1"/>
  <c r="M191" i="314"/>
  <c r="L190" i="314"/>
  <c r="M190" i="314" s="1"/>
  <c r="L189" i="314"/>
  <c r="M189" i="314" s="1"/>
  <c r="L188" i="314"/>
  <c r="M188" i="314" s="1"/>
  <c r="L187" i="314"/>
  <c r="M187" i="314" s="1"/>
  <c r="L186" i="314"/>
  <c r="M186" i="314" s="1"/>
  <c r="K183" i="314"/>
  <c r="J183" i="314"/>
  <c r="I183" i="314"/>
  <c r="H183" i="314"/>
  <c r="G183" i="314"/>
  <c r="E183" i="314"/>
  <c r="L182" i="314"/>
  <c r="M182" i="314" s="1"/>
  <c r="L181" i="314"/>
  <c r="M181" i="314" s="1"/>
  <c r="L180" i="314"/>
  <c r="M180" i="314" s="1"/>
  <c r="L179" i="314"/>
  <c r="M179" i="314" s="1"/>
  <c r="K176" i="314"/>
  <c r="J176" i="314"/>
  <c r="I176" i="314"/>
  <c r="H176" i="314"/>
  <c r="G176" i="314"/>
  <c r="E176" i="314"/>
  <c r="L175" i="314"/>
  <c r="M175" i="314" s="1"/>
  <c r="L174" i="314"/>
  <c r="M174" i="314" s="1"/>
  <c r="M173" i="314"/>
  <c r="L173" i="314"/>
  <c r="L172" i="314"/>
  <c r="M172" i="314" s="1"/>
  <c r="L171" i="314"/>
  <c r="M171" i="314" s="1"/>
  <c r="L170" i="314"/>
  <c r="M170" i="314" s="1"/>
  <c r="K167" i="314"/>
  <c r="J167" i="314"/>
  <c r="I167" i="314"/>
  <c r="H167" i="314"/>
  <c r="G167" i="314"/>
  <c r="F167" i="314"/>
  <c r="E167" i="314"/>
  <c r="L166" i="314"/>
  <c r="L165" i="314"/>
  <c r="M165" i="314" s="1"/>
  <c r="K162" i="314"/>
  <c r="J162" i="314"/>
  <c r="I162" i="314"/>
  <c r="H162" i="314"/>
  <c r="G162" i="314"/>
  <c r="E162" i="314"/>
  <c r="L161" i="314"/>
  <c r="M161" i="314" s="1"/>
  <c r="L160" i="314"/>
  <c r="M160" i="314" s="1"/>
  <c r="K157" i="314"/>
  <c r="J157" i="314"/>
  <c r="I157" i="314"/>
  <c r="H157" i="314"/>
  <c r="G157" i="314"/>
  <c r="F157" i="314"/>
  <c r="E157" i="314"/>
  <c r="L156" i="314"/>
  <c r="M156" i="314" s="1"/>
  <c r="L155" i="314"/>
  <c r="M155" i="314" s="1"/>
  <c r="L154" i="314"/>
  <c r="M154" i="314" s="1"/>
  <c r="L153" i="314"/>
  <c r="K150" i="314"/>
  <c r="J150" i="314"/>
  <c r="I150" i="314"/>
  <c r="H150" i="314"/>
  <c r="G150" i="314"/>
  <c r="F150" i="314"/>
  <c r="E150" i="314"/>
  <c r="L149" i="314"/>
  <c r="L150" i="314" s="1"/>
  <c r="K146" i="314"/>
  <c r="J146" i="314"/>
  <c r="I146" i="314"/>
  <c r="H146" i="314"/>
  <c r="G146" i="314"/>
  <c r="E146" i="314"/>
  <c r="M145" i="314"/>
  <c r="L144" i="314"/>
  <c r="L146" i="314" s="1"/>
  <c r="K141" i="314"/>
  <c r="J141" i="314"/>
  <c r="I141" i="314"/>
  <c r="H141" i="314"/>
  <c r="G141" i="314"/>
  <c r="F141" i="314"/>
  <c r="E141" i="314"/>
  <c r="L140" i="314"/>
  <c r="M140" i="314" s="1"/>
  <c r="L139" i="314"/>
  <c r="M139" i="314" s="1"/>
  <c r="M138" i="314"/>
  <c r="L138" i="314"/>
  <c r="K135" i="314"/>
  <c r="J135" i="314"/>
  <c r="I135" i="314"/>
  <c r="H135" i="314"/>
  <c r="G135" i="314"/>
  <c r="F135" i="314"/>
  <c r="E135" i="314"/>
  <c r="L134" i="314"/>
  <c r="L133" i="314"/>
  <c r="M133" i="314" s="1"/>
  <c r="M132" i="314"/>
  <c r="M131" i="314"/>
  <c r="L131" i="314"/>
  <c r="K128" i="314"/>
  <c r="J128" i="314"/>
  <c r="I128" i="314"/>
  <c r="H128" i="314"/>
  <c r="G128" i="314"/>
  <c r="F128" i="314"/>
  <c r="E128" i="314"/>
  <c r="L127" i="314"/>
  <c r="M127" i="314" s="1"/>
  <c r="L126" i="314"/>
  <c r="L125" i="314"/>
  <c r="M125" i="314" s="1"/>
  <c r="K122" i="314"/>
  <c r="J122" i="314"/>
  <c r="I122" i="314"/>
  <c r="H122" i="314"/>
  <c r="G122" i="314"/>
  <c r="F122" i="314"/>
  <c r="L121" i="314"/>
  <c r="M121" i="314" s="1"/>
  <c r="M120" i="314"/>
  <c r="L119" i="314"/>
  <c r="M119" i="314" s="1"/>
  <c r="L118" i="314"/>
  <c r="M118" i="314" s="1"/>
  <c r="L117" i="314"/>
  <c r="M117" i="314" s="1"/>
  <c r="L116" i="314"/>
  <c r="M116" i="314" s="1"/>
  <c r="K113" i="314"/>
  <c r="J113" i="314"/>
  <c r="I113" i="314"/>
  <c r="H113" i="314"/>
  <c r="G113" i="314"/>
  <c r="E113" i="314"/>
  <c r="L112" i="314"/>
  <c r="L113" i="314" s="1"/>
  <c r="K109" i="314"/>
  <c r="J109" i="314"/>
  <c r="I109" i="314"/>
  <c r="G109" i="314"/>
  <c r="E109" i="314"/>
  <c r="L108" i="314"/>
  <c r="L109" i="314" s="1"/>
  <c r="M107" i="314"/>
  <c r="K104" i="314"/>
  <c r="J104" i="314"/>
  <c r="H104" i="314"/>
  <c r="G104" i="314"/>
  <c r="E104" i="314"/>
  <c r="L103" i="314"/>
  <c r="L104" i="314" s="1"/>
  <c r="K100" i="314"/>
  <c r="J100" i="314"/>
  <c r="I100" i="314"/>
  <c r="H100" i="314"/>
  <c r="G100" i="314"/>
  <c r="E100" i="314"/>
  <c r="M99" i="314"/>
  <c r="L98" i="314"/>
  <c r="M98" i="314" s="1"/>
  <c r="L97" i="314"/>
  <c r="M97" i="314" s="1"/>
  <c r="K94" i="314"/>
  <c r="J94" i="314"/>
  <c r="I94" i="314"/>
  <c r="H94" i="314"/>
  <c r="G94" i="314"/>
  <c r="F94" i="314"/>
  <c r="E94" i="314"/>
  <c r="L93" i="314"/>
  <c r="L92" i="314"/>
  <c r="M92" i="314" s="1"/>
  <c r="K89" i="314"/>
  <c r="J89" i="314"/>
  <c r="I89" i="314"/>
  <c r="H89" i="314"/>
  <c r="G89" i="314"/>
  <c r="E89" i="314"/>
  <c r="L88" i="314"/>
  <c r="M88" i="314" s="1"/>
  <c r="L87" i="314"/>
  <c r="M87" i="314" s="1"/>
  <c r="L86" i="314"/>
  <c r="M86" i="314" s="1"/>
  <c r="L85" i="314"/>
  <c r="M85" i="314" s="1"/>
  <c r="L84" i="314"/>
  <c r="M84" i="314" s="1"/>
  <c r="L83" i="314"/>
  <c r="M83" i="314" s="1"/>
  <c r="L82" i="314"/>
  <c r="M82" i="314" s="1"/>
  <c r="L81" i="314"/>
  <c r="M81" i="314" s="1"/>
  <c r="L80" i="314"/>
  <c r="M80" i="314" s="1"/>
  <c r="L79" i="314"/>
  <c r="M79" i="314" s="1"/>
  <c r="L78" i="314"/>
  <c r="M78" i="314" s="1"/>
  <c r="L77" i="314"/>
  <c r="M77" i="314" s="1"/>
  <c r="K74" i="314"/>
  <c r="J74" i="314"/>
  <c r="I74" i="314"/>
  <c r="H74" i="314"/>
  <c r="G74" i="314"/>
  <c r="F74" i="314"/>
  <c r="E74" i="314"/>
  <c r="L73" i="314"/>
  <c r="M73" i="314" s="1"/>
  <c r="M72" i="314"/>
  <c r="L72" i="314"/>
  <c r="L71" i="314"/>
  <c r="M71" i="314" s="1"/>
  <c r="L70" i="314"/>
  <c r="M70" i="314" s="1"/>
  <c r="L69" i="314"/>
  <c r="M69" i="314" s="1"/>
  <c r="L68" i="314"/>
  <c r="M68" i="314" s="1"/>
  <c r="L67" i="314"/>
  <c r="M67" i="314" s="1"/>
  <c r="L66" i="314"/>
  <c r="M66" i="314" s="1"/>
  <c r="L65" i="314"/>
  <c r="M65" i="314" s="1"/>
  <c r="L64" i="314"/>
  <c r="M64" i="314" s="1"/>
  <c r="L63" i="314"/>
  <c r="M63" i="314" s="1"/>
  <c r="L62" i="314"/>
  <c r="M62" i="314" s="1"/>
  <c r="K59" i="314"/>
  <c r="J59" i="314"/>
  <c r="I59" i="314"/>
  <c r="H59" i="314"/>
  <c r="G59" i="314"/>
  <c r="F59" i="314"/>
  <c r="E59" i="314"/>
  <c r="M58" i="314"/>
  <c r="L57" i="314"/>
  <c r="M57" i="314" s="1"/>
  <c r="L56" i="314"/>
  <c r="K53" i="314"/>
  <c r="J53" i="314"/>
  <c r="I53" i="314"/>
  <c r="H53" i="314"/>
  <c r="G53" i="314"/>
  <c r="F53" i="314"/>
  <c r="E53" i="314"/>
  <c r="L52" i="314"/>
  <c r="L53" i="314" s="1"/>
  <c r="K49" i="314"/>
  <c r="J49" i="314"/>
  <c r="I49" i="314"/>
  <c r="H49" i="314"/>
  <c r="G49" i="314"/>
  <c r="F49" i="314"/>
  <c r="E49" i="314"/>
  <c r="L48" i="314"/>
  <c r="M48" i="314" s="1"/>
  <c r="L47" i="314"/>
  <c r="M47" i="314" s="1"/>
  <c r="K44" i="314"/>
  <c r="J44" i="314"/>
  <c r="I44" i="314"/>
  <c r="H44" i="314"/>
  <c r="F44" i="314"/>
  <c r="E44" i="314"/>
  <c r="L43" i="314"/>
  <c r="L44" i="314" s="1"/>
  <c r="K40" i="314"/>
  <c r="J40" i="314"/>
  <c r="I40" i="314"/>
  <c r="H40" i="314"/>
  <c r="G40" i="314"/>
  <c r="E40" i="314"/>
  <c r="L39" i="314"/>
  <c r="M39" i="314" s="1"/>
  <c r="L38" i="314"/>
  <c r="M38" i="314" s="1"/>
  <c r="L37" i="314"/>
  <c r="M37" i="314" s="1"/>
  <c r="L36" i="314"/>
  <c r="M36" i="314" s="1"/>
  <c r="L35" i="314"/>
  <c r="M35" i="314" s="1"/>
  <c r="L34" i="314"/>
  <c r="M34" i="314" s="1"/>
  <c r="L33" i="314"/>
  <c r="M33" i="314" s="1"/>
  <c r="K30" i="314"/>
  <c r="J30" i="314"/>
  <c r="I30" i="314"/>
  <c r="H30" i="314"/>
  <c r="G30" i="314"/>
  <c r="F30" i="314"/>
  <c r="E30" i="314"/>
  <c r="L29" i="314"/>
  <c r="L30" i="314" s="1"/>
  <c r="K26" i="314"/>
  <c r="J26" i="314"/>
  <c r="I26" i="314"/>
  <c r="H26" i="314"/>
  <c r="G26" i="314"/>
  <c r="E26" i="314"/>
  <c r="L25" i="314"/>
  <c r="M25" i="314" s="1"/>
  <c r="L24" i="314"/>
  <c r="M24" i="314" s="1"/>
  <c r="L23" i="314"/>
  <c r="M23" i="314" s="1"/>
  <c r="L22" i="314"/>
  <c r="M22" i="314" s="1"/>
  <c r="K19" i="314"/>
  <c r="J19" i="314"/>
  <c r="I19" i="314"/>
  <c r="H19" i="314"/>
  <c r="G19" i="314"/>
  <c r="F19" i="314"/>
  <c r="E19" i="314"/>
  <c r="L18" i="314"/>
  <c r="M18" i="314" s="1"/>
  <c r="M17" i="314"/>
  <c r="L16" i="314"/>
  <c r="M16" i="314" s="1"/>
  <c r="L15" i="314"/>
  <c r="M15" i="314" s="1"/>
  <c r="K89" i="307"/>
  <c r="K40" i="307"/>
  <c r="I109" i="307"/>
  <c r="I224" i="307"/>
  <c r="M25" i="308"/>
  <c r="M43" i="308"/>
  <c r="M47" i="308"/>
  <c r="M52" i="308"/>
  <c r="M63" i="308"/>
  <c r="M70" i="308"/>
  <c r="M92" i="308"/>
  <c r="M97" i="308"/>
  <c r="M134" i="308"/>
  <c r="O127" i="308"/>
  <c r="N127" i="308"/>
  <c r="M150" i="307"/>
  <c r="L150" i="307"/>
  <c r="M147" i="307"/>
  <c r="M136" i="307"/>
  <c r="M129" i="307"/>
  <c r="M123" i="307"/>
  <c r="M113" i="307"/>
  <c r="M109" i="307"/>
  <c r="M104" i="307"/>
  <c r="M100" i="307"/>
  <c r="M74" i="307"/>
  <c r="M59" i="307"/>
  <c r="M53" i="307"/>
  <c r="M49" i="307"/>
  <c r="M44" i="307"/>
  <c r="M40" i="307"/>
  <c r="M30" i="307"/>
  <c r="M26" i="307"/>
  <c r="M19" i="307"/>
  <c r="M158" i="307"/>
  <c r="M163" i="307"/>
  <c r="M168" i="307"/>
  <c r="M177" i="307"/>
  <c r="M184" i="307"/>
  <c r="M58" i="324" l="1"/>
  <c r="N32" i="323"/>
  <c r="M226" i="321"/>
  <c r="L226" i="321"/>
  <c r="H58" i="317"/>
  <c r="M55" i="317"/>
  <c r="I58" i="317"/>
  <c r="J58" i="317"/>
  <c r="E58" i="317"/>
  <c r="G58" i="317"/>
  <c r="O81" i="315"/>
  <c r="O28" i="315"/>
  <c r="O29" i="315" s="1"/>
  <c r="N29" i="315"/>
  <c r="L128" i="314"/>
  <c r="L157" i="314"/>
  <c r="M108" i="314"/>
  <c r="M109" i="314" s="1"/>
  <c r="M43" i="314"/>
  <c r="M44" i="314" s="1"/>
  <c r="L141" i="314"/>
  <c r="L162" i="314"/>
  <c r="H225" i="314"/>
  <c r="M26" i="314"/>
  <c r="M48" i="317"/>
  <c r="M39" i="317"/>
  <c r="M22" i="317"/>
  <c r="L48" i="317"/>
  <c r="L58" i="317" s="1"/>
  <c r="M43" i="317"/>
  <c r="M56" i="317"/>
  <c r="M35" i="317"/>
  <c r="M52" i="317"/>
  <c r="M23" i="317"/>
  <c r="M38" i="317"/>
  <c r="O45" i="315"/>
  <c r="O54" i="315"/>
  <c r="N49" i="315"/>
  <c r="N76" i="315"/>
  <c r="O99" i="315"/>
  <c r="O136" i="315"/>
  <c r="N45" i="315"/>
  <c r="N54" i="315"/>
  <c r="N81" i="315"/>
  <c r="O19" i="315"/>
  <c r="O20" i="315" s="1"/>
  <c r="N65" i="315"/>
  <c r="N94" i="315"/>
  <c r="J225" i="314"/>
  <c r="I225" i="314"/>
  <c r="M183" i="314"/>
  <c r="M141" i="314"/>
  <c r="M153" i="314"/>
  <c r="M157" i="314" s="1"/>
  <c r="M49" i="314"/>
  <c r="M52" i="314"/>
  <c r="M53" i="314" s="1"/>
  <c r="L74" i="314"/>
  <c r="L167" i="314"/>
  <c r="E225" i="314"/>
  <c r="M19" i="314"/>
  <c r="L94" i="314"/>
  <c r="G225" i="314"/>
  <c r="L135" i="314"/>
  <c r="M149" i="314"/>
  <c r="L223" i="314"/>
  <c r="L100" i="314"/>
  <c r="M162" i="314"/>
  <c r="L176" i="314"/>
  <c r="L49" i="314"/>
  <c r="L59" i="314"/>
  <c r="M100" i="314"/>
  <c r="L16" i="320"/>
  <c r="L18" i="320" s="1"/>
  <c r="M33" i="318"/>
  <c r="L16" i="318"/>
  <c r="L33" i="318" s="1"/>
  <c r="M27" i="317"/>
  <c r="M34" i="317"/>
  <c r="M42" i="317"/>
  <c r="M51" i="317"/>
  <c r="M34" i="316"/>
  <c r="O72" i="315"/>
  <c r="O94" i="315"/>
  <c r="O15" i="315"/>
  <c r="O16" i="315" s="1"/>
  <c r="O138" i="315" s="1"/>
  <c r="O57" i="315"/>
  <c r="O65" i="315" s="1"/>
  <c r="N99" i="315"/>
  <c r="N72" i="315"/>
  <c r="N136" i="315"/>
  <c r="O24" i="315"/>
  <c r="O25" i="315" s="1"/>
  <c r="M89" i="314"/>
  <c r="M40" i="314"/>
  <c r="M74" i="314"/>
  <c r="M223" i="314"/>
  <c r="M122" i="314"/>
  <c r="M176" i="314"/>
  <c r="L26" i="314"/>
  <c r="M93" i="314"/>
  <c r="M94" i="314" s="1"/>
  <c r="M103" i="314"/>
  <c r="M104" i="314" s="1"/>
  <c r="M126" i="314"/>
  <c r="M128" i="314" s="1"/>
  <c r="M134" i="314"/>
  <c r="M135" i="314" s="1"/>
  <c r="M166" i="314"/>
  <c r="M167" i="314" s="1"/>
  <c r="L19" i="314"/>
  <c r="L89" i="314"/>
  <c r="L122" i="314"/>
  <c r="M29" i="314"/>
  <c r="M30" i="314" s="1"/>
  <c r="L40" i="314"/>
  <c r="M112" i="314"/>
  <c r="M113" i="314" s="1"/>
  <c r="M144" i="314"/>
  <c r="M146" i="314" s="1"/>
  <c r="L183" i="314"/>
  <c r="M56" i="314"/>
  <c r="M59" i="314" s="1"/>
  <c r="L147" i="307"/>
  <c r="J147" i="307"/>
  <c r="E123" i="307"/>
  <c r="E109" i="307"/>
  <c r="L24" i="307"/>
  <c r="M24" i="307"/>
  <c r="K16" i="313"/>
  <c r="K18" i="313" s="1"/>
  <c r="J16" i="313"/>
  <c r="J18" i="313" s="1"/>
  <c r="I16" i="313"/>
  <c r="I18" i="313" s="1"/>
  <c r="H16" i="313"/>
  <c r="H18" i="313" s="1"/>
  <c r="G16" i="313"/>
  <c r="G18" i="313" s="1"/>
  <c r="F16" i="313"/>
  <c r="F18" i="313" s="1"/>
  <c r="E16" i="313"/>
  <c r="E18" i="313" s="1"/>
  <c r="D16" i="313"/>
  <c r="D18" i="313" s="1"/>
  <c r="K15" i="313"/>
  <c r="L15" i="313" s="1"/>
  <c r="I22" i="312"/>
  <c r="H22" i="312"/>
  <c r="M16" i="312"/>
  <c r="M22" i="312" s="1"/>
  <c r="L16" i="312"/>
  <c r="L22" i="312" s="1"/>
  <c r="K16" i="312"/>
  <c r="K22" i="312" s="1"/>
  <c r="J16" i="312"/>
  <c r="J22" i="312" s="1"/>
  <c r="I16" i="312"/>
  <c r="H16" i="312"/>
  <c r="G16" i="312"/>
  <c r="G22" i="312" s="1"/>
  <c r="F16" i="312"/>
  <c r="E16" i="312"/>
  <c r="E22" i="312" s="1"/>
  <c r="L24" i="311"/>
  <c r="L23" i="311"/>
  <c r="M23" i="311" s="1"/>
  <c r="K20" i="311"/>
  <c r="J20" i="311"/>
  <c r="I20" i="311"/>
  <c r="H20" i="311"/>
  <c r="G20" i="311"/>
  <c r="F20" i="311"/>
  <c r="E20" i="311"/>
  <c r="L19" i="311"/>
  <c r="L20" i="311" s="1"/>
  <c r="K16" i="311"/>
  <c r="J16" i="311"/>
  <c r="J33" i="311" s="1"/>
  <c r="I16" i="311"/>
  <c r="H16" i="311"/>
  <c r="H33" i="311" s="1"/>
  <c r="G16" i="311"/>
  <c r="F16" i="311"/>
  <c r="E16" i="311"/>
  <c r="E33" i="311" s="1"/>
  <c r="L15" i="311"/>
  <c r="M15" i="311" s="1"/>
  <c r="M16" i="311" s="1"/>
  <c r="D62" i="310"/>
  <c r="J60" i="310"/>
  <c r="I60" i="310"/>
  <c r="H60" i="310"/>
  <c r="G60" i="310"/>
  <c r="E60" i="310"/>
  <c r="L59" i="310"/>
  <c r="L60" i="310" s="1"/>
  <c r="J56" i="310"/>
  <c r="I56" i="310"/>
  <c r="H56" i="310"/>
  <c r="G56" i="310"/>
  <c r="E56" i="310"/>
  <c r="L55" i="310"/>
  <c r="L56" i="310" s="1"/>
  <c r="J52" i="310"/>
  <c r="I52" i="310"/>
  <c r="H52" i="310"/>
  <c r="G52" i="310"/>
  <c r="E52" i="310"/>
  <c r="L51" i="310"/>
  <c r="M51" i="310" s="1"/>
  <c r="M50" i="310"/>
  <c r="M52" i="310" s="1"/>
  <c r="L50" i="310"/>
  <c r="J47" i="310"/>
  <c r="I47" i="310"/>
  <c r="H47" i="310"/>
  <c r="G47" i="310"/>
  <c r="E47" i="310"/>
  <c r="L46" i="310"/>
  <c r="L47" i="310" s="1"/>
  <c r="J43" i="310"/>
  <c r="I43" i="310"/>
  <c r="H43" i="310"/>
  <c r="G43" i="310"/>
  <c r="E43" i="310"/>
  <c r="L42" i="310"/>
  <c r="L43" i="310" s="1"/>
  <c r="J39" i="310"/>
  <c r="I39" i="310"/>
  <c r="H39" i="310"/>
  <c r="G39" i="310"/>
  <c r="E39" i="310"/>
  <c r="L38" i="310"/>
  <c r="L39" i="310" s="1"/>
  <c r="J27" i="310"/>
  <c r="I27" i="310"/>
  <c r="H27" i="310"/>
  <c r="G27" i="310"/>
  <c r="E27" i="310"/>
  <c r="L26" i="310"/>
  <c r="L27" i="310" s="1"/>
  <c r="J23" i="310"/>
  <c r="I23" i="310"/>
  <c r="H23" i="310"/>
  <c r="G23" i="310"/>
  <c r="E23" i="310"/>
  <c r="L22" i="310"/>
  <c r="L23" i="310" s="1"/>
  <c r="I34" i="309"/>
  <c r="G34" i="309"/>
  <c r="L33" i="309"/>
  <c r="L34" i="309" s="1"/>
  <c r="K33" i="309"/>
  <c r="K34" i="309" s="1"/>
  <c r="J33" i="309"/>
  <c r="J34" i="309" s="1"/>
  <c r="I33" i="309"/>
  <c r="M33" i="309" s="1"/>
  <c r="M34" i="309" s="1"/>
  <c r="H33" i="309"/>
  <c r="H34" i="309" s="1"/>
  <c r="F33" i="309"/>
  <c r="F34" i="309" s="1"/>
  <c r="M32" i="309"/>
  <c r="M31" i="309"/>
  <c r="M30" i="309"/>
  <c r="M29" i="309"/>
  <c r="M28" i="309"/>
  <c r="M27" i="309"/>
  <c r="M26" i="309"/>
  <c r="M24" i="309"/>
  <c r="M23" i="309"/>
  <c r="M22" i="309"/>
  <c r="M21" i="309"/>
  <c r="M20" i="309"/>
  <c r="M19" i="309"/>
  <c r="M18" i="309"/>
  <c r="M17" i="309"/>
  <c r="M16" i="309"/>
  <c r="N15" i="309"/>
  <c r="C136" i="308"/>
  <c r="L134" i="308"/>
  <c r="K134" i="308"/>
  <c r="J134" i="308"/>
  <c r="I134" i="308"/>
  <c r="G134" i="308"/>
  <c r="O133" i="308"/>
  <c r="N133" i="308"/>
  <c r="N132" i="308"/>
  <c r="O132" i="308" s="1"/>
  <c r="O131" i="308"/>
  <c r="N131" i="308"/>
  <c r="O130" i="308"/>
  <c r="N130" i="308"/>
  <c r="N129" i="308"/>
  <c r="O129" i="308" s="1"/>
  <c r="O128" i="308"/>
  <c r="N128" i="308"/>
  <c r="O126" i="308"/>
  <c r="N126" i="308"/>
  <c r="N125" i="308"/>
  <c r="O125" i="308" s="1"/>
  <c r="O124" i="308"/>
  <c r="N124" i="308"/>
  <c r="O123" i="308"/>
  <c r="N123" i="308"/>
  <c r="N122" i="308"/>
  <c r="O122" i="308" s="1"/>
  <c r="O121" i="308"/>
  <c r="N121" i="308"/>
  <c r="O120" i="308"/>
  <c r="N120" i="308"/>
  <c r="N119" i="308"/>
  <c r="O119" i="308" s="1"/>
  <c r="O118" i="308"/>
  <c r="N118" i="308"/>
  <c r="O117" i="308"/>
  <c r="N117" i="308"/>
  <c r="N116" i="308"/>
  <c r="O116" i="308" s="1"/>
  <c r="O115" i="308"/>
  <c r="N115" i="308"/>
  <c r="O114" i="308"/>
  <c r="N114" i="308"/>
  <c r="N113" i="308"/>
  <c r="O113" i="308" s="1"/>
  <c r="O112" i="308"/>
  <c r="N112" i="308"/>
  <c r="O111" i="308"/>
  <c r="N111" i="308"/>
  <c r="N110" i="308"/>
  <c r="O110" i="308" s="1"/>
  <c r="O109" i="308"/>
  <c r="N109" i="308"/>
  <c r="O108" i="308"/>
  <c r="N108" i="308"/>
  <c r="N107" i="308"/>
  <c r="O107" i="308" s="1"/>
  <c r="O106" i="308"/>
  <c r="N106" i="308"/>
  <c r="O105" i="308"/>
  <c r="N105" i="308"/>
  <c r="N104" i="308"/>
  <c r="O104" i="308" s="1"/>
  <c r="O103" i="308"/>
  <c r="N103" i="308"/>
  <c r="O102" i="308"/>
  <c r="N102" i="308"/>
  <c r="N101" i="308"/>
  <c r="O101" i="308" s="1"/>
  <c r="O100" i="308"/>
  <c r="N100" i="308"/>
  <c r="L97" i="308"/>
  <c r="K97" i="308"/>
  <c r="J97" i="308"/>
  <c r="I97" i="308"/>
  <c r="G97" i="308"/>
  <c r="N96" i="308"/>
  <c r="N97" i="308" s="1"/>
  <c r="O95" i="308"/>
  <c r="N92" i="308"/>
  <c r="L92" i="308"/>
  <c r="K92" i="308"/>
  <c r="J92" i="308"/>
  <c r="I92" i="308"/>
  <c r="H92" i="308"/>
  <c r="G92" i="308"/>
  <c r="N91" i="308"/>
  <c r="O91" i="308" s="1"/>
  <c r="O90" i="308"/>
  <c r="N90" i="308"/>
  <c r="O89" i="308"/>
  <c r="N89" i="308"/>
  <c r="N88" i="308"/>
  <c r="O88" i="308" s="1"/>
  <c r="O87" i="308"/>
  <c r="N87" i="308"/>
  <c r="O86" i="308"/>
  <c r="O92" i="308" s="1"/>
  <c r="N86" i="308"/>
  <c r="M79" i="308"/>
  <c r="L79" i="308"/>
  <c r="K79" i="308"/>
  <c r="J79" i="308"/>
  <c r="I79" i="308"/>
  <c r="H79" i="308"/>
  <c r="G79" i="308"/>
  <c r="N78" i="308"/>
  <c r="N79" i="308" s="1"/>
  <c r="N77" i="308"/>
  <c r="O77" i="308" s="1"/>
  <c r="N74" i="308"/>
  <c r="M74" i="308"/>
  <c r="L74" i="308"/>
  <c r="K74" i="308"/>
  <c r="J74" i="308"/>
  <c r="I74" i="308"/>
  <c r="H74" i="308"/>
  <c r="G74" i="308"/>
  <c r="O73" i="308"/>
  <c r="O74" i="308" s="1"/>
  <c r="N73" i="308"/>
  <c r="L70" i="308"/>
  <c r="K70" i="308"/>
  <c r="J70" i="308"/>
  <c r="I70" i="308"/>
  <c r="G70" i="308"/>
  <c r="O69" i="308"/>
  <c r="N69" i="308"/>
  <c r="O68" i="308"/>
  <c r="N68" i="308"/>
  <c r="N67" i="308"/>
  <c r="O67" i="308" s="1"/>
  <c r="O66" i="308"/>
  <c r="L63" i="308"/>
  <c r="K63" i="308"/>
  <c r="J63" i="308"/>
  <c r="I63" i="308"/>
  <c r="G63" i="308"/>
  <c r="N61" i="308"/>
  <c r="O61" i="308" s="1"/>
  <c r="O60" i="308"/>
  <c r="N60" i="308"/>
  <c r="O59" i="308"/>
  <c r="N59" i="308"/>
  <c r="N58" i="308"/>
  <c r="O58" i="308" s="1"/>
  <c r="O57" i="308"/>
  <c r="N57" i="308"/>
  <c r="O56" i="308"/>
  <c r="N56" i="308"/>
  <c r="N55" i="308"/>
  <c r="N63" i="308" s="1"/>
  <c r="L52" i="308"/>
  <c r="K52" i="308"/>
  <c r="J52" i="308"/>
  <c r="I52" i="308"/>
  <c r="H52" i="308"/>
  <c r="G52" i="308"/>
  <c r="O51" i="308"/>
  <c r="N50" i="308"/>
  <c r="O50" i="308" s="1"/>
  <c r="O52" i="308" s="1"/>
  <c r="L47" i="308"/>
  <c r="K47" i="308"/>
  <c r="J47" i="308"/>
  <c r="I47" i="308"/>
  <c r="H47" i="308"/>
  <c r="G47" i="308"/>
  <c r="N46" i="308"/>
  <c r="O46" i="308" s="1"/>
  <c r="O47" i="308" s="1"/>
  <c r="L43" i="308"/>
  <c r="K43" i="308"/>
  <c r="J43" i="308"/>
  <c r="I43" i="308"/>
  <c r="H43" i="308"/>
  <c r="G43" i="308"/>
  <c r="O42" i="308"/>
  <c r="N42" i="308"/>
  <c r="N41" i="308"/>
  <c r="O41" i="308" s="1"/>
  <c r="O43" i="308" s="1"/>
  <c r="M30" i="308"/>
  <c r="L30" i="308"/>
  <c r="K30" i="308"/>
  <c r="J30" i="308"/>
  <c r="J136" i="308" s="1"/>
  <c r="I30" i="308"/>
  <c r="H30" i="308"/>
  <c r="G30" i="308"/>
  <c r="N29" i="308"/>
  <c r="O29" i="308" s="1"/>
  <c r="O28" i="308"/>
  <c r="N28" i="308"/>
  <c r="N30" i="308" s="1"/>
  <c r="M136" i="308"/>
  <c r="L25" i="308"/>
  <c r="K25" i="308"/>
  <c r="J25" i="308"/>
  <c r="I25" i="308"/>
  <c r="G25" i="308"/>
  <c r="N24" i="308"/>
  <c r="O24" i="308" s="1"/>
  <c r="O25" i="308" s="1"/>
  <c r="O136" i="308" s="1"/>
  <c r="N20" i="308"/>
  <c r="M20" i="308"/>
  <c r="L20" i="308"/>
  <c r="K20" i="308"/>
  <c r="J20" i="308"/>
  <c r="I20" i="308"/>
  <c r="H20" i="308"/>
  <c r="G20" i="308"/>
  <c r="O19" i="308"/>
  <c r="O20" i="308" s="1"/>
  <c r="N19" i="308"/>
  <c r="N16" i="308"/>
  <c r="M16" i="308"/>
  <c r="L16" i="308"/>
  <c r="L136" i="308" s="1"/>
  <c r="K16" i="308"/>
  <c r="J16" i="308"/>
  <c r="I16" i="308"/>
  <c r="I136" i="308" s="1"/>
  <c r="G16" i="308"/>
  <c r="G136" i="308" s="1"/>
  <c r="O15" i="308"/>
  <c r="N15" i="308"/>
  <c r="O14" i="308"/>
  <c r="O16" i="308" s="1"/>
  <c r="C226" i="307"/>
  <c r="K224" i="307"/>
  <c r="J224" i="307"/>
  <c r="H224" i="307"/>
  <c r="G224" i="307"/>
  <c r="E224" i="307"/>
  <c r="E226" i="307" s="1"/>
  <c r="M223" i="307"/>
  <c r="M222" i="307"/>
  <c r="M221" i="307"/>
  <c r="M220" i="307"/>
  <c r="L219" i="307"/>
  <c r="M219" i="307" s="1"/>
  <c r="L218" i="307"/>
  <c r="M218" i="307" s="1"/>
  <c r="L217" i="307"/>
  <c r="M217" i="307" s="1"/>
  <c r="L216" i="307"/>
  <c r="M216" i="307" s="1"/>
  <c r="L215" i="307"/>
  <c r="M215" i="307" s="1"/>
  <c r="L214" i="307"/>
  <c r="M214" i="307" s="1"/>
  <c r="L213" i="307"/>
  <c r="M213" i="307" s="1"/>
  <c r="M212" i="307"/>
  <c r="L212" i="307"/>
  <c r="L211" i="307"/>
  <c r="M211" i="307" s="1"/>
  <c r="L210" i="307"/>
  <c r="M210" i="307" s="1"/>
  <c r="L209" i="307"/>
  <c r="M209" i="307" s="1"/>
  <c r="L208" i="307"/>
  <c r="M208" i="307" s="1"/>
  <c r="L207" i="307"/>
  <c r="M207" i="307" s="1"/>
  <c r="L202" i="307"/>
  <c r="M202" i="307" s="1"/>
  <c r="L201" i="307"/>
  <c r="M201" i="307" s="1"/>
  <c r="M200" i="307"/>
  <c r="L199" i="307"/>
  <c r="M199" i="307" s="1"/>
  <c r="L198" i="307"/>
  <c r="M198" i="307" s="1"/>
  <c r="L197" i="307"/>
  <c r="M197" i="307" s="1"/>
  <c r="L196" i="307"/>
  <c r="M196" i="307" s="1"/>
  <c r="L195" i="307"/>
  <c r="M195" i="307" s="1"/>
  <c r="L194" i="307"/>
  <c r="M194" i="307" s="1"/>
  <c r="L193" i="307"/>
  <c r="M193" i="307" s="1"/>
  <c r="M192" i="307"/>
  <c r="L191" i="307"/>
  <c r="M191" i="307" s="1"/>
  <c r="L190" i="307"/>
  <c r="M190" i="307" s="1"/>
  <c r="M224" i="307" s="1"/>
  <c r="L189" i="307"/>
  <c r="M189" i="307" s="1"/>
  <c r="L188" i="307"/>
  <c r="M188" i="307" s="1"/>
  <c r="L187" i="307"/>
  <c r="M187" i="307" s="1"/>
  <c r="K184" i="307"/>
  <c r="J184" i="307"/>
  <c r="I184" i="307"/>
  <c r="H184" i="307"/>
  <c r="G184" i="307"/>
  <c r="E184" i="307"/>
  <c r="L183" i="307"/>
  <c r="M183" i="307" s="1"/>
  <c r="M182" i="307"/>
  <c r="L182" i="307"/>
  <c r="L181" i="307"/>
  <c r="M181" i="307" s="1"/>
  <c r="L180" i="307"/>
  <c r="K177" i="307"/>
  <c r="J177" i="307"/>
  <c r="I177" i="307"/>
  <c r="H177" i="307"/>
  <c r="G177" i="307"/>
  <c r="E177" i="307"/>
  <c r="L176" i="307"/>
  <c r="M176" i="307" s="1"/>
  <c r="L175" i="307"/>
  <c r="M175" i="307" s="1"/>
  <c r="L174" i="307"/>
  <c r="M174" i="307" s="1"/>
  <c r="M173" i="307"/>
  <c r="L173" i="307"/>
  <c r="L172" i="307"/>
  <c r="M172" i="307" s="1"/>
  <c r="L171" i="307"/>
  <c r="K168" i="307"/>
  <c r="J168" i="307"/>
  <c r="I168" i="307"/>
  <c r="H168" i="307"/>
  <c r="G168" i="307"/>
  <c r="F168" i="307"/>
  <c r="E168" i="307"/>
  <c r="L167" i="307"/>
  <c r="M167" i="307" s="1"/>
  <c r="L166" i="307"/>
  <c r="K163" i="307"/>
  <c r="J163" i="307"/>
  <c r="I163" i="307"/>
  <c r="H163" i="307"/>
  <c r="G163" i="307"/>
  <c r="E163" i="307"/>
  <c r="L162" i="307"/>
  <c r="M162" i="307" s="1"/>
  <c r="L161" i="307"/>
  <c r="K158" i="307"/>
  <c r="J158" i="307"/>
  <c r="I158" i="307"/>
  <c r="H158" i="307"/>
  <c r="G158" i="307"/>
  <c r="F158" i="307"/>
  <c r="E158" i="307"/>
  <c r="M157" i="307"/>
  <c r="L157" i="307"/>
  <c r="L156" i="307"/>
  <c r="M156" i="307" s="1"/>
  <c r="L155" i="307"/>
  <c r="M155" i="307" s="1"/>
  <c r="L154" i="307"/>
  <c r="L158" i="307" s="1"/>
  <c r="K151" i="307"/>
  <c r="J151" i="307"/>
  <c r="I151" i="307"/>
  <c r="H151" i="307"/>
  <c r="G151" i="307"/>
  <c r="F151" i="307"/>
  <c r="E151" i="307"/>
  <c r="K147" i="307"/>
  <c r="I147" i="307"/>
  <c r="H147" i="307"/>
  <c r="G147" i="307"/>
  <c r="E147" i="307"/>
  <c r="M146" i="307"/>
  <c r="L145" i="307"/>
  <c r="M145" i="307" s="1"/>
  <c r="K142" i="307"/>
  <c r="J142" i="307"/>
  <c r="I142" i="307"/>
  <c r="I226" i="307" s="1"/>
  <c r="H142" i="307"/>
  <c r="G142" i="307"/>
  <c r="F142" i="307"/>
  <c r="E142" i="307"/>
  <c r="L141" i="307"/>
  <c r="M141" i="307" s="1"/>
  <c r="M142" i="307" s="1"/>
  <c r="L140" i="307"/>
  <c r="M140" i="307" s="1"/>
  <c r="L139" i="307"/>
  <c r="K136" i="307"/>
  <c r="J136" i="307"/>
  <c r="I136" i="307"/>
  <c r="H136" i="307"/>
  <c r="G136" i="307"/>
  <c r="F136" i="307"/>
  <c r="E136" i="307"/>
  <c r="L135" i="307"/>
  <c r="M135" i="307" s="1"/>
  <c r="L134" i="307"/>
  <c r="M134" i="307" s="1"/>
  <c r="M133" i="307"/>
  <c r="L132" i="307"/>
  <c r="L136" i="307" s="1"/>
  <c r="K129" i="307"/>
  <c r="J129" i="307"/>
  <c r="I129" i="307"/>
  <c r="H129" i="307"/>
  <c r="G129" i="307"/>
  <c r="F129" i="307"/>
  <c r="E129" i="307"/>
  <c r="L128" i="307"/>
  <c r="M128" i="307" s="1"/>
  <c r="L127" i="307"/>
  <c r="M127" i="307" s="1"/>
  <c r="L126" i="307"/>
  <c r="K123" i="307"/>
  <c r="J123" i="307"/>
  <c r="I123" i="307"/>
  <c r="H123" i="307"/>
  <c r="G123" i="307"/>
  <c r="F123" i="307"/>
  <c r="L122" i="307"/>
  <c r="M122" i="307" s="1"/>
  <c r="M121" i="307"/>
  <c r="L120" i="307"/>
  <c r="M120" i="307" s="1"/>
  <c r="L119" i="307"/>
  <c r="M119" i="307" s="1"/>
  <c r="L118" i="307"/>
  <c r="M118" i="307" s="1"/>
  <c r="L117" i="307"/>
  <c r="M117" i="307" s="1"/>
  <c r="L116" i="307"/>
  <c r="M116" i="307" s="1"/>
  <c r="K113" i="307"/>
  <c r="J113" i="307"/>
  <c r="I113" i="307"/>
  <c r="H113" i="307"/>
  <c r="G113" i="307"/>
  <c r="E113" i="307"/>
  <c r="L112" i="307"/>
  <c r="M112" i="307" s="1"/>
  <c r="K109" i="307"/>
  <c r="J109" i="307"/>
  <c r="H109" i="307"/>
  <c r="G109" i="307"/>
  <c r="L108" i="307"/>
  <c r="M108" i="307" s="1"/>
  <c r="M107" i="307"/>
  <c r="K104" i="307"/>
  <c r="J104" i="307"/>
  <c r="H104" i="307"/>
  <c r="G104" i="307"/>
  <c r="E104" i="307"/>
  <c r="L103" i="307"/>
  <c r="M103" i="307" s="1"/>
  <c r="K100" i="307"/>
  <c r="J100" i="307"/>
  <c r="I100" i="307"/>
  <c r="H100" i="307"/>
  <c r="G100" i="307"/>
  <c r="E100" i="307"/>
  <c r="M99" i="307"/>
  <c r="L98" i="307"/>
  <c r="M98" i="307" s="1"/>
  <c r="M97" i="307"/>
  <c r="L97" i="307"/>
  <c r="K94" i="307"/>
  <c r="J94" i="307"/>
  <c r="I94" i="307"/>
  <c r="H94" i="307"/>
  <c r="G94" i="307"/>
  <c r="F94" i="307"/>
  <c r="E94" i="307"/>
  <c r="L93" i="307"/>
  <c r="M93" i="307" s="1"/>
  <c r="L92" i="307"/>
  <c r="J89" i="307"/>
  <c r="I89" i="307"/>
  <c r="H89" i="307"/>
  <c r="G89" i="307"/>
  <c r="E89" i="307"/>
  <c r="L88" i="307"/>
  <c r="M88" i="307" s="1"/>
  <c r="L87" i="307"/>
  <c r="M87" i="307" s="1"/>
  <c r="M86" i="307"/>
  <c r="L86" i="307"/>
  <c r="L85" i="307"/>
  <c r="M85" i="307" s="1"/>
  <c r="L84" i="307"/>
  <c r="M84" i="307" s="1"/>
  <c r="M89" i="307" s="1"/>
  <c r="L83" i="307"/>
  <c r="M83" i="307" s="1"/>
  <c r="L82" i="307"/>
  <c r="M82" i="307" s="1"/>
  <c r="L81" i="307"/>
  <c r="M81" i="307" s="1"/>
  <c r="L80" i="307"/>
  <c r="M80" i="307" s="1"/>
  <c r="L79" i="307"/>
  <c r="M79" i="307" s="1"/>
  <c r="L78" i="307"/>
  <c r="M78" i="307" s="1"/>
  <c r="L77" i="307"/>
  <c r="M77" i="307" s="1"/>
  <c r="K74" i="307"/>
  <c r="J74" i="307"/>
  <c r="I74" i="307"/>
  <c r="H74" i="307"/>
  <c r="G74" i="307"/>
  <c r="F74" i="307"/>
  <c r="E74" i="307"/>
  <c r="L73" i="307"/>
  <c r="M73" i="307" s="1"/>
  <c r="L72" i="307"/>
  <c r="M72" i="307" s="1"/>
  <c r="L71" i="307"/>
  <c r="M71" i="307" s="1"/>
  <c r="L70" i="307"/>
  <c r="M70" i="307" s="1"/>
  <c r="L69" i="307"/>
  <c r="M69" i="307" s="1"/>
  <c r="M68" i="307"/>
  <c r="L68" i="307"/>
  <c r="L67" i="307"/>
  <c r="M67" i="307" s="1"/>
  <c r="L66" i="307"/>
  <c r="M66" i="307" s="1"/>
  <c r="L65" i="307"/>
  <c r="M65" i="307" s="1"/>
  <c r="L64" i="307"/>
  <c r="M64" i="307" s="1"/>
  <c r="L63" i="307"/>
  <c r="M63" i="307" s="1"/>
  <c r="L62" i="307"/>
  <c r="K59" i="307"/>
  <c r="J59" i="307"/>
  <c r="I59" i="307"/>
  <c r="H59" i="307"/>
  <c r="G59" i="307"/>
  <c r="F59" i="307"/>
  <c r="E59" i="307"/>
  <c r="M58" i="307"/>
  <c r="L57" i="307"/>
  <c r="M57" i="307" s="1"/>
  <c r="L56" i="307"/>
  <c r="M56" i="307" s="1"/>
  <c r="K53" i="307"/>
  <c r="J53" i="307"/>
  <c r="I53" i="307"/>
  <c r="H53" i="307"/>
  <c r="G53" i="307"/>
  <c r="F53" i="307"/>
  <c r="E53" i="307"/>
  <c r="L52" i="307"/>
  <c r="M52" i="307" s="1"/>
  <c r="K49" i="307"/>
  <c r="J49" i="307"/>
  <c r="I49" i="307"/>
  <c r="H49" i="307"/>
  <c r="G49" i="307"/>
  <c r="F49" i="307"/>
  <c r="E49" i="307"/>
  <c r="L48" i="307"/>
  <c r="M48" i="307" s="1"/>
  <c r="L47" i="307"/>
  <c r="L49" i="307" s="1"/>
  <c r="K44" i="307"/>
  <c r="J44" i="307"/>
  <c r="I44" i="307"/>
  <c r="H44" i="307"/>
  <c r="F44" i="307"/>
  <c r="E44" i="307"/>
  <c r="L43" i="307"/>
  <c r="L44" i="307" s="1"/>
  <c r="J40" i="307"/>
  <c r="I40" i="307"/>
  <c r="H40" i="307"/>
  <c r="G40" i="307"/>
  <c r="E40" i="307"/>
  <c r="L39" i="307"/>
  <c r="M39" i="307" s="1"/>
  <c r="L38" i="307"/>
  <c r="M38" i="307" s="1"/>
  <c r="L37" i="307"/>
  <c r="M37" i="307" s="1"/>
  <c r="L36" i="307"/>
  <c r="M36" i="307" s="1"/>
  <c r="M35" i="307"/>
  <c r="L35" i="307"/>
  <c r="L34" i="307"/>
  <c r="M34" i="307" s="1"/>
  <c r="L33" i="307"/>
  <c r="K30" i="307"/>
  <c r="J30" i="307"/>
  <c r="I30" i="307"/>
  <c r="H30" i="307"/>
  <c r="G30" i="307"/>
  <c r="F30" i="307"/>
  <c r="E30" i="307"/>
  <c r="M29" i="307"/>
  <c r="L29" i="307"/>
  <c r="L30" i="307" s="1"/>
  <c r="K26" i="307"/>
  <c r="J26" i="307"/>
  <c r="I26" i="307"/>
  <c r="H26" i="307"/>
  <c r="G26" i="307"/>
  <c r="E26" i="307"/>
  <c r="L25" i="307"/>
  <c r="M25" i="307" s="1"/>
  <c r="L23" i="307"/>
  <c r="M23" i="307" s="1"/>
  <c r="L22" i="307"/>
  <c r="K19" i="307"/>
  <c r="J19" i="307"/>
  <c r="I19" i="307"/>
  <c r="H19" i="307"/>
  <c r="G19" i="307"/>
  <c r="F19" i="307"/>
  <c r="E19" i="307"/>
  <c r="L18" i="307"/>
  <c r="M18" i="307" s="1"/>
  <c r="M17" i="307"/>
  <c r="L16" i="307"/>
  <c r="M16" i="307" s="1"/>
  <c r="L15" i="307"/>
  <c r="M15" i="307" s="1"/>
  <c r="D62" i="303"/>
  <c r="N29" i="301"/>
  <c r="J136" i="301"/>
  <c r="C136" i="301"/>
  <c r="I97" i="301"/>
  <c r="J97" i="301"/>
  <c r="K97" i="301"/>
  <c r="L97" i="301"/>
  <c r="M97" i="301"/>
  <c r="G97" i="301"/>
  <c r="M145" i="300"/>
  <c r="E223" i="300"/>
  <c r="I18" i="306"/>
  <c r="K16" i="306"/>
  <c r="K18" i="306" s="1"/>
  <c r="J16" i="306"/>
  <c r="J18" i="306" s="1"/>
  <c r="I16" i="306"/>
  <c r="H16" i="306"/>
  <c r="H18" i="306" s="1"/>
  <c r="G16" i="306"/>
  <c r="G18" i="306" s="1"/>
  <c r="F16" i="306"/>
  <c r="F18" i="306" s="1"/>
  <c r="E16" i="306"/>
  <c r="E18" i="306" s="1"/>
  <c r="L15" i="306"/>
  <c r="M15" i="306" s="1"/>
  <c r="M16" i="305"/>
  <c r="M22" i="305" s="1"/>
  <c r="L16" i="305"/>
  <c r="L22" i="305" s="1"/>
  <c r="K16" i="305"/>
  <c r="K22" i="305" s="1"/>
  <c r="J16" i="305"/>
  <c r="J22" i="305" s="1"/>
  <c r="I16" i="305"/>
  <c r="I22" i="305" s="1"/>
  <c r="H16" i="305"/>
  <c r="H22" i="305" s="1"/>
  <c r="G16" i="305"/>
  <c r="G22" i="305" s="1"/>
  <c r="F16" i="305"/>
  <c r="E16" i="305"/>
  <c r="E22" i="305" s="1"/>
  <c r="L23" i="304"/>
  <c r="L22" i="304"/>
  <c r="M22" i="304" s="1"/>
  <c r="L19" i="304"/>
  <c r="K19" i="304"/>
  <c r="J19" i="304"/>
  <c r="I19" i="304"/>
  <c r="H19" i="304"/>
  <c r="G19" i="304"/>
  <c r="F19" i="304"/>
  <c r="E19" i="304"/>
  <c r="L18" i="304"/>
  <c r="M18" i="304" s="1"/>
  <c r="K15" i="304"/>
  <c r="J15" i="304"/>
  <c r="J29" i="304" s="1"/>
  <c r="I15" i="304"/>
  <c r="I29" i="304" s="1"/>
  <c r="H15" i="304"/>
  <c r="H29" i="304" s="1"/>
  <c r="G15" i="304"/>
  <c r="G29" i="304" s="1"/>
  <c r="F15" i="304"/>
  <c r="E15" i="304"/>
  <c r="E29" i="304" s="1"/>
  <c r="L14" i="304"/>
  <c r="M14" i="304" s="1"/>
  <c r="M15" i="304" s="1"/>
  <c r="J60" i="303"/>
  <c r="I60" i="303"/>
  <c r="H60" i="303"/>
  <c r="G60" i="303"/>
  <c r="E60" i="303"/>
  <c r="L59" i="303"/>
  <c r="L60" i="303" s="1"/>
  <c r="J56" i="303"/>
  <c r="I56" i="303"/>
  <c r="H56" i="303"/>
  <c r="G56" i="303"/>
  <c r="E56" i="303"/>
  <c r="L55" i="303"/>
  <c r="L56" i="303" s="1"/>
  <c r="M56" i="303" s="1"/>
  <c r="J52" i="303"/>
  <c r="I52" i="303"/>
  <c r="H52" i="303"/>
  <c r="G52" i="303"/>
  <c r="E52" i="303"/>
  <c r="L51" i="303"/>
  <c r="M51" i="303" s="1"/>
  <c r="L50" i="303"/>
  <c r="J47" i="303"/>
  <c r="I47" i="303"/>
  <c r="H47" i="303"/>
  <c r="G47" i="303"/>
  <c r="E47" i="303"/>
  <c r="L46" i="303"/>
  <c r="L47" i="303" s="1"/>
  <c r="J43" i="303"/>
  <c r="I43" i="303"/>
  <c r="H43" i="303"/>
  <c r="G43" i="303"/>
  <c r="E43" i="303"/>
  <c r="L42" i="303"/>
  <c r="L43" i="303" s="1"/>
  <c r="J39" i="303"/>
  <c r="I39" i="303"/>
  <c r="H39" i="303"/>
  <c r="G39" i="303"/>
  <c r="E39" i="303"/>
  <c r="M38" i="303"/>
  <c r="L38" i="303"/>
  <c r="L39" i="303" s="1"/>
  <c r="M39" i="303" s="1"/>
  <c r="J27" i="303"/>
  <c r="I27" i="303"/>
  <c r="H27" i="303"/>
  <c r="G27" i="303"/>
  <c r="M27" i="303" s="1"/>
  <c r="E27" i="303"/>
  <c r="L26" i="303"/>
  <c r="L27" i="303" s="1"/>
  <c r="J23" i="303"/>
  <c r="I23" i="303"/>
  <c r="H23" i="303"/>
  <c r="G23" i="303"/>
  <c r="M23" i="303" s="1"/>
  <c r="E23" i="303"/>
  <c r="L22" i="303"/>
  <c r="L23" i="303" s="1"/>
  <c r="G34" i="302"/>
  <c r="L33" i="302"/>
  <c r="L34" i="302" s="1"/>
  <c r="K33" i="302"/>
  <c r="K34" i="302" s="1"/>
  <c r="J33" i="302"/>
  <c r="J34" i="302" s="1"/>
  <c r="I33" i="302"/>
  <c r="I34" i="302" s="1"/>
  <c r="H33" i="302"/>
  <c r="H34" i="302" s="1"/>
  <c r="F33" i="302"/>
  <c r="F34" i="302" s="1"/>
  <c r="M32" i="302"/>
  <c r="M31" i="302"/>
  <c r="M30" i="302"/>
  <c r="M29" i="302"/>
  <c r="M28" i="302"/>
  <c r="M27" i="302"/>
  <c r="M26" i="302"/>
  <c r="M24" i="302"/>
  <c r="M23" i="302"/>
  <c r="M22" i="302"/>
  <c r="M21" i="302"/>
  <c r="M20" i="302"/>
  <c r="M19" i="302"/>
  <c r="M18" i="302"/>
  <c r="M17" i="302"/>
  <c r="M16" i="302"/>
  <c r="N15" i="302"/>
  <c r="M134" i="301"/>
  <c r="L134" i="301"/>
  <c r="K134" i="301"/>
  <c r="J134" i="301"/>
  <c r="I134" i="301"/>
  <c r="G134" i="301"/>
  <c r="N133" i="301"/>
  <c r="O133" i="301" s="1"/>
  <c r="N132" i="301"/>
  <c r="O132" i="301" s="1"/>
  <c r="N131" i="301"/>
  <c r="O131" i="301" s="1"/>
  <c r="N130" i="301"/>
  <c r="O130" i="301" s="1"/>
  <c r="N129" i="301"/>
  <c r="O129" i="301" s="1"/>
  <c r="N128" i="301"/>
  <c r="O128" i="301" s="1"/>
  <c r="N126" i="301"/>
  <c r="O126" i="301" s="1"/>
  <c r="N125" i="301"/>
  <c r="O125" i="301" s="1"/>
  <c r="N124" i="301"/>
  <c r="O124" i="301" s="1"/>
  <c r="N123" i="301"/>
  <c r="O123" i="301" s="1"/>
  <c r="N122" i="301"/>
  <c r="O122" i="301" s="1"/>
  <c r="N121" i="301"/>
  <c r="O121" i="301" s="1"/>
  <c r="N120" i="301"/>
  <c r="O120" i="301" s="1"/>
  <c r="N119" i="301"/>
  <c r="O119" i="301" s="1"/>
  <c r="N118" i="301"/>
  <c r="O118" i="301" s="1"/>
  <c r="N117" i="301"/>
  <c r="O117" i="301" s="1"/>
  <c r="N116" i="301"/>
  <c r="O116" i="301" s="1"/>
  <c r="N115" i="301"/>
  <c r="O115" i="301" s="1"/>
  <c r="N114" i="301"/>
  <c r="O114" i="301" s="1"/>
  <c r="N113" i="301"/>
  <c r="O113" i="301" s="1"/>
  <c r="N112" i="301"/>
  <c r="O112" i="301" s="1"/>
  <c r="N111" i="301"/>
  <c r="O111" i="301" s="1"/>
  <c r="N110" i="301"/>
  <c r="O110" i="301" s="1"/>
  <c r="N109" i="301"/>
  <c r="O109" i="301" s="1"/>
  <c r="N108" i="301"/>
  <c r="O108" i="301" s="1"/>
  <c r="N107" i="301"/>
  <c r="O107" i="301" s="1"/>
  <c r="N106" i="301"/>
  <c r="O106" i="301" s="1"/>
  <c r="N105" i="301"/>
  <c r="O105" i="301" s="1"/>
  <c r="N104" i="301"/>
  <c r="O104" i="301" s="1"/>
  <c r="N103" i="301"/>
  <c r="O103" i="301" s="1"/>
  <c r="N102" i="301"/>
  <c r="O102" i="301" s="1"/>
  <c r="N101" i="301"/>
  <c r="O101" i="301" s="1"/>
  <c r="N100" i="301"/>
  <c r="O100" i="301" s="1"/>
  <c r="N96" i="301"/>
  <c r="N97" i="301" s="1"/>
  <c r="M92" i="301"/>
  <c r="L92" i="301"/>
  <c r="K92" i="301"/>
  <c r="J92" i="301"/>
  <c r="I92" i="301"/>
  <c r="H92" i="301"/>
  <c r="G92" i="301"/>
  <c r="N91" i="301"/>
  <c r="O91" i="301" s="1"/>
  <c r="N90" i="301"/>
  <c r="O90" i="301" s="1"/>
  <c r="N89" i="301"/>
  <c r="N88" i="301"/>
  <c r="O88" i="301" s="1"/>
  <c r="N87" i="301"/>
  <c r="O87" i="301" s="1"/>
  <c r="N86" i="301"/>
  <c r="O86" i="301" s="1"/>
  <c r="O95" i="301"/>
  <c r="M79" i="301"/>
  <c r="L79" i="301"/>
  <c r="K79" i="301"/>
  <c r="J79" i="301"/>
  <c r="I79" i="301"/>
  <c r="H79" i="301"/>
  <c r="G79" i="301"/>
  <c r="N78" i="301"/>
  <c r="O78" i="301" s="1"/>
  <c r="N77" i="301"/>
  <c r="M74" i="301"/>
  <c r="L74" i="301"/>
  <c r="K74" i="301"/>
  <c r="J74" i="301"/>
  <c r="I74" i="301"/>
  <c r="H74" i="301"/>
  <c r="G74" i="301"/>
  <c r="N73" i="301"/>
  <c r="N74" i="301" s="1"/>
  <c r="M70" i="301"/>
  <c r="L70" i="301"/>
  <c r="K70" i="301"/>
  <c r="J70" i="301"/>
  <c r="I70" i="301"/>
  <c r="G70" i="301"/>
  <c r="N69" i="301"/>
  <c r="O69" i="301" s="1"/>
  <c r="N68" i="301"/>
  <c r="O68" i="301" s="1"/>
  <c r="N67" i="301"/>
  <c r="O67" i="301" s="1"/>
  <c r="N66" i="301"/>
  <c r="M63" i="301"/>
  <c r="L63" i="301"/>
  <c r="K63" i="301"/>
  <c r="J63" i="301"/>
  <c r="I63" i="301"/>
  <c r="G63" i="301"/>
  <c r="N61" i="301"/>
  <c r="O61" i="301" s="1"/>
  <c r="N60" i="301"/>
  <c r="O60" i="301" s="1"/>
  <c r="N59" i="301"/>
  <c r="O59" i="301" s="1"/>
  <c r="N58" i="301"/>
  <c r="O58" i="301" s="1"/>
  <c r="N57" i="301"/>
  <c r="O57" i="301" s="1"/>
  <c r="N56" i="301"/>
  <c r="O56" i="301" s="1"/>
  <c r="N55" i="301"/>
  <c r="M52" i="301"/>
  <c r="L52" i="301"/>
  <c r="K52" i="301"/>
  <c r="J52" i="301"/>
  <c r="I52" i="301"/>
  <c r="H52" i="301"/>
  <c r="G52" i="301"/>
  <c r="O51" i="301"/>
  <c r="N50" i="301"/>
  <c r="O50" i="301" s="1"/>
  <c r="M47" i="301"/>
  <c r="L47" i="301"/>
  <c r="K47" i="301"/>
  <c r="J47" i="301"/>
  <c r="I47" i="301"/>
  <c r="H47" i="301"/>
  <c r="G47" i="301"/>
  <c r="N46" i="301"/>
  <c r="N47" i="301" s="1"/>
  <c r="M43" i="301"/>
  <c r="L43" i="301"/>
  <c r="K43" i="301"/>
  <c r="K136" i="301" s="1"/>
  <c r="J43" i="301"/>
  <c r="I43" i="301"/>
  <c r="H43" i="301"/>
  <c r="G43" i="301"/>
  <c r="N42" i="301"/>
  <c r="O42" i="301" s="1"/>
  <c r="N41" i="301"/>
  <c r="M30" i="301"/>
  <c r="L30" i="301"/>
  <c r="K30" i="301"/>
  <c r="J30" i="301"/>
  <c r="I30" i="301"/>
  <c r="H30" i="301"/>
  <c r="G30" i="301"/>
  <c r="O29" i="301"/>
  <c r="N28" i="301"/>
  <c r="O28" i="301" s="1"/>
  <c r="M25" i="301"/>
  <c r="L25" i="301"/>
  <c r="K25" i="301"/>
  <c r="J25" i="301"/>
  <c r="I25" i="301"/>
  <c r="G25" i="301"/>
  <c r="N24" i="301"/>
  <c r="O24" i="301" s="1"/>
  <c r="O25" i="301" s="1"/>
  <c r="M20" i="301"/>
  <c r="L20" i="301"/>
  <c r="K20" i="301"/>
  <c r="J20" i="301"/>
  <c r="I20" i="301"/>
  <c r="H20" i="301"/>
  <c r="G20" i="301"/>
  <c r="N19" i="301"/>
  <c r="N20" i="301" s="1"/>
  <c r="M16" i="301"/>
  <c r="M136" i="301" s="1"/>
  <c r="L16" i="301"/>
  <c r="L136" i="301" s="1"/>
  <c r="K16" i="301"/>
  <c r="J16" i="301"/>
  <c r="I16" i="301"/>
  <c r="I136" i="301" s="1"/>
  <c r="G16" i="301"/>
  <c r="G136" i="301" s="1"/>
  <c r="N15" i="301"/>
  <c r="O15" i="301" s="1"/>
  <c r="O14" i="301"/>
  <c r="O16" i="301" s="1"/>
  <c r="C225" i="300"/>
  <c r="K223" i="300"/>
  <c r="J223" i="300"/>
  <c r="I223" i="300"/>
  <c r="H223" i="300"/>
  <c r="G223" i="300"/>
  <c r="M222" i="300"/>
  <c r="M221" i="300"/>
  <c r="M220" i="300"/>
  <c r="M219" i="300"/>
  <c r="L218" i="300"/>
  <c r="M218" i="300" s="1"/>
  <c r="L217" i="300"/>
  <c r="M217" i="300" s="1"/>
  <c r="L216" i="300"/>
  <c r="M216" i="300" s="1"/>
  <c r="L215" i="300"/>
  <c r="M215" i="300" s="1"/>
  <c r="L214" i="300"/>
  <c r="M214" i="300" s="1"/>
  <c r="L213" i="300"/>
  <c r="M213" i="300" s="1"/>
  <c r="L212" i="300"/>
  <c r="M212" i="300" s="1"/>
  <c r="L211" i="300"/>
  <c r="M211" i="300" s="1"/>
  <c r="L210" i="300"/>
  <c r="M210" i="300" s="1"/>
  <c r="L209" i="300"/>
  <c r="M209" i="300" s="1"/>
  <c r="L208" i="300"/>
  <c r="M208" i="300" s="1"/>
  <c r="L207" i="300"/>
  <c r="M207" i="300" s="1"/>
  <c r="L206" i="300"/>
  <c r="M206" i="300" s="1"/>
  <c r="L201" i="300"/>
  <c r="M201" i="300" s="1"/>
  <c r="L200" i="300"/>
  <c r="M200" i="300" s="1"/>
  <c r="M199" i="300"/>
  <c r="L198" i="300"/>
  <c r="M198" i="300" s="1"/>
  <c r="L197" i="300"/>
  <c r="M197" i="300" s="1"/>
  <c r="L196" i="300"/>
  <c r="M196" i="300" s="1"/>
  <c r="L195" i="300"/>
  <c r="M195" i="300" s="1"/>
  <c r="L194" i="300"/>
  <c r="M194" i="300" s="1"/>
  <c r="L193" i="300"/>
  <c r="M193" i="300" s="1"/>
  <c r="L192" i="300"/>
  <c r="M192" i="300" s="1"/>
  <c r="M191" i="300"/>
  <c r="L190" i="300"/>
  <c r="M190" i="300" s="1"/>
  <c r="L189" i="300"/>
  <c r="M189" i="300" s="1"/>
  <c r="L188" i="300"/>
  <c r="M188" i="300" s="1"/>
  <c r="L187" i="300"/>
  <c r="M187" i="300" s="1"/>
  <c r="L186" i="300"/>
  <c r="M186" i="300" s="1"/>
  <c r="K183" i="300"/>
  <c r="J183" i="300"/>
  <c r="I183" i="300"/>
  <c r="H183" i="300"/>
  <c r="G183" i="300"/>
  <c r="E183" i="300"/>
  <c r="L182" i="300"/>
  <c r="M182" i="300" s="1"/>
  <c r="M181" i="300"/>
  <c r="L181" i="300"/>
  <c r="L180" i="300"/>
  <c r="M180" i="300" s="1"/>
  <c r="L179" i="300"/>
  <c r="M179" i="300" s="1"/>
  <c r="K176" i="300"/>
  <c r="J176" i="300"/>
  <c r="I176" i="300"/>
  <c r="H176" i="300"/>
  <c r="G176" i="300"/>
  <c r="E176" i="300"/>
  <c r="L175" i="300"/>
  <c r="M175" i="300" s="1"/>
  <c r="M174" i="300"/>
  <c r="L174" i="300"/>
  <c r="L173" i="300"/>
  <c r="M173" i="300" s="1"/>
  <c r="L172" i="300"/>
  <c r="M172" i="300" s="1"/>
  <c r="L171" i="300"/>
  <c r="M171" i="300" s="1"/>
  <c r="L170" i="300"/>
  <c r="M170" i="300" s="1"/>
  <c r="K167" i="300"/>
  <c r="J167" i="300"/>
  <c r="I167" i="300"/>
  <c r="H167" i="300"/>
  <c r="G167" i="300"/>
  <c r="F167" i="300"/>
  <c r="E167" i="300"/>
  <c r="L166" i="300"/>
  <c r="M166" i="300" s="1"/>
  <c r="L165" i="300"/>
  <c r="M165" i="300" s="1"/>
  <c r="M167" i="300" s="1"/>
  <c r="K162" i="300"/>
  <c r="J162" i="300"/>
  <c r="I162" i="300"/>
  <c r="H162" i="300"/>
  <c r="G162" i="300"/>
  <c r="E162" i="300"/>
  <c r="L161" i="300"/>
  <c r="M161" i="300" s="1"/>
  <c r="L160" i="300"/>
  <c r="M160" i="300" s="1"/>
  <c r="K157" i="300"/>
  <c r="J157" i="300"/>
  <c r="I157" i="300"/>
  <c r="H157" i="300"/>
  <c r="G157" i="300"/>
  <c r="F157" i="300"/>
  <c r="E157" i="300"/>
  <c r="L156" i="300"/>
  <c r="M156" i="300" s="1"/>
  <c r="L155" i="300"/>
  <c r="M155" i="300" s="1"/>
  <c r="L154" i="300"/>
  <c r="M154" i="300" s="1"/>
  <c r="L153" i="300"/>
  <c r="M153" i="300" s="1"/>
  <c r="K150" i="300"/>
  <c r="J150" i="300"/>
  <c r="I150" i="300"/>
  <c r="H150" i="300"/>
  <c r="G150" i="300"/>
  <c r="F150" i="300"/>
  <c r="E150" i="300"/>
  <c r="L149" i="300"/>
  <c r="L150" i="300" s="1"/>
  <c r="K146" i="300"/>
  <c r="J146" i="300"/>
  <c r="I146" i="300"/>
  <c r="H146" i="300"/>
  <c r="G146" i="300"/>
  <c r="E146" i="300"/>
  <c r="L144" i="300"/>
  <c r="M144" i="300" s="1"/>
  <c r="K141" i="300"/>
  <c r="J141" i="300"/>
  <c r="I141" i="300"/>
  <c r="H141" i="300"/>
  <c r="G141" i="300"/>
  <c r="F141" i="300"/>
  <c r="E141" i="300"/>
  <c r="L140" i="300"/>
  <c r="M140" i="300" s="1"/>
  <c r="L139" i="300"/>
  <c r="M139" i="300" s="1"/>
  <c r="L138" i="300"/>
  <c r="K135" i="300"/>
  <c r="J135" i="300"/>
  <c r="I135" i="300"/>
  <c r="H135" i="300"/>
  <c r="G135" i="300"/>
  <c r="F135" i="300"/>
  <c r="E135" i="300"/>
  <c r="L134" i="300"/>
  <c r="M134" i="300" s="1"/>
  <c r="L133" i="300"/>
  <c r="M133" i="300" s="1"/>
  <c r="M132" i="300"/>
  <c r="L131" i="300"/>
  <c r="K128" i="300"/>
  <c r="J128" i="300"/>
  <c r="I128" i="300"/>
  <c r="H128" i="300"/>
  <c r="G128" i="300"/>
  <c r="F128" i="300"/>
  <c r="E128" i="300"/>
  <c r="L127" i="300"/>
  <c r="M127" i="300" s="1"/>
  <c r="L126" i="300"/>
  <c r="M126" i="300" s="1"/>
  <c r="L125" i="300"/>
  <c r="K122" i="300"/>
  <c r="J122" i="300"/>
  <c r="I122" i="300"/>
  <c r="H122" i="300"/>
  <c r="G122" i="300"/>
  <c r="F122" i="300"/>
  <c r="E122" i="300"/>
  <c r="L121" i="300"/>
  <c r="M121" i="300" s="1"/>
  <c r="M120" i="300"/>
  <c r="L119" i="300"/>
  <c r="M119" i="300" s="1"/>
  <c r="L118" i="300"/>
  <c r="M118" i="300" s="1"/>
  <c r="L117" i="300"/>
  <c r="M117" i="300" s="1"/>
  <c r="L116" i="300"/>
  <c r="M116" i="300" s="1"/>
  <c r="L115" i="300"/>
  <c r="L112" i="300"/>
  <c r="K112" i="300"/>
  <c r="J112" i="300"/>
  <c r="I112" i="300"/>
  <c r="H112" i="300"/>
  <c r="G112" i="300"/>
  <c r="E112" i="300"/>
  <c r="L111" i="300"/>
  <c r="M111" i="300" s="1"/>
  <c r="M112" i="300" s="1"/>
  <c r="K108" i="300"/>
  <c r="J108" i="300"/>
  <c r="I108" i="300"/>
  <c r="H108" i="300"/>
  <c r="G108" i="300"/>
  <c r="E108" i="300"/>
  <c r="L107" i="300"/>
  <c r="L108" i="300" s="1"/>
  <c r="M106" i="300"/>
  <c r="K103" i="300"/>
  <c r="J103" i="300"/>
  <c r="H103" i="300"/>
  <c r="G103" i="300"/>
  <c r="E103" i="300"/>
  <c r="L102" i="300"/>
  <c r="L103" i="300" s="1"/>
  <c r="K99" i="300"/>
  <c r="J99" i="300"/>
  <c r="I99" i="300"/>
  <c r="H99" i="300"/>
  <c r="G99" i="300"/>
  <c r="E99" i="300"/>
  <c r="M98" i="300"/>
  <c r="L97" i="300"/>
  <c r="L96" i="300"/>
  <c r="M96" i="300" s="1"/>
  <c r="K93" i="300"/>
  <c r="J93" i="300"/>
  <c r="I93" i="300"/>
  <c r="H93" i="300"/>
  <c r="G93" i="300"/>
  <c r="F93" i="300"/>
  <c r="E93" i="300"/>
  <c r="L92" i="300"/>
  <c r="M92" i="300" s="1"/>
  <c r="L91" i="300"/>
  <c r="M91" i="300" s="1"/>
  <c r="K88" i="300"/>
  <c r="J88" i="300"/>
  <c r="I88" i="300"/>
  <c r="H88" i="300"/>
  <c r="G88" i="300"/>
  <c r="E88" i="300"/>
  <c r="L87" i="300"/>
  <c r="M87" i="300" s="1"/>
  <c r="L86" i="300"/>
  <c r="M86" i="300" s="1"/>
  <c r="L85" i="300"/>
  <c r="M85" i="300" s="1"/>
  <c r="M84" i="300"/>
  <c r="L84" i="300"/>
  <c r="L83" i="300"/>
  <c r="M83" i="300" s="1"/>
  <c r="L82" i="300"/>
  <c r="M82" i="300" s="1"/>
  <c r="L81" i="300"/>
  <c r="M81" i="300" s="1"/>
  <c r="L80" i="300"/>
  <c r="M80" i="300" s="1"/>
  <c r="L79" i="300"/>
  <c r="M79" i="300" s="1"/>
  <c r="L78" i="300"/>
  <c r="M78" i="300" s="1"/>
  <c r="L77" i="300"/>
  <c r="M77" i="300" s="1"/>
  <c r="L76" i="300"/>
  <c r="M76" i="300" s="1"/>
  <c r="K73" i="300"/>
  <c r="J73" i="300"/>
  <c r="I73" i="300"/>
  <c r="H73" i="300"/>
  <c r="G73" i="300"/>
  <c r="F73" i="300"/>
  <c r="E73" i="300"/>
  <c r="L72" i="300"/>
  <c r="M72" i="300" s="1"/>
  <c r="L71" i="300"/>
  <c r="M71" i="300" s="1"/>
  <c r="L70" i="300"/>
  <c r="M70" i="300" s="1"/>
  <c r="M69" i="300"/>
  <c r="L69" i="300"/>
  <c r="L68" i="300"/>
  <c r="M68" i="300" s="1"/>
  <c r="L67" i="300"/>
  <c r="M67" i="300" s="1"/>
  <c r="L66" i="300"/>
  <c r="M66" i="300" s="1"/>
  <c r="L65" i="300"/>
  <c r="M65" i="300" s="1"/>
  <c r="L64" i="300"/>
  <c r="M64" i="300" s="1"/>
  <c r="L63" i="300"/>
  <c r="M63" i="300" s="1"/>
  <c r="L62" i="300"/>
  <c r="M62" i="300" s="1"/>
  <c r="L61" i="300"/>
  <c r="M61" i="300" s="1"/>
  <c r="K58" i="300"/>
  <c r="J58" i="300"/>
  <c r="I58" i="300"/>
  <c r="H58" i="300"/>
  <c r="G58" i="300"/>
  <c r="F58" i="300"/>
  <c r="E58" i="300"/>
  <c r="M57" i="300"/>
  <c r="L56" i="300"/>
  <c r="M56" i="300" s="1"/>
  <c r="L55" i="300"/>
  <c r="K52" i="300"/>
  <c r="J52" i="300"/>
  <c r="I52" i="300"/>
  <c r="H52" i="300"/>
  <c r="G52" i="300"/>
  <c r="F52" i="300"/>
  <c r="E52" i="300"/>
  <c r="L51" i="300"/>
  <c r="L52" i="300" s="1"/>
  <c r="K48" i="300"/>
  <c r="J48" i="300"/>
  <c r="I48" i="300"/>
  <c r="H48" i="300"/>
  <c r="G48" i="300"/>
  <c r="F48" i="300"/>
  <c r="E48" i="300"/>
  <c r="L47" i="300"/>
  <c r="M47" i="300" s="1"/>
  <c r="L46" i="300"/>
  <c r="M46" i="300" s="1"/>
  <c r="K43" i="300"/>
  <c r="J43" i="300"/>
  <c r="I43" i="300"/>
  <c r="H43" i="300"/>
  <c r="F43" i="300"/>
  <c r="E43" i="300"/>
  <c r="L42" i="300"/>
  <c r="L43" i="300" s="1"/>
  <c r="K39" i="300"/>
  <c r="J39" i="300"/>
  <c r="I39" i="300"/>
  <c r="H39" i="300"/>
  <c r="G39" i="300"/>
  <c r="E39" i="300"/>
  <c r="L38" i="300"/>
  <c r="M38" i="300" s="1"/>
  <c r="L37" i="300"/>
  <c r="M37" i="300" s="1"/>
  <c r="L36" i="300"/>
  <c r="M36" i="300" s="1"/>
  <c r="L35" i="300"/>
  <c r="M35" i="300" s="1"/>
  <c r="L34" i="300"/>
  <c r="M34" i="300" s="1"/>
  <c r="L33" i="300"/>
  <c r="M33" i="300" s="1"/>
  <c r="L32" i="300"/>
  <c r="K29" i="300"/>
  <c r="J29" i="300"/>
  <c r="I29" i="300"/>
  <c r="H29" i="300"/>
  <c r="G29" i="300"/>
  <c r="F29" i="300"/>
  <c r="E29" i="300"/>
  <c r="L28" i="300"/>
  <c r="L29" i="300" s="1"/>
  <c r="K25" i="300"/>
  <c r="J25" i="300"/>
  <c r="I25" i="300"/>
  <c r="H25" i="300"/>
  <c r="G25" i="300"/>
  <c r="E25" i="300"/>
  <c r="L24" i="300"/>
  <c r="M24" i="300" s="1"/>
  <c r="L23" i="300"/>
  <c r="M23" i="300" s="1"/>
  <c r="L22" i="300"/>
  <c r="M22" i="300" s="1"/>
  <c r="K19" i="300"/>
  <c r="J19" i="300"/>
  <c r="I19" i="300"/>
  <c r="H19" i="300"/>
  <c r="G19" i="300"/>
  <c r="F19" i="300"/>
  <c r="E19" i="300"/>
  <c r="L18" i="300"/>
  <c r="M18" i="300" s="1"/>
  <c r="M17" i="300"/>
  <c r="L16" i="300"/>
  <c r="M16" i="300" s="1"/>
  <c r="L15" i="300"/>
  <c r="F22" i="298"/>
  <c r="G227" i="293"/>
  <c r="H227" i="293"/>
  <c r="I227" i="293"/>
  <c r="J227" i="293"/>
  <c r="K227" i="293"/>
  <c r="L227" i="293"/>
  <c r="M227" i="293"/>
  <c r="C227" i="293"/>
  <c r="G63" i="296"/>
  <c r="H63" i="296"/>
  <c r="I63" i="296"/>
  <c r="J63" i="296"/>
  <c r="L63" i="296"/>
  <c r="M63" i="296"/>
  <c r="E63" i="296"/>
  <c r="E52" i="296"/>
  <c r="E56" i="296"/>
  <c r="D63" i="296"/>
  <c r="M146" i="293"/>
  <c r="E146" i="293"/>
  <c r="G88" i="293"/>
  <c r="E88" i="293"/>
  <c r="E39" i="293"/>
  <c r="E176" i="293"/>
  <c r="G176" i="293"/>
  <c r="H176" i="293"/>
  <c r="I176" i="293"/>
  <c r="J176" i="293"/>
  <c r="K176" i="293"/>
  <c r="L176" i="293"/>
  <c r="M176" i="293"/>
  <c r="G184" i="293"/>
  <c r="G225" i="293"/>
  <c r="E184" i="293"/>
  <c r="E225" i="293"/>
  <c r="O15" i="295"/>
  <c r="E122" i="293"/>
  <c r="G136" i="294"/>
  <c r="C138" i="294"/>
  <c r="G70" i="294"/>
  <c r="G43" i="294"/>
  <c r="G95" i="294"/>
  <c r="G79" i="294"/>
  <c r="N131" i="294"/>
  <c r="O131" i="294" s="1"/>
  <c r="N130" i="294"/>
  <c r="O130" i="294" s="1"/>
  <c r="N128" i="294"/>
  <c r="O128" i="294" s="1"/>
  <c r="N127" i="294"/>
  <c r="O127" i="294" s="1"/>
  <c r="N125" i="294"/>
  <c r="O125" i="294" s="1"/>
  <c r="N124" i="294"/>
  <c r="O124" i="294" s="1"/>
  <c r="N123" i="294"/>
  <c r="O123" i="294" s="1"/>
  <c r="N122" i="294"/>
  <c r="O122" i="294" s="1"/>
  <c r="N121" i="294"/>
  <c r="O121" i="294" s="1"/>
  <c r="O120" i="294"/>
  <c r="N120" i="294"/>
  <c r="N119" i="294"/>
  <c r="O119" i="294" s="1"/>
  <c r="N118" i="294"/>
  <c r="O118" i="294" s="1"/>
  <c r="N117" i="294"/>
  <c r="O117" i="294" s="1"/>
  <c r="N116" i="294"/>
  <c r="O116" i="294" s="1"/>
  <c r="N115" i="294"/>
  <c r="O115" i="294" s="1"/>
  <c r="N114" i="294"/>
  <c r="O114" i="294" s="1"/>
  <c r="I70" i="294"/>
  <c r="J70" i="294"/>
  <c r="K70" i="294"/>
  <c r="L70" i="294"/>
  <c r="M70" i="294"/>
  <c r="N69" i="294"/>
  <c r="O69" i="294" s="1"/>
  <c r="J95" i="294"/>
  <c r="I95" i="294"/>
  <c r="N93" i="294"/>
  <c r="O93" i="294" s="1"/>
  <c r="N92" i="294"/>
  <c r="O92" i="294" s="1"/>
  <c r="N78" i="294"/>
  <c r="O78" i="294" s="1"/>
  <c r="N77" i="294"/>
  <c r="O77" i="294" s="1"/>
  <c r="N68" i="294"/>
  <c r="O68" i="294" s="1"/>
  <c r="N61" i="294"/>
  <c r="O61" i="294" s="1"/>
  <c r="N60" i="294"/>
  <c r="O60" i="294" s="1"/>
  <c r="M58" i="317" l="1"/>
  <c r="N138" i="315"/>
  <c r="N34" i="316"/>
  <c r="I33" i="311"/>
  <c r="G33" i="311"/>
  <c r="M27" i="310"/>
  <c r="M43" i="310"/>
  <c r="M39" i="310"/>
  <c r="M47" i="310"/>
  <c r="M56" i="310"/>
  <c r="E62" i="310"/>
  <c r="M23" i="310"/>
  <c r="M38" i="310"/>
  <c r="H62" i="310"/>
  <c r="J62" i="310"/>
  <c r="M42" i="310"/>
  <c r="M22" i="310"/>
  <c r="M46" i="310"/>
  <c r="L52" i="310"/>
  <c r="L62" i="310" s="1"/>
  <c r="I62" i="310"/>
  <c r="L142" i="307"/>
  <c r="M19" i="311"/>
  <c r="M20" i="311"/>
  <c r="M33" i="311" s="1"/>
  <c r="N25" i="308"/>
  <c r="K136" i="308"/>
  <c r="N134" i="308"/>
  <c r="L74" i="307"/>
  <c r="L26" i="307"/>
  <c r="J226" i="307"/>
  <c r="M62" i="307"/>
  <c r="M139" i="307"/>
  <c r="M154" i="307"/>
  <c r="L177" i="307"/>
  <c r="L109" i="307"/>
  <c r="L163" i="307"/>
  <c r="M171" i="307"/>
  <c r="L129" i="307"/>
  <c r="L113" i="307"/>
  <c r="L168" i="307"/>
  <c r="M43" i="307"/>
  <c r="G226" i="307"/>
  <c r="H226" i="307"/>
  <c r="L40" i="307"/>
  <c r="L53" i="307"/>
  <c r="L94" i="307"/>
  <c r="L184" i="307"/>
  <c r="L224" i="307"/>
  <c r="L59" i="307"/>
  <c r="L16" i="313"/>
  <c r="L18" i="313" s="1"/>
  <c r="L16" i="311"/>
  <c r="L33" i="311" s="1"/>
  <c r="M60" i="310"/>
  <c r="M59" i="310"/>
  <c r="G62" i="310"/>
  <c r="M55" i="310"/>
  <c r="N33" i="309"/>
  <c r="N34" i="309" s="1"/>
  <c r="O30" i="308"/>
  <c r="O70" i="308"/>
  <c r="O79" i="308"/>
  <c r="O134" i="308"/>
  <c r="N47" i="308"/>
  <c r="N52" i="308"/>
  <c r="O78" i="308"/>
  <c r="N43" i="308"/>
  <c r="N70" i="308"/>
  <c r="O55" i="308"/>
  <c r="O63" i="308" s="1"/>
  <c r="O96" i="308"/>
  <c r="O97" i="308" s="1"/>
  <c r="M22" i="307"/>
  <c r="L19" i="307"/>
  <c r="M47" i="307"/>
  <c r="L100" i="307"/>
  <c r="L151" i="307"/>
  <c r="M92" i="307"/>
  <c r="M94" i="307" s="1"/>
  <c r="M126" i="307"/>
  <c r="M161" i="307"/>
  <c r="M166" i="307"/>
  <c r="L104" i="307"/>
  <c r="M33" i="307"/>
  <c r="L89" i="307"/>
  <c r="L123" i="307"/>
  <c r="M132" i="307"/>
  <c r="M180" i="307"/>
  <c r="L15" i="304"/>
  <c r="L29" i="304" s="1"/>
  <c r="M19" i="304"/>
  <c r="M29" i="304"/>
  <c r="M47" i="303"/>
  <c r="L52" i="303"/>
  <c r="M50" i="303"/>
  <c r="N25" i="301"/>
  <c r="M223" i="300"/>
  <c r="L39" i="300"/>
  <c r="L16" i="306"/>
  <c r="L18" i="306" s="1"/>
  <c r="M60" i="303"/>
  <c r="M42" i="303"/>
  <c r="I62" i="303"/>
  <c r="J62" i="303"/>
  <c r="H62" i="303"/>
  <c r="M43" i="303"/>
  <c r="M46" i="303"/>
  <c r="M59" i="303"/>
  <c r="E62" i="303"/>
  <c r="M52" i="303"/>
  <c r="O30" i="301"/>
  <c r="N43" i="301"/>
  <c r="N70" i="301"/>
  <c r="N16" i="301"/>
  <c r="N52" i="301"/>
  <c r="N30" i="301"/>
  <c r="N136" i="301" s="1"/>
  <c r="O52" i="301"/>
  <c r="N92" i="301"/>
  <c r="N63" i="301"/>
  <c r="O89" i="301"/>
  <c r="O92" i="301" s="1"/>
  <c r="O19" i="301"/>
  <c r="O20" i="301" s="1"/>
  <c r="O41" i="301"/>
  <c r="O43" i="301" s="1"/>
  <c r="O55" i="301"/>
  <c r="O63" i="301" s="1"/>
  <c r="O73" i="301"/>
  <c r="O74" i="301" s="1"/>
  <c r="O96" i="301"/>
  <c r="O97" i="301" s="1"/>
  <c r="N79" i="301"/>
  <c r="N134" i="301"/>
  <c r="M146" i="300"/>
  <c r="L19" i="300"/>
  <c r="H225" i="300"/>
  <c r="L122" i="300"/>
  <c r="M149" i="300"/>
  <c r="L146" i="300"/>
  <c r="L162" i="300"/>
  <c r="L48" i="300"/>
  <c r="M157" i="300"/>
  <c r="L157" i="300"/>
  <c r="I225" i="300"/>
  <c r="M25" i="300"/>
  <c r="J225" i="300"/>
  <c r="L73" i="300"/>
  <c r="L99" i="300"/>
  <c r="L135" i="300"/>
  <c r="L141" i="300"/>
  <c r="M162" i="300"/>
  <c r="E225" i="300"/>
  <c r="K225" i="300"/>
  <c r="M48" i="300"/>
  <c r="L58" i="300"/>
  <c r="M93" i="300"/>
  <c r="L128" i="300"/>
  <c r="G225" i="300"/>
  <c r="M32" i="300"/>
  <c r="M39" i="300" s="1"/>
  <c r="M102" i="300"/>
  <c r="M103" i="300" s="1"/>
  <c r="M115" i="300"/>
  <c r="M122" i="300" s="1"/>
  <c r="L223" i="300"/>
  <c r="L62" i="303"/>
  <c r="G62" i="303"/>
  <c r="M22" i="303"/>
  <c r="M55" i="303"/>
  <c r="M33" i="302"/>
  <c r="M34" i="302" s="1"/>
  <c r="O134" i="301"/>
  <c r="O46" i="301"/>
  <c r="O47" i="301" s="1"/>
  <c r="O77" i="301"/>
  <c r="O79" i="301" s="1"/>
  <c r="O66" i="301"/>
  <c r="O70" i="301" s="1"/>
  <c r="M176" i="300"/>
  <c r="M73" i="300"/>
  <c r="M88" i="300"/>
  <c r="M183" i="300"/>
  <c r="M99" i="300"/>
  <c r="M15" i="300"/>
  <c r="M19" i="300" s="1"/>
  <c r="M28" i="300"/>
  <c r="M29" i="300" s="1"/>
  <c r="L88" i="300"/>
  <c r="M97" i="300"/>
  <c r="M131" i="300"/>
  <c r="M135" i="300" s="1"/>
  <c r="L167" i="300"/>
  <c r="M55" i="300"/>
  <c r="M58" i="300" s="1"/>
  <c r="L93" i="300"/>
  <c r="M51" i="300"/>
  <c r="M52" i="300" s="1"/>
  <c r="L176" i="300"/>
  <c r="L183" i="300"/>
  <c r="L25" i="300"/>
  <c r="M42" i="300"/>
  <c r="M43" i="300" s="1"/>
  <c r="M107" i="300"/>
  <c r="M108" i="300" s="1"/>
  <c r="M125" i="300"/>
  <c r="M128" i="300" s="1"/>
  <c r="M138" i="300"/>
  <c r="M141" i="300" s="1"/>
  <c r="E227" i="293"/>
  <c r="M62" i="310" l="1"/>
  <c r="N136" i="308"/>
  <c r="M62" i="303"/>
  <c r="O136" i="301"/>
  <c r="M16" i="306"/>
  <c r="M18" i="306" s="1"/>
  <c r="L225" i="300"/>
  <c r="N33" i="302"/>
  <c r="N34" i="302" s="1"/>
  <c r="M225" i="300"/>
  <c r="E58" i="293"/>
  <c r="E162" i="293"/>
  <c r="E157" i="293"/>
  <c r="E128" i="293"/>
  <c r="E99" i="293"/>
  <c r="E73" i="293"/>
  <c r="E48" i="293"/>
  <c r="G39" i="293"/>
  <c r="H39" i="293"/>
  <c r="I39" i="293"/>
  <c r="J39" i="293"/>
  <c r="K39" i="293"/>
  <c r="L39" i="293"/>
  <c r="M39" i="293"/>
  <c r="L203" i="293"/>
  <c r="M203" i="293" s="1"/>
  <c r="L199" i="293"/>
  <c r="M199" i="293" s="1"/>
  <c r="M198" i="293"/>
  <c r="L198" i="293"/>
  <c r="L197" i="293"/>
  <c r="M197" i="293" s="1"/>
  <c r="L196" i="293"/>
  <c r="M196" i="293" s="1"/>
  <c r="H184" i="293"/>
  <c r="I184" i="293"/>
  <c r="J184" i="293"/>
  <c r="K184" i="293"/>
  <c r="L184" i="293"/>
  <c r="M184" i="293"/>
  <c r="L183" i="293"/>
  <c r="M183" i="293" s="1"/>
  <c r="L182" i="293"/>
  <c r="M182" i="293" s="1"/>
  <c r="L181" i="293"/>
  <c r="M181" i="293" s="1"/>
  <c r="L180" i="293"/>
  <c r="M180" i="293" s="1"/>
  <c r="L118" i="293"/>
  <c r="M118" i="293" s="1"/>
  <c r="H88" i="293"/>
  <c r="I88" i="293"/>
  <c r="J88" i="293"/>
  <c r="K88" i="293"/>
  <c r="G99" i="293"/>
  <c r="H99" i="293"/>
  <c r="I99" i="293"/>
  <c r="J99" i="293"/>
  <c r="K99" i="293"/>
  <c r="L99" i="293"/>
  <c r="M99" i="293"/>
  <c r="M98" i="293"/>
  <c r="L87" i="293"/>
  <c r="M87" i="293" s="1"/>
  <c r="L86" i="293"/>
  <c r="M86" i="293" s="1"/>
  <c r="L57" i="293"/>
  <c r="M57" i="293" s="1"/>
  <c r="M56" i="293"/>
  <c r="L56" i="293"/>
  <c r="G146" i="293" l="1"/>
  <c r="H146" i="293"/>
  <c r="I146" i="293"/>
  <c r="J146" i="293"/>
  <c r="K146" i="293"/>
  <c r="H18" i="299"/>
  <c r="F18" i="299"/>
  <c r="K16" i="299"/>
  <c r="K18" i="299" s="1"/>
  <c r="J16" i="299"/>
  <c r="J18" i="299" s="1"/>
  <c r="I16" i="299"/>
  <c r="I18" i="299" s="1"/>
  <c r="H16" i="299"/>
  <c r="G16" i="299"/>
  <c r="G18" i="299" s="1"/>
  <c r="F16" i="299"/>
  <c r="E16" i="299"/>
  <c r="E18" i="299" s="1"/>
  <c r="L15" i="299"/>
  <c r="M15" i="299" s="1"/>
  <c r="L22" i="298"/>
  <c r="I22" i="298"/>
  <c r="N16" i="298"/>
  <c r="N22" i="298" s="1"/>
  <c r="M16" i="298"/>
  <c r="M22" i="298" s="1"/>
  <c r="L16" i="298"/>
  <c r="K16" i="298"/>
  <c r="K22" i="298" s="1"/>
  <c r="J16" i="298"/>
  <c r="J22" i="298" s="1"/>
  <c r="I16" i="298"/>
  <c r="H16" i="298"/>
  <c r="H22" i="298" s="1"/>
  <c r="G16" i="298"/>
  <c r="F16" i="298"/>
  <c r="J29" i="297"/>
  <c r="G29" i="297"/>
  <c r="L23" i="297"/>
  <c r="M22" i="297"/>
  <c r="L22" i="297"/>
  <c r="L19" i="297"/>
  <c r="K19" i="297"/>
  <c r="J19" i="297"/>
  <c r="I19" i="297"/>
  <c r="H19" i="297"/>
  <c r="G19" i="297"/>
  <c r="M19" i="297" s="1"/>
  <c r="F19" i="297"/>
  <c r="E19" i="297"/>
  <c r="L18" i="297"/>
  <c r="M18" i="297" s="1"/>
  <c r="K15" i="297"/>
  <c r="J15" i="297"/>
  <c r="I15" i="297"/>
  <c r="I29" i="297" s="1"/>
  <c r="H15" i="297"/>
  <c r="H29" i="297" s="1"/>
  <c r="G15" i="297"/>
  <c r="F15" i="297"/>
  <c r="E15" i="297"/>
  <c r="E29" i="297" s="1"/>
  <c r="L14" i="297"/>
  <c r="M14" i="297" s="1"/>
  <c r="M15" i="297" s="1"/>
  <c r="M29" i="297" s="1"/>
  <c r="J60" i="296"/>
  <c r="I60" i="296"/>
  <c r="H60" i="296"/>
  <c r="G60" i="296"/>
  <c r="E60" i="296"/>
  <c r="L59" i="296"/>
  <c r="L60" i="296" s="1"/>
  <c r="J56" i="296"/>
  <c r="I56" i="296"/>
  <c r="H56" i="296"/>
  <c r="G56" i="296"/>
  <c r="L55" i="296"/>
  <c r="L56" i="296" s="1"/>
  <c r="J52" i="296"/>
  <c r="I52" i="296"/>
  <c r="H52" i="296"/>
  <c r="G52" i="296"/>
  <c r="L51" i="296"/>
  <c r="M51" i="296" s="1"/>
  <c r="L50" i="296"/>
  <c r="J47" i="296"/>
  <c r="I47" i="296"/>
  <c r="H47" i="296"/>
  <c r="G47" i="296"/>
  <c r="E47" i="296"/>
  <c r="L46" i="296"/>
  <c r="M46" i="296" s="1"/>
  <c r="J43" i="296"/>
  <c r="I43" i="296"/>
  <c r="H43" i="296"/>
  <c r="G43" i="296"/>
  <c r="E43" i="296"/>
  <c r="L42" i="296"/>
  <c r="M42" i="296" s="1"/>
  <c r="J39" i="296"/>
  <c r="I39" i="296"/>
  <c r="H39" i="296"/>
  <c r="G39" i="296"/>
  <c r="E39" i="296"/>
  <c r="L38" i="296"/>
  <c r="L39" i="296" s="1"/>
  <c r="J27" i="296"/>
  <c r="I27" i="296"/>
  <c r="H27" i="296"/>
  <c r="G27" i="296"/>
  <c r="E27" i="296"/>
  <c r="L26" i="296"/>
  <c r="L27" i="296" s="1"/>
  <c r="J23" i="296"/>
  <c r="I23" i="296"/>
  <c r="H23" i="296"/>
  <c r="G23" i="296"/>
  <c r="E23" i="296"/>
  <c r="L22" i="296"/>
  <c r="L23" i="296" s="1"/>
  <c r="K34" i="295"/>
  <c r="M33" i="295"/>
  <c r="M34" i="295" s="1"/>
  <c r="L33" i="295"/>
  <c r="L34" i="295" s="1"/>
  <c r="K33" i="295"/>
  <c r="J33" i="295"/>
  <c r="J34" i="295" s="1"/>
  <c r="I33" i="295"/>
  <c r="I34" i="295" s="1"/>
  <c r="H34" i="295"/>
  <c r="G33" i="295"/>
  <c r="G34" i="295" s="1"/>
  <c r="N32" i="295"/>
  <c r="N31" i="295"/>
  <c r="N30" i="295"/>
  <c r="N29" i="295"/>
  <c r="N28" i="295"/>
  <c r="N27" i="295"/>
  <c r="N26" i="295"/>
  <c r="N24" i="295"/>
  <c r="N23" i="295"/>
  <c r="N22" i="295"/>
  <c r="N21" i="295"/>
  <c r="N20" i="295"/>
  <c r="N19" i="295"/>
  <c r="N18" i="295"/>
  <c r="N17" i="295"/>
  <c r="N16" i="295"/>
  <c r="M136" i="294"/>
  <c r="L136" i="294"/>
  <c r="K136" i="294"/>
  <c r="J136" i="294"/>
  <c r="I136" i="294"/>
  <c r="N135" i="294"/>
  <c r="O135" i="294" s="1"/>
  <c r="N134" i="294"/>
  <c r="O134" i="294" s="1"/>
  <c r="N133" i="294"/>
  <c r="O133" i="294" s="1"/>
  <c r="N132" i="294"/>
  <c r="O132" i="294" s="1"/>
  <c r="N126" i="294"/>
  <c r="O126" i="294" s="1"/>
  <c r="N113" i="294"/>
  <c r="O113" i="294" s="1"/>
  <c r="N112" i="294"/>
  <c r="O112" i="294" s="1"/>
  <c r="N111" i="294"/>
  <c r="O111" i="294" s="1"/>
  <c r="N110" i="294"/>
  <c r="O110" i="294" s="1"/>
  <c r="N109" i="294"/>
  <c r="O109" i="294" s="1"/>
  <c r="N108" i="294"/>
  <c r="O108" i="294" s="1"/>
  <c r="N107" i="294"/>
  <c r="O107" i="294" s="1"/>
  <c r="N106" i="294"/>
  <c r="O106" i="294" s="1"/>
  <c r="N105" i="294"/>
  <c r="O105" i="294" s="1"/>
  <c r="N104" i="294"/>
  <c r="O104" i="294" s="1"/>
  <c r="N103" i="294"/>
  <c r="O103" i="294" s="1"/>
  <c r="N102" i="294"/>
  <c r="O102" i="294" s="1"/>
  <c r="M99" i="294"/>
  <c r="L99" i="294"/>
  <c r="K99" i="294"/>
  <c r="J99" i="294"/>
  <c r="I99" i="294"/>
  <c r="H99" i="294"/>
  <c r="G99" i="294"/>
  <c r="N98" i="294"/>
  <c r="O98" i="294" s="1"/>
  <c r="O99" i="294" s="1"/>
  <c r="M95" i="294"/>
  <c r="L95" i="294"/>
  <c r="K95" i="294"/>
  <c r="H95" i="294"/>
  <c r="N94" i="294"/>
  <c r="O94" i="294" s="1"/>
  <c r="N91" i="294"/>
  <c r="O91" i="294" s="1"/>
  <c r="N90" i="294"/>
  <c r="O90" i="294" s="1"/>
  <c r="N89" i="294"/>
  <c r="N87" i="294"/>
  <c r="M87" i="294"/>
  <c r="L87" i="294"/>
  <c r="K87" i="294"/>
  <c r="J87" i="294"/>
  <c r="I87" i="294"/>
  <c r="H87" i="294"/>
  <c r="G87" i="294"/>
  <c r="O86" i="294"/>
  <c r="O87" i="294" s="1"/>
  <c r="M79" i="294"/>
  <c r="L79" i="294"/>
  <c r="K79" i="294"/>
  <c r="J79" i="294"/>
  <c r="I79" i="294"/>
  <c r="H79" i="294"/>
  <c r="M74" i="294"/>
  <c r="L74" i="294"/>
  <c r="K74" i="294"/>
  <c r="J74" i="294"/>
  <c r="I74" i="294"/>
  <c r="H74" i="294"/>
  <c r="G74" i="294"/>
  <c r="N73" i="294"/>
  <c r="N74" i="294" s="1"/>
  <c r="N67" i="294"/>
  <c r="O67" i="294" s="1"/>
  <c r="N66" i="294"/>
  <c r="M63" i="294"/>
  <c r="L63" i="294"/>
  <c r="K63" i="294"/>
  <c r="J63" i="294"/>
  <c r="I63" i="294"/>
  <c r="G63" i="294"/>
  <c r="N59" i="294"/>
  <c r="O59" i="294" s="1"/>
  <c r="N58" i="294"/>
  <c r="O58" i="294" s="1"/>
  <c r="N57" i="294"/>
  <c r="O57" i="294" s="1"/>
  <c r="N56" i="294"/>
  <c r="O56" i="294" s="1"/>
  <c r="N55" i="294"/>
  <c r="M52" i="294"/>
  <c r="L52" i="294"/>
  <c r="K52" i="294"/>
  <c r="J52" i="294"/>
  <c r="I52" i="294"/>
  <c r="H52" i="294"/>
  <c r="G52" i="294"/>
  <c r="O51" i="294"/>
  <c r="N50" i="294"/>
  <c r="O50" i="294" s="1"/>
  <c r="M47" i="294"/>
  <c r="L47" i="294"/>
  <c r="K47" i="294"/>
  <c r="J47" i="294"/>
  <c r="I47" i="294"/>
  <c r="H47" i="294"/>
  <c r="G47" i="294"/>
  <c r="N46" i="294"/>
  <c r="O46" i="294" s="1"/>
  <c r="O47" i="294" s="1"/>
  <c r="M43" i="294"/>
  <c r="L43" i="294"/>
  <c r="K43" i="294"/>
  <c r="J43" i="294"/>
  <c r="I43" i="294"/>
  <c r="H43" i="294"/>
  <c r="N42" i="294"/>
  <c r="O42" i="294" s="1"/>
  <c r="N41" i="294"/>
  <c r="O41" i="294" s="1"/>
  <c r="M30" i="294"/>
  <c r="L30" i="294"/>
  <c r="K30" i="294"/>
  <c r="J30" i="294"/>
  <c r="I30" i="294"/>
  <c r="H30" i="294"/>
  <c r="G30" i="294"/>
  <c r="O29" i="294"/>
  <c r="N28" i="294"/>
  <c r="N30" i="294" s="1"/>
  <c r="M25" i="294"/>
  <c r="L25" i="294"/>
  <c r="K25" i="294"/>
  <c r="J25" i="294"/>
  <c r="I25" i="294"/>
  <c r="G25" i="294"/>
  <c r="N24" i="294"/>
  <c r="O24" i="294" s="1"/>
  <c r="O25" i="294" s="1"/>
  <c r="M20" i="294"/>
  <c r="L20" i="294"/>
  <c r="K20" i="294"/>
  <c r="J20" i="294"/>
  <c r="I20" i="294"/>
  <c r="H20" i="294"/>
  <c r="G20" i="294"/>
  <c r="N19" i="294"/>
  <c r="N20" i="294" s="1"/>
  <c r="M16" i="294"/>
  <c r="L16" i="294"/>
  <c r="K16" i="294"/>
  <c r="J16" i="294"/>
  <c r="I16" i="294"/>
  <c r="G16" i="294"/>
  <c r="N15" i="294"/>
  <c r="N16" i="294" s="1"/>
  <c r="O14" i="294"/>
  <c r="K225" i="293"/>
  <c r="J225" i="293"/>
  <c r="I225" i="293"/>
  <c r="H225" i="293"/>
  <c r="M224" i="293"/>
  <c r="M223" i="293"/>
  <c r="M222" i="293"/>
  <c r="M221" i="293"/>
  <c r="L220" i="293"/>
  <c r="M220" i="293" s="1"/>
  <c r="L219" i="293"/>
  <c r="M219" i="293" s="1"/>
  <c r="L218" i="293"/>
  <c r="M218" i="293" s="1"/>
  <c r="L217" i="293"/>
  <c r="M217" i="293" s="1"/>
  <c r="L216" i="293"/>
  <c r="M216" i="293" s="1"/>
  <c r="L215" i="293"/>
  <c r="M215" i="293" s="1"/>
  <c r="L214" i="293"/>
  <c r="M214" i="293" s="1"/>
  <c r="L213" i="293"/>
  <c r="M213" i="293" s="1"/>
  <c r="L212" i="293"/>
  <c r="M212" i="293" s="1"/>
  <c r="L211" i="293"/>
  <c r="M211" i="293" s="1"/>
  <c r="L210" i="293"/>
  <c r="M210" i="293" s="1"/>
  <c r="L209" i="293"/>
  <c r="M209" i="293" s="1"/>
  <c r="L208" i="293"/>
  <c r="M208" i="293" s="1"/>
  <c r="L202" i="293"/>
  <c r="M202" i="293" s="1"/>
  <c r="M201" i="293"/>
  <c r="L200" i="293"/>
  <c r="M200" i="293" s="1"/>
  <c r="L195" i="293"/>
  <c r="M195" i="293" s="1"/>
  <c r="L194" i="293"/>
  <c r="M194" i="293" s="1"/>
  <c r="M193" i="293"/>
  <c r="L192" i="293"/>
  <c r="M192" i="293" s="1"/>
  <c r="L191" i="293"/>
  <c r="M191" i="293" s="1"/>
  <c r="L190" i="293"/>
  <c r="M190" i="293" s="1"/>
  <c r="L189" i="293"/>
  <c r="M189" i="293" s="1"/>
  <c r="L188" i="293"/>
  <c r="M188" i="293" s="1"/>
  <c r="L187" i="293"/>
  <c r="M187" i="293" s="1"/>
  <c r="L175" i="293"/>
  <c r="M175" i="293" s="1"/>
  <c r="L174" i="293"/>
  <c r="M174" i="293" s="1"/>
  <c r="L173" i="293"/>
  <c r="M173" i="293" s="1"/>
  <c r="L172" i="293"/>
  <c r="M172" i="293" s="1"/>
  <c r="L171" i="293"/>
  <c r="M171" i="293" s="1"/>
  <c r="L170" i="293"/>
  <c r="M170" i="293" s="1"/>
  <c r="L179" i="293"/>
  <c r="M179" i="293" s="1"/>
  <c r="K167" i="293"/>
  <c r="J167" i="293"/>
  <c r="I167" i="293"/>
  <c r="H167" i="293"/>
  <c r="G167" i="293"/>
  <c r="F167" i="293"/>
  <c r="E167" i="293"/>
  <c r="L166" i="293"/>
  <c r="M166" i="293" s="1"/>
  <c r="L165" i="293"/>
  <c r="M165" i="293" s="1"/>
  <c r="K162" i="293"/>
  <c r="J162" i="293"/>
  <c r="I162" i="293"/>
  <c r="H162" i="293"/>
  <c r="G162" i="293"/>
  <c r="L161" i="293"/>
  <c r="M161" i="293" s="1"/>
  <c r="L160" i="293"/>
  <c r="M160" i="293" s="1"/>
  <c r="K157" i="293"/>
  <c r="J157" i="293"/>
  <c r="I157" i="293"/>
  <c r="H157" i="293"/>
  <c r="G157" i="293"/>
  <c r="F157" i="293"/>
  <c r="L156" i="293"/>
  <c r="M156" i="293" s="1"/>
  <c r="L155" i="293"/>
  <c r="M155" i="293" s="1"/>
  <c r="L154" i="293"/>
  <c r="M154" i="293" s="1"/>
  <c r="L153" i="293"/>
  <c r="M153" i="293" s="1"/>
  <c r="K150" i="293"/>
  <c r="J150" i="293"/>
  <c r="I150" i="293"/>
  <c r="H150" i="293"/>
  <c r="G150" i="293"/>
  <c r="F150" i="293"/>
  <c r="E150" i="293"/>
  <c r="L149" i="293"/>
  <c r="M149" i="293" s="1"/>
  <c r="L144" i="293"/>
  <c r="L146" i="293" s="1"/>
  <c r="K141" i="293"/>
  <c r="J141" i="293"/>
  <c r="I141" i="293"/>
  <c r="H141" i="293"/>
  <c r="G141" i="293"/>
  <c r="F141" i="293"/>
  <c r="E141" i="293"/>
  <c r="L140" i="293"/>
  <c r="M140" i="293" s="1"/>
  <c r="L139" i="293"/>
  <c r="M139" i="293" s="1"/>
  <c r="L138" i="293"/>
  <c r="K135" i="293"/>
  <c r="J135" i="293"/>
  <c r="I135" i="293"/>
  <c r="H135" i="293"/>
  <c r="G135" i="293"/>
  <c r="F135" i="293"/>
  <c r="E135" i="293"/>
  <c r="L126" i="293"/>
  <c r="M126" i="293" s="1"/>
  <c r="L134" i="293"/>
  <c r="M134" i="293" s="1"/>
  <c r="L133" i="293"/>
  <c r="M133" i="293" s="1"/>
  <c r="M132" i="293"/>
  <c r="L131" i="293"/>
  <c r="M131" i="293" s="1"/>
  <c r="K128" i="293"/>
  <c r="J128" i="293"/>
  <c r="I128" i="293"/>
  <c r="H128" i="293"/>
  <c r="G128" i="293"/>
  <c r="F128" i="293"/>
  <c r="L127" i="293"/>
  <c r="M127" i="293" s="1"/>
  <c r="L125" i="293"/>
  <c r="M125" i="293" s="1"/>
  <c r="K122" i="293"/>
  <c r="J122" i="293"/>
  <c r="I122" i="293"/>
  <c r="H122" i="293"/>
  <c r="G122" i="293"/>
  <c r="F122" i="293"/>
  <c r="L121" i="293"/>
  <c r="M121" i="293" s="1"/>
  <c r="M120" i="293"/>
  <c r="L119" i="293"/>
  <c r="M119" i="293" s="1"/>
  <c r="L117" i="293"/>
  <c r="M117" i="293" s="1"/>
  <c r="L116" i="293"/>
  <c r="M116" i="293" s="1"/>
  <c r="L115" i="293"/>
  <c r="K112" i="293"/>
  <c r="J112" i="293"/>
  <c r="I112" i="293"/>
  <c r="H112" i="293"/>
  <c r="G112" i="293"/>
  <c r="E112" i="293"/>
  <c r="L111" i="293"/>
  <c r="L112" i="293" s="1"/>
  <c r="K108" i="293"/>
  <c r="J108" i="293"/>
  <c r="I108" i="293"/>
  <c r="H108" i="293"/>
  <c r="G108" i="293"/>
  <c r="E108" i="293"/>
  <c r="L107" i="293"/>
  <c r="L108" i="293" s="1"/>
  <c r="M106" i="293"/>
  <c r="K103" i="293"/>
  <c r="J103" i="293"/>
  <c r="H103" i="293"/>
  <c r="G103" i="293"/>
  <c r="E103" i="293"/>
  <c r="L102" i="293"/>
  <c r="L103" i="293" s="1"/>
  <c r="L97" i="293"/>
  <c r="M97" i="293" s="1"/>
  <c r="L96" i="293"/>
  <c r="M96" i="293" s="1"/>
  <c r="K93" i="293"/>
  <c r="J93" i="293"/>
  <c r="I93" i="293"/>
  <c r="H93" i="293"/>
  <c r="G93" i="293"/>
  <c r="F93" i="293"/>
  <c r="E93" i="293"/>
  <c r="L92" i="293"/>
  <c r="M92" i="293" s="1"/>
  <c r="L91" i="293"/>
  <c r="M91" i="293" s="1"/>
  <c r="L85" i="293"/>
  <c r="M85" i="293" s="1"/>
  <c r="L84" i="293"/>
  <c r="M84" i="293" s="1"/>
  <c r="L83" i="293"/>
  <c r="L82" i="293"/>
  <c r="M82" i="293" s="1"/>
  <c r="L81" i="293"/>
  <c r="M81" i="293" s="1"/>
  <c r="L80" i="293"/>
  <c r="M80" i="293" s="1"/>
  <c r="L79" i="293"/>
  <c r="M79" i="293" s="1"/>
  <c r="L78" i="293"/>
  <c r="M78" i="293" s="1"/>
  <c r="L77" i="293"/>
  <c r="M77" i="293" s="1"/>
  <c r="L76" i="293"/>
  <c r="K73" i="293"/>
  <c r="J73" i="293"/>
  <c r="I73" i="293"/>
  <c r="H73" i="293"/>
  <c r="G73" i="293"/>
  <c r="F73" i="293"/>
  <c r="L72" i="293"/>
  <c r="M72" i="293" s="1"/>
  <c r="L71" i="293"/>
  <c r="M71" i="293" s="1"/>
  <c r="L70" i="293"/>
  <c r="M70" i="293" s="1"/>
  <c r="L69" i="293"/>
  <c r="M69" i="293" s="1"/>
  <c r="L68" i="293"/>
  <c r="M68" i="293" s="1"/>
  <c r="L67" i="293"/>
  <c r="M67" i="293" s="1"/>
  <c r="L66" i="293"/>
  <c r="M66" i="293" s="1"/>
  <c r="L65" i="293"/>
  <c r="M65" i="293" s="1"/>
  <c r="L64" i="293"/>
  <c r="M64" i="293" s="1"/>
  <c r="L63" i="293"/>
  <c r="M63" i="293" s="1"/>
  <c r="L61" i="293"/>
  <c r="K58" i="293"/>
  <c r="J58" i="293"/>
  <c r="I58" i="293"/>
  <c r="H58" i="293"/>
  <c r="G58" i="293"/>
  <c r="F58" i="293"/>
  <c r="L55" i="293"/>
  <c r="K52" i="293"/>
  <c r="J52" i="293"/>
  <c r="I52" i="293"/>
  <c r="H52" i="293"/>
  <c r="G52" i="293"/>
  <c r="F52" i="293"/>
  <c r="E52" i="293"/>
  <c r="L51" i="293"/>
  <c r="M51" i="293" s="1"/>
  <c r="M52" i="293" s="1"/>
  <c r="K48" i="293"/>
  <c r="J48" i="293"/>
  <c r="I48" i="293"/>
  <c r="H48" i="293"/>
  <c r="G48" i="293"/>
  <c r="F48" i="293"/>
  <c r="L47" i="293"/>
  <c r="M47" i="293" s="1"/>
  <c r="L46" i="293"/>
  <c r="M46" i="293" s="1"/>
  <c r="K43" i="293"/>
  <c r="J43" i="293"/>
  <c r="I43" i="293"/>
  <c r="H43" i="293"/>
  <c r="F43" i="293"/>
  <c r="E43" i="293"/>
  <c r="L42" i="293"/>
  <c r="L43" i="293" s="1"/>
  <c r="L62" i="293"/>
  <c r="M62" i="293" s="1"/>
  <c r="L38" i="293"/>
  <c r="M38" i="293" s="1"/>
  <c r="L37" i="293"/>
  <c r="M37" i="293" s="1"/>
  <c r="L36" i="293"/>
  <c r="M36" i="293" s="1"/>
  <c r="L35" i="293"/>
  <c r="M35" i="293" s="1"/>
  <c r="L34" i="293"/>
  <c r="M34" i="293" s="1"/>
  <c r="L33" i="293"/>
  <c r="M33" i="293" s="1"/>
  <c r="L32" i="293"/>
  <c r="M32" i="293" s="1"/>
  <c r="K29" i="293"/>
  <c r="J29" i="293"/>
  <c r="I29" i="293"/>
  <c r="H29" i="293"/>
  <c r="G29" i="293"/>
  <c r="F29" i="293"/>
  <c r="E29" i="293"/>
  <c r="L28" i="293"/>
  <c r="L29" i="293" s="1"/>
  <c r="K25" i="293"/>
  <c r="J25" i="293"/>
  <c r="I25" i="293"/>
  <c r="H25" i="293"/>
  <c r="G25" i="293"/>
  <c r="E25" i="293"/>
  <c r="L24" i="293"/>
  <c r="M24" i="293" s="1"/>
  <c r="L23" i="293"/>
  <c r="M23" i="293" s="1"/>
  <c r="L22" i="293"/>
  <c r="K19" i="293"/>
  <c r="J19" i="293"/>
  <c r="I19" i="293"/>
  <c r="H19" i="293"/>
  <c r="G19" i="293"/>
  <c r="F19" i="293"/>
  <c r="E19" i="293"/>
  <c r="L18" i="293"/>
  <c r="M18" i="293" s="1"/>
  <c r="M17" i="293"/>
  <c r="L16" i="293"/>
  <c r="M16" i="293" s="1"/>
  <c r="L15" i="293"/>
  <c r="H18" i="290"/>
  <c r="K16" i="290"/>
  <c r="K18" i="290" s="1"/>
  <c r="J16" i="290"/>
  <c r="J18" i="290" s="1"/>
  <c r="I16" i="290"/>
  <c r="I18" i="290" s="1"/>
  <c r="H16" i="290"/>
  <c r="G16" i="290"/>
  <c r="G18" i="290" s="1"/>
  <c r="F16" i="290"/>
  <c r="F18" i="290" s="1"/>
  <c r="E16" i="290"/>
  <c r="E18" i="290" s="1"/>
  <c r="L15" i="290"/>
  <c r="M15" i="290" s="1"/>
  <c r="I29" i="288"/>
  <c r="J29" i="288"/>
  <c r="L23" i="288"/>
  <c r="M52" i="287"/>
  <c r="L52" i="287"/>
  <c r="J52" i="287"/>
  <c r="I52" i="287"/>
  <c r="H52" i="287"/>
  <c r="G52" i="287"/>
  <c r="E52" i="287"/>
  <c r="D52" i="287"/>
  <c r="H22" i="289"/>
  <c r="I22" i="289"/>
  <c r="J22" i="289"/>
  <c r="K22" i="289"/>
  <c r="L22" i="289"/>
  <c r="M22" i="289"/>
  <c r="N22" i="289"/>
  <c r="F22" i="289"/>
  <c r="I133" i="285"/>
  <c r="J133" i="285"/>
  <c r="K133" i="285"/>
  <c r="L133" i="285"/>
  <c r="M133" i="285"/>
  <c r="N133" i="285"/>
  <c r="O133" i="285"/>
  <c r="G133" i="285"/>
  <c r="I59" i="285"/>
  <c r="J59" i="285"/>
  <c r="K59" i="285"/>
  <c r="L59" i="285"/>
  <c r="M59" i="285"/>
  <c r="N59" i="285"/>
  <c r="O59" i="285"/>
  <c r="G59" i="285"/>
  <c r="M186" i="284"/>
  <c r="M187" i="284"/>
  <c r="M189" i="284"/>
  <c r="M192" i="284"/>
  <c r="M193" i="284"/>
  <c r="M197" i="284"/>
  <c r="M199" i="284"/>
  <c r="M205" i="284"/>
  <c r="M211" i="284"/>
  <c r="M217" i="284"/>
  <c r="M218" i="284"/>
  <c r="M219" i="284"/>
  <c r="M220" i="284"/>
  <c r="M170" i="284"/>
  <c r="M171" i="284"/>
  <c r="M176" i="284"/>
  <c r="M177" i="284"/>
  <c r="M164" i="284"/>
  <c r="M160" i="284"/>
  <c r="M152" i="284"/>
  <c r="M131" i="284"/>
  <c r="M126" i="284"/>
  <c r="M119" i="284"/>
  <c r="M120" i="284"/>
  <c r="M107" i="284"/>
  <c r="M108" i="284"/>
  <c r="M106" i="284"/>
  <c r="M93" i="284"/>
  <c r="M92" i="284"/>
  <c r="M94" i="284" s="1"/>
  <c r="M81" i="284"/>
  <c r="M86" i="284"/>
  <c r="M67" i="284"/>
  <c r="M73" i="284"/>
  <c r="M53" i="284"/>
  <c r="M49" i="284"/>
  <c r="M35" i="284"/>
  <c r="M32" i="284"/>
  <c r="M28" i="284"/>
  <c r="L86" i="284"/>
  <c r="L103" i="284"/>
  <c r="L117" i="284"/>
  <c r="M117" i="284" s="1"/>
  <c r="N16" i="289"/>
  <c r="M16" i="289"/>
  <c r="L16" i="289"/>
  <c r="K16" i="289"/>
  <c r="J16" i="289"/>
  <c r="I16" i="289"/>
  <c r="H16" i="289"/>
  <c r="G16" i="289"/>
  <c r="F16" i="289"/>
  <c r="L22" i="288"/>
  <c r="M22" i="288" s="1"/>
  <c r="K19" i="288"/>
  <c r="J19" i="288"/>
  <c r="I19" i="288"/>
  <c r="H19" i="288"/>
  <c r="G19" i="288"/>
  <c r="F19" i="288"/>
  <c r="E19" i="288"/>
  <c r="L18" i="288"/>
  <c r="L19" i="288" s="1"/>
  <c r="K15" i="288"/>
  <c r="J15" i="288"/>
  <c r="I15" i="288"/>
  <c r="H15" i="288"/>
  <c r="H29" i="288" s="1"/>
  <c r="G15" i="288"/>
  <c r="G29" i="288" s="1"/>
  <c r="F15" i="288"/>
  <c r="E15" i="288"/>
  <c r="E29" i="288" s="1"/>
  <c r="L14" i="288"/>
  <c r="L15" i="288" s="1"/>
  <c r="L29" i="288" s="1"/>
  <c r="J49" i="287"/>
  <c r="I49" i="287"/>
  <c r="H49" i="287"/>
  <c r="G49" i="287"/>
  <c r="E49" i="287"/>
  <c r="L48" i="287"/>
  <c r="L49" i="287" s="1"/>
  <c r="J45" i="287"/>
  <c r="I45" i="287"/>
  <c r="H45" i="287"/>
  <c r="G45" i="287"/>
  <c r="E45" i="287"/>
  <c r="L44" i="287"/>
  <c r="L45" i="287" s="1"/>
  <c r="J41" i="287"/>
  <c r="I41" i="287"/>
  <c r="H41" i="287"/>
  <c r="G41" i="287"/>
  <c r="E41" i="287"/>
  <c r="M40" i="287"/>
  <c r="L40" i="287"/>
  <c r="L39" i="287"/>
  <c r="L41" i="287" s="1"/>
  <c r="J36" i="287"/>
  <c r="I36" i="287"/>
  <c r="H36" i="287"/>
  <c r="G36" i="287"/>
  <c r="E36" i="287"/>
  <c r="L35" i="287"/>
  <c r="L36" i="287" s="1"/>
  <c r="J32" i="287"/>
  <c r="I32" i="287"/>
  <c r="H32" i="287"/>
  <c r="G32" i="287"/>
  <c r="E32" i="287"/>
  <c r="L31" i="287"/>
  <c r="M31" i="287" s="1"/>
  <c r="J28" i="287"/>
  <c r="I28" i="287"/>
  <c r="H28" i="287"/>
  <c r="G28" i="287"/>
  <c r="E28" i="287"/>
  <c r="L27" i="287"/>
  <c r="L28" i="287" s="1"/>
  <c r="J19" i="287"/>
  <c r="I19" i="287"/>
  <c r="H19" i="287"/>
  <c r="G19" i="287"/>
  <c r="E19" i="287"/>
  <c r="L18" i="287"/>
  <c r="L19" i="287" s="1"/>
  <c r="J15" i="287"/>
  <c r="I15" i="287"/>
  <c r="H15" i="287"/>
  <c r="G15" i="287"/>
  <c r="E15" i="287"/>
  <c r="L14" i="287"/>
  <c r="L15" i="287" s="1"/>
  <c r="M32" i="286"/>
  <c r="M33" i="286" s="1"/>
  <c r="L32" i="286"/>
  <c r="L33" i="286" s="1"/>
  <c r="K32" i="286"/>
  <c r="K33" i="286" s="1"/>
  <c r="J32" i="286"/>
  <c r="J33" i="286" s="1"/>
  <c r="I32" i="286"/>
  <c r="I33" i="286" s="1"/>
  <c r="H32" i="286"/>
  <c r="H33" i="286" s="1"/>
  <c r="G32" i="286"/>
  <c r="G33" i="286" s="1"/>
  <c r="N31" i="286"/>
  <c r="N30" i="286"/>
  <c r="N29" i="286"/>
  <c r="N28" i="286"/>
  <c r="N27" i="286"/>
  <c r="N26" i="286"/>
  <c r="N25" i="286"/>
  <c r="N23" i="286"/>
  <c r="N22" i="286"/>
  <c r="N21" i="286"/>
  <c r="N20" i="286"/>
  <c r="N19" i="286"/>
  <c r="N18" i="286"/>
  <c r="N17" i="286"/>
  <c r="N16" i="286"/>
  <c r="N15" i="286"/>
  <c r="N14" i="286"/>
  <c r="M131" i="285"/>
  <c r="L131" i="285"/>
  <c r="K131" i="285"/>
  <c r="J131" i="285"/>
  <c r="I131" i="285"/>
  <c r="G131" i="285"/>
  <c r="N130" i="285"/>
  <c r="O130" i="285" s="1"/>
  <c r="N129" i="285"/>
  <c r="O129" i="285" s="1"/>
  <c r="N128" i="285"/>
  <c r="O128" i="285" s="1"/>
  <c r="N127" i="285"/>
  <c r="O127" i="285" s="1"/>
  <c r="N126" i="285"/>
  <c r="O126" i="285" s="1"/>
  <c r="N125" i="285"/>
  <c r="O125" i="285" s="1"/>
  <c r="N123" i="285"/>
  <c r="O123" i="285" s="1"/>
  <c r="N122" i="285"/>
  <c r="O122" i="285" s="1"/>
  <c r="N121" i="285"/>
  <c r="O121" i="285" s="1"/>
  <c r="N120" i="285"/>
  <c r="O120" i="285" s="1"/>
  <c r="N119" i="285"/>
  <c r="O119" i="285" s="1"/>
  <c r="N118" i="285"/>
  <c r="O118" i="285" s="1"/>
  <c r="N117" i="285"/>
  <c r="O117" i="285" s="1"/>
  <c r="N116" i="285"/>
  <c r="O116" i="285" s="1"/>
  <c r="N115" i="285"/>
  <c r="O115" i="285" s="1"/>
  <c r="N114" i="285"/>
  <c r="O114" i="285" s="1"/>
  <c r="N113" i="285"/>
  <c r="O113" i="285" s="1"/>
  <c r="N112" i="285"/>
  <c r="O112" i="285" s="1"/>
  <c r="N111" i="285"/>
  <c r="O111" i="285" s="1"/>
  <c r="N110" i="285"/>
  <c r="O110" i="285" s="1"/>
  <c r="N109" i="285"/>
  <c r="O109" i="285" s="1"/>
  <c r="N108" i="285"/>
  <c r="O108" i="285" s="1"/>
  <c r="N107" i="285"/>
  <c r="O107" i="285" s="1"/>
  <c r="N106" i="285"/>
  <c r="O106" i="285" s="1"/>
  <c r="N105" i="285"/>
  <c r="O105" i="285" s="1"/>
  <c r="N104" i="285"/>
  <c r="O104" i="285" s="1"/>
  <c r="N103" i="285"/>
  <c r="O103" i="285" s="1"/>
  <c r="N102" i="285"/>
  <c r="O102" i="285" s="1"/>
  <c r="N101" i="285"/>
  <c r="O101" i="285" s="1"/>
  <c r="N100" i="285"/>
  <c r="O100" i="285" s="1"/>
  <c r="N99" i="285"/>
  <c r="O99" i="285" s="1"/>
  <c r="N98" i="285"/>
  <c r="O98" i="285" s="1"/>
  <c r="N97" i="285"/>
  <c r="O97" i="285" s="1"/>
  <c r="M94" i="285"/>
  <c r="L94" i="285"/>
  <c r="K94" i="285"/>
  <c r="J94" i="285"/>
  <c r="I94" i="285"/>
  <c r="H94" i="285"/>
  <c r="G94" i="285"/>
  <c r="N93" i="285"/>
  <c r="N94" i="285" s="1"/>
  <c r="M90" i="285"/>
  <c r="L90" i="285"/>
  <c r="K90" i="285"/>
  <c r="J90" i="285"/>
  <c r="I90" i="285"/>
  <c r="H90" i="285"/>
  <c r="G90" i="285"/>
  <c r="N89" i="285"/>
  <c r="O89" i="285" s="1"/>
  <c r="N88" i="285"/>
  <c r="O88" i="285" s="1"/>
  <c r="N87" i="285"/>
  <c r="O87" i="285" s="1"/>
  <c r="N86" i="285"/>
  <c r="O86" i="285" s="1"/>
  <c r="N85" i="285"/>
  <c r="O85" i="285" s="1"/>
  <c r="N84" i="285"/>
  <c r="O84" i="285" s="1"/>
  <c r="N82" i="285"/>
  <c r="M82" i="285"/>
  <c r="L82" i="285"/>
  <c r="K82" i="285"/>
  <c r="J82" i="285"/>
  <c r="I82" i="285"/>
  <c r="H82" i="285"/>
  <c r="G82" i="285"/>
  <c r="O81" i="285"/>
  <c r="O82" i="285" s="1"/>
  <c r="M74" i="285"/>
  <c r="L74" i="285"/>
  <c r="K74" i="285"/>
  <c r="J74" i="285"/>
  <c r="I74" i="285"/>
  <c r="H74" i="285"/>
  <c r="G74" i="285"/>
  <c r="N73" i="285"/>
  <c r="O73" i="285" s="1"/>
  <c r="N72" i="285"/>
  <c r="M69" i="285"/>
  <c r="L69" i="285"/>
  <c r="K69" i="285"/>
  <c r="J69" i="285"/>
  <c r="I69" i="285"/>
  <c r="H69" i="285"/>
  <c r="G69" i="285"/>
  <c r="N68" i="285"/>
  <c r="N69" i="285" s="1"/>
  <c r="M65" i="285"/>
  <c r="L65" i="285"/>
  <c r="K65" i="285"/>
  <c r="J65" i="285"/>
  <c r="I65" i="285"/>
  <c r="G65" i="285"/>
  <c r="N64" i="285"/>
  <c r="O64" i="285" s="1"/>
  <c r="N63" i="285"/>
  <c r="O63" i="285" s="1"/>
  <c r="N62" i="285"/>
  <c r="O62" i="285" s="1"/>
  <c r="N57" i="285"/>
  <c r="O57" i="285" s="1"/>
  <c r="N56" i="285"/>
  <c r="O56" i="285" s="1"/>
  <c r="N55" i="285"/>
  <c r="O55" i="285" s="1"/>
  <c r="N54" i="285"/>
  <c r="O54" i="285" s="1"/>
  <c r="N53" i="285"/>
  <c r="O53" i="285" s="1"/>
  <c r="N52" i="285"/>
  <c r="O52" i="285" s="1"/>
  <c r="N51" i="285"/>
  <c r="O51" i="285" s="1"/>
  <c r="M48" i="285"/>
  <c r="L48" i="285"/>
  <c r="K48" i="285"/>
  <c r="J48" i="285"/>
  <c r="I48" i="285"/>
  <c r="H48" i="285"/>
  <c r="G48" i="285"/>
  <c r="O47" i="285"/>
  <c r="N46" i="285"/>
  <c r="O46" i="285" s="1"/>
  <c r="M43" i="285"/>
  <c r="L43" i="285"/>
  <c r="K43" i="285"/>
  <c r="J43" i="285"/>
  <c r="I43" i="285"/>
  <c r="H43" i="285"/>
  <c r="G43" i="285"/>
  <c r="N42" i="285"/>
  <c r="O42" i="285" s="1"/>
  <c r="O43" i="285" s="1"/>
  <c r="M39" i="285"/>
  <c r="L39" i="285"/>
  <c r="K39" i="285"/>
  <c r="J39" i="285"/>
  <c r="I39" i="285"/>
  <c r="H39" i="285"/>
  <c r="G39" i="285"/>
  <c r="N38" i="285"/>
  <c r="O38" i="285" s="1"/>
  <c r="N37" i="285"/>
  <c r="O37" i="285" s="1"/>
  <c r="M30" i="285"/>
  <c r="L30" i="285"/>
  <c r="K30" i="285"/>
  <c r="J30" i="285"/>
  <c r="I30" i="285"/>
  <c r="H30" i="285"/>
  <c r="G30" i="285"/>
  <c r="O29" i="285"/>
  <c r="N28" i="285"/>
  <c r="O28" i="285" s="1"/>
  <c r="M25" i="285"/>
  <c r="L25" i="285"/>
  <c r="K25" i="285"/>
  <c r="J25" i="285"/>
  <c r="I25" i="285"/>
  <c r="G25" i="285"/>
  <c r="N24" i="285"/>
  <c r="O24" i="285" s="1"/>
  <c r="O25" i="285" s="1"/>
  <c r="M20" i="285"/>
  <c r="L20" i="285"/>
  <c r="K20" i="285"/>
  <c r="J20" i="285"/>
  <c r="I20" i="285"/>
  <c r="H20" i="285"/>
  <c r="G20" i="285"/>
  <c r="N19" i="285"/>
  <c r="N20" i="285" s="1"/>
  <c r="M16" i="285"/>
  <c r="L16" i="285"/>
  <c r="K16" i="285"/>
  <c r="J16" i="285"/>
  <c r="I16" i="285"/>
  <c r="G16" i="285"/>
  <c r="N15" i="285"/>
  <c r="N16" i="285" s="1"/>
  <c r="O14" i="285"/>
  <c r="K221" i="284"/>
  <c r="J221" i="284"/>
  <c r="I221" i="284"/>
  <c r="H221" i="284"/>
  <c r="G221" i="284"/>
  <c r="E221" i="284"/>
  <c r="L216" i="284"/>
  <c r="M216" i="284" s="1"/>
  <c r="L215" i="284"/>
  <c r="M215" i="284" s="1"/>
  <c r="L214" i="284"/>
  <c r="M214" i="284" s="1"/>
  <c r="L213" i="284"/>
  <c r="M213" i="284" s="1"/>
  <c r="L212" i="284"/>
  <c r="M212" i="284" s="1"/>
  <c r="L211" i="284"/>
  <c r="L210" i="284"/>
  <c r="M210" i="284" s="1"/>
  <c r="L209" i="284"/>
  <c r="M209" i="284" s="1"/>
  <c r="L208" i="284"/>
  <c r="M208" i="284" s="1"/>
  <c r="L207" i="284"/>
  <c r="M207" i="284" s="1"/>
  <c r="L206" i="284"/>
  <c r="M206" i="284" s="1"/>
  <c r="L205" i="284"/>
  <c r="L204" i="284"/>
  <c r="M204" i="284" s="1"/>
  <c r="L203" i="284"/>
  <c r="M203" i="284" s="1"/>
  <c r="L202" i="284"/>
  <c r="M202" i="284" s="1"/>
  <c r="L201" i="284"/>
  <c r="M201" i="284" s="1"/>
  <c r="L200" i="284"/>
  <c r="M200" i="284" s="1"/>
  <c r="L199" i="284"/>
  <c r="L198" i="284"/>
  <c r="M198" i="284" s="1"/>
  <c r="L196" i="284"/>
  <c r="M196" i="284" s="1"/>
  <c r="L195" i="284"/>
  <c r="M195" i="284" s="1"/>
  <c r="L194" i="284"/>
  <c r="M194" i="284" s="1"/>
  <c r="L193" i="284"/>
  <c r="L192" i="284"/>
  <c r="L191" i="284"/>
  <c r="M191" i="284" s="1"/>
  <c r="L190" i="284"/>
  <c r="M190" i="284" s="1"/>
  <c r="L188" i="284"/>
  <c r="M188" i="284" s="1"/>
  <c r="L187" i="284"/>
  <c r="L186" i="284"/>
  <c r="L185" i="284"/>
  <c r="M185" i="284" s="1"/>
  <c r="L184" i="284"/>
  <c r="M184" i="284" s="1"/>
  <c r="L183" i="284"/>
  <c r="M183" i="284" s="1"/>
  <c r="K180" i="284"/>
  <c r="J180" i="284"/>
  <c r="I180" i="284"/>
  <c r="H180" i="284"/>
  <c r="G180" i="284"/>
  <c r="E180" i="284"/>
  <c r="L179" i="284"/>
  <c r="M179" i="284" s="1"/>
  <c r="L178" i="284"/>
  <c r="M178" i="284" s="1"/>
  <c r="L177" i="284"/>
  <c r="L176" i="284"/>
  <c r="L175" i="284"/>
  <c r="M175" i="284" s="1"/>
  <c r="L174" i="284"/>
  <c r="M174" i="284" s="1"/>
  <c r="L173" i="284"/>
  <c r="M173" i="284" s="1"/>
  <c r="L172" i="284"/>
  <c r="M172" i="284" s="1"/>
  <c r="L171" i="284"/>
  <c r="L170" i="284"/>
  <c r="L169" i="284"/>
  <c r="M169" i="284" s="1"/>
  <c r="K166" i="284"/>
  <c r="J166" i="284"/>
  <c r="I166" i="284"/>
  <c r="H166" i="284"/>
  <c r="G166" i="284"/>
  <c r="F166" i="284"/>
  <c r="E166" i="284"/>
  <c r="L165" i="284"/>
  <c r="M165" i="284" s="1"/>
  <c r="L164" i="284"/>
  <c r="K161" i="284"/>
  <c r="J161" i="284"/>
  <c r="I161" i="284"/>
  <c r="H161" i="284"/>
  <c r="G161" i="284"/>
  <c r="E161" i="284"/>
  <c r="L160" i="284"/>
  <c r="L159" i="284"/>
  <c r="M159" i="284" s="1"/>
  <c r="K156" i="284"/>
  <c r="J156" i="284"/>
  <c r="I156" i="284"/>
  <c r="H156" i="284"/>
  <c r="G156" i="284"/>
  <c r="F156" i="284"/>
  <c r="E156" i="284"/>
  <c r="L155" i="284"/>
  <c r="M155" i="284" s="1"/>
  <c r="L154" i="284"/>
  <c r="M154" i="284" s="1"/>
  <c r="L153" i="284"/>
  <c r="M153" i="284" s="1"/>
  <c r="L152" i="284"/>
  <c r="K149" i="284"/>
  <c r="J149" i="284"/>
  <c r="I149" i="284"/>
  <c r="H149" i="284"/>
  <c r="G149" i="284"/>
  <c r="F149" i="284"/>
  <c r="E149" i="284"/>
  <c r="L148" i="284"/>
  <c r="L149" i="284" s="1"/>
  <c r="K145" i="284"/>
  <c r="J145" i="284"/>
  <c r="I145" i="284"/>
  <c r="H145" i="284"/>
  <c r="G145" i="284"/>
  <c r="F145" i="284"/>
  <c r="E145" i="284"/>
  <c r="L144" i="284"/>
  <c r="L145" i="284" s="1"/>
  <c r="K141" i="284"/>
  <c r="J141" i="284"/>
  <c r="I141" i="284"/>
  <c r="H141" i="284"/>
  <c r="G141" i="284"/>
  <c r="F141" i="284"/>
  <c r="E141" i="284"/>
  <c r="L140" i="284"/>
  <c r="M140" i="284" s="1"/>
  <c r="L139" i="284"/>
  <c r="M139" i="284" s="1"/>
  <c r="L138" i="284"/>
  <c r="M138" i="284" s="1"/>
  <c r="M141" i="284" s="1"/>
  <c r="K135" i="284"/>
  <c r="J135" i="284"/>
  <c r="I135" i="284"/>
  <c r="H135" i="284"/>
  <c r="G135" i="284"/>
  <c r="F135" i="284"/>
  <c r="E135" i="284"/>
  <c r="L134" i="284"/>
  <c r="M134" i="284" s="1"/>
  <c r="L133" i="284"/>
  <c r="M133" i="284" s="1"/>
  <c r="L132" i="284"/>
  <c r="M132" i="284" s="1"/>
  <c r="L130" i="284"/>
  <c r="L135" i="284" s="1"/>
  <c r="K127" i="284"/>
  <c r="J127" i="284"/>
  <c r="I127" i="284"/>
  <c r="H127" i="284"/>
  <c r="G127" i="284"/>
  <c r="F127" i="284"/>
  <c r="E127" i="284"/>
  <c r="L126" i="284"/>
  <c r="L125" i="284"/>
  <c r="L127" i="284" s="1"/>
  <c r="K122" i="284"/>
  <c r="J122" i="284"/>
  <c r="I122" i="284"/>
  <c r="H122" i="284"/>
  <c r="G122" i="284"/>
  <c r="F122" i="284"/>
  <c r="E122" i="284"/>
  <c r="L121" i="284"/>
  <c r="M121" i="284" s="1"/>
  <c r="L119" i="284"/>
  <c r="L118" i="284"/>
  <c r="M118" i="284" s="1"/>
  <c r="L116" i="284"/>
  <c r="M116" i="284" s="1"/>
  <c r="L115" i="284"/>
  <c r="M115" i="284" s="1"/>
  <c r="M122" i="284" s="1"/>
  <c r="K112" i="284"/>
  <c r="J112" i="284"/>
  <c r="I112" i="284"/>
  <c r="H112" i="284"/>
  <c r="G112" i="284"/>
  <c r="E112" i="284"/>
  <c r="L111" i="284"/>
  <c r="L112" i="284" s="1"/>
  <c r="K108" i="284"/>
  <c r="J108" i="284"/>
  <c r="I108" i="284"/>
  <c r="H108" i="284"/>
  <c r="G108" i="284"/>
  <c r="E108" i="284"/>
  <c r="L107" i="284"/>
  <c r="K103" i="284"/>
  <c r="J103" i="284"/>
  <c r="H103" i="284"/>
  <c r="G103" i="284"/>
  <c r="E103" i="284"/>
  <c r="L102" i="284"/>
  <c r="K99" i="284"/>
  <c r="J99" i="284"/>
  <c r="I99" i="284"/>
  <c r="H99" i="284"/>
  <c r="G99" i="284"/>
  <c r="F99" i="284"/>
  <c r="E99" i="284"/>
  <c r="L98" i="284"/>
  <c r="M98" i="284" s="1"/>
  <c r="L97" i="284"/>
  <c r="M97" i="284" s="1"/>
  <c r="K94" i="284"/>
  <c r="J94" i="284"/>
  <c r="I94" i="284"/>
  <c r="H94" i="284"/>
  <c r="G94" i="284"/>
  <c r="F94" i="284"/>
  <c r="E94" i="284"/>
  <c r="L93" i="284"/>
  <c r="L92" i="284"/>
  <c r="K89" i="284"/>
  <c r="J89" i="284"/>
  <c r="I89" i="284"/>
  <c r="H89" i="284"/>
  <c r="G89" i="284"/>
  <c r="E89" i="284"/>
  <c r="L88" i="284"/>
  <c r="M88" i="284" s="1"/>
  <c r="L87" i="284"/>
  <c r="M87" i="284" s="1"/>
  <c r="L85" i="284"/>
  <c r="M85" i="284" s="1"/>
  <c r="L84" i="284"/>
  <c r="M84" i="284" s="1"/>
  <c r="L83" i="284"/>
  <c r="M83" i="284" s="1"/>
  <c r="L82" i="284"/>
  <c r="M82" i="284" s="1"/>
  <c r="L81" i="284"/>
  <c r="L80" i="284"/>
  <c r="M80" i="284" s="1"/>
  <c r="L79" i="284"/>
  <c r="M79" i="284" s="1"/>
  <c r="L78" i="284"/>
  <c r="M78" i="284" s="1"/>
  <c r="L77" i="284"/>
  <c r="M77" i="284" s="1"/>
  <c r="K74" i="284"/>
  <c r="J74" i="284"/>
  <c r="I74" i="284"/>
  <c r="H74" i="284"/>
  <c r="G74" i="284"/>
  <c r="F74" i="284"/>
  <c r="E74" i="284"/>
  <c r="L73" i="284"/>
  <c r="L72" i="284"/>
  <c r="M72" i="284" s="1"/>
  <c r="L71" i="284"/>
  <c r="M71" i="284" s="1"/>
  <c r="L70" i="284"/>
  <c r="M70" i="284" s="1"/>
  <c r="L69" i="284"/>
  <c r="M69" i="284" s="1"/>
  <c r="L68" i="284"/>
  <c r="M68" i="284" s="1"/>
  <c r="L67" i="284"/>
  <c r="L66" i="284"/>
  <c r="M66" i="284" s="1"/>
  <c r="L65" i="284"/>
  <c r="M65" i="284" s="1"/>
  <c r="L64" i="284"/>
  <c r="M64" i="284" s="1"/>
  <c r="L63" i="284"/>
  <c r="M63" i="284" s="1"/>
  <c r="K60" i="284"/>
  <c r="J60" i="284"/>
  <c r="I60" i="284"/>
  <c r="H60" i="284"/>
  <c r="G60" i="284"/>
  <c r="F60" i="284"/>
  <c r="E60" i="284"/>
  <c r="L59" i="284"/>
  <c r="M59" i="284" s="1"/>
  <c r="L58" i="284"/>
  <c r="M58" i="284" s="1"/>
  <c r="L57" i="284"/>
  <c r="M57" i="284" s="1"/>
  <c r="K54" i="284"/>
  <c r="J54" i="284"/>
  <c r="I54" i="284"/>
  <c r="H54" i="284"/>
  <c r="G54" i="284"/>
  <c r="F54" i="284"/>
  <c r="E54" i="284"/>
  <c r="L53" i="284"/>
  <c r="L54" i="284" s="1"/>
  <c r="K50" i="284"/>
  <c r="J50" i="284"/>
  <c r="I50" i="284"/>
  <c r="H50" i="284"/>
  <c r="G50" i="284"/>
  <c r="F50" i="284"/>
  <c r="E50" i="284"/>
  <c r="L49" i="284"/>
  <c r="L48" i="284"/>
  <c r="M48" i="284" s="1"/>
  <c r="K45" i="284"/>
  <c r="J45" i="284"/>
  <c r="J223" i="284" s="1"/>
  <c r="I45" i="284"/>
  <c r="H45" i="284"/>
  <c r="F45" i="284"/>
  <c r="E45" i="284"/>
  <c r="L44" i="284"/>
  <c r="L45" i="284" s="1"/>
  <c r="K41" i="284"/>
  <c r="J41" i="284"/>
  <c r="I41" i="284"/>
  <c r="H41" i="284"/>
  <c r="G41" i="284"/>
  <c r="E41" i="284"/>
  <c r="L40" i="284"/>
  <c r="M40" i="284" s="1"/>
  <c r="L39" i="284"/>
  <c r="M39" i="284" s="1"/>
  <c r="L38" i="284"/>
  <c r="M38" i="284" s="1"/>
  <c r="L37" i="284"/>
  <c r="M37" i="284" s="1"/>
  <c r="L36" i="284"/>
  <c r="M36" i="284" s="1"/>
  <c r="L34" i="284"/>
  <c r="M34" i="284" s="1"/>
  <c r="L33" i="284"/>
  <c r="M33" i="284" s="1"/>
  <c r="L32" i="284"/>
  <c r="K29" i="284"/>
  <c r="J29" i="284"/>
  <c r="I29" i="284"/>
  <c r="H29" i="284"/>
  <c r="G29" i="284"/>
  <c r="F29" i="284"/>
  <c r="E29" i="284"/>
  <c r="L28" i="284"/>
  <c r="L29" i="284" s="1"/>
  <c r="K25" i="284"/>
  <c r="J25" i="284"/>
  <c r="I25" i="284"/>
  <c r="H25" i="284"/>
  <c r="G25" i="284"/>
  <c r="E25" i="284"/>
  <c r="L24" i="284"/>
  <c r="M24" i="284" s="1"/>
  <c r="L23" i="284"/>
  <c r="M23" i="284" s="1"/>
  <c r="L22" i="284"/>
  <c r="M22" i="284" s="1"/>
  <c r="K19" i="284"/>
  <c r="K223" i="284" s="1"/>
  <c r="J19" i="284"/>
  <c r="I19" i="284"/>
  <c r="I223" i="284" s="1"/>
  <c r="H19" i="284"/>
  <c r="G19" i="284"/>
  <c r="F19" i="284"/>
  <c r="E19" i="284"/>
  <c r="E223" i="284" s="1"/>
  <c r="L18" i="284"/>
  <c r="M18" i="284" s="1"/>
  <c r="M17" i="284"/>
  <c r="L16" i="284"/>
  <c r="M16" i="284" s="1"/>
  <c r="L15" i="284"/>
  <c r="M15" i="284" s="1"/>
  <c r="D25" i="283"/>
  <c r="L23" i="283"/>
  <c r="M22" i="283"/>
  <c r="L22" i="283"/>
  <c r="K19" i="283"/>
  <c r="K25" i="283" s="1"/>
  <c r="J19" i="283"/>
  <c r="I19" i="283"/>
  <c r="H19" i="283"/>
  <c r="G19" i="283"/>
  <c r="F19" i="283"/>
  <c r="F25" i="283" s="1"/>
  <c r="E19" i="283"/>
  <c r="L18" i="283"/>
  <c r="L19" i="283" s="1"/>
  <c r="K15" i="283"/>
  <c r="J15" i="283"/>
  <c r="J25" i="283" s="1"/>
  <c r="I15" i="283"/>
  <c r="I25" i="283" s="1"/>
  <c r="H15" i="283"/>
  <c r="H25" i="283" s="1"/>
  <c r="G15" i="283"/>
  <c r="G25" i="283" s="1"/>
  <c r="F15" i="283"/>
  <c r="E15" i="283"/>
  <c r="E25" i="283" s="1"/>
  <c r="L14" i="283"/>
  <c r="L15" i="283" s="1"/>
  <c r="L25" i="283" s="1"/>
  <c r="J18" i="282"/>
  <c r="H18" i="282"/>
  <c r="F18" i="282"/>
  <c r="K16" i="282"/>
  <c r="K18" i="282" s="1"/>
  <c r="J16" i="282"/>
  <c r="I16" i="282"/>
  <c r="I18" i="282" s="1"/>
  <c r="H16" i="282"/>
  <c r="G16" i="282"/>
  <c r="G18" i="282" s="1"/>
  <c r="F16" i="282"/>
  <c r="E16" i="282"/>
  <c r="E18" i="282" s="1"/>
  <c r="L15" i="282"/>
  <c r="M15" i="282" s="1"/>
  <c r="C129" i="278"/>
  <c r="G54" i="278"/>
  <c r="L118" i="277"/>
  <c r="F89" i="270"/>
  <c r="M199" i="270"/>
  <c r="F224" i="270"/>
  <c r="G18" i="281"/>
  <c r="N16" i="281"/>
  <c r="M16" i="281"/>
  <c r="L16" i="281"/>
  <c r="K16" i="281"/>
  <c r="J16" i="281"/>
  <c r="I16" i="281"/>
  <c r="H16" i="281"/>
  <c r="G16" i="281"/>
  <c r="F16" i="281"/>
  <c r="D55" i="280"/>
  <c r="J52" i="280"/>
  <c r="I52" i="280"/>
  <c r="H52" i="280"/>
  <c r="G52" i="280"/>
  <c r="E52" i="280"/>
  <c r="M51" i="280"/>
  <c r="L51" i="280"/>
  <c r="L52" i="280" s="1"/>
  <c r="J48" i="280"/>
  <c r="I48" i="280"/>
  <c r="H48" i="280"/>
  <c r="G48" i="280"/>
  <c r="E48" i="280"/>
  <c r="L47" i="280"/>
  <c r="L48" i="280" s="1"/>
  <c r="J44" i="280"/>
  <c r="I44" i="280"/>
  <c r="H44" i="280"/>
  <c r="G44" i="280"/>
  <c r="E44" i="280"/>
  <c r="L43" i="280"/>
  <c r="M43" i="280" s="1"/>
  <c r="L42" i="280"/>
  <c r="L44" i="280" s="1"/>
  <c r="J39" i="280"/>
  <c r="I39" i="280"/>
  <c r="H39" i="280"/>
  <c r="G39" i="280"/>
  <c r="E39" i="280"/>
  <c r="L38" i="280"/>
  <c r="L39" i="280" s="1"/>
  <c r="M39" i="280" s="1"/>
  <c r="L35" i="280"/>
  <c r="J35" i="280"/>
  <c r="I35" i="280"/>
  <c r="H35" i="280"/>
  <c r="G35" i="280"/>
  <c r="E35" i="280"/>
  <c r="M34" i="280"/>
  <c r="L34" i="280"/>
  <c r="J31" i="280"/>
  <c r="I31" i="280"/>
  <c r="H31" i="280"/>
  <c r="G31" i="280"/>
  <c r="E31" i="280"/>
  <c r="L30" i="280"/>
  <c r="L31" i="280" s="1"/>
  <c r="J23" i="280"/>
  <c r="I23" i="280"/>
  <c r="H23" i="280"/>
  <c r="G23" i="280"/>
  <c r="E23" i="280"/>
  <c r="M22" i="280"/>
  <c r="M23" i="280" s="1"/>
  <c r="L22" i="280"/>
  <c r="L23" i="280" s="1"/>
  <c r="J19" i="280"/>
  <c r="I19" i="280"/>
  <c r="H19" i="280"/>
  <c r="G19" i="280"/>
  <c r="E19" i="280"/>
  <c r="L18" i="280"/>
  <c r="L19" i="280" s="1"/>
  <c r="J15" i="280"/>
  <c r="I15" i="280"/>
  <c r="H15" i="280"/>
  <c r="G15" i="280"/>
  <c r="E15" i="280"/>
  <c r="L14" i="280"/>
  <c r="L15" i="280" s="1"/>
  <c r="J33" i="279"/>
  <c r="M32" i="279"/>
  <c r="M33" i="279" s="1"/>
  <c r="L32" i="279"/>
  <c r="L33" i="279" s="1"/>
  <c r="K32" i="279"/>
  <c r="K33" i="279" s="1"/>
  <c r="J32" i="279"/>
  <c r="N32" i="279" s="1"/>
  <c r="N33" i="279" s="1"/>
  <c r="I32" i="279"/>
  <c r="I33" i="279" s="1"/>
  <c r="H32" i="279"/>
  <c r="H33" i="279" s="1"/>
  <c r="G32" i="279"/>
  <c r="G33" i="279" s="1"/>
  <c r="N31" i="279"/>
  <c r="N30" i="279"/>
  <c r="N29" i="279"/>
  <c r="N28" i="279"/>
  <c r="N27" i="279"/>
  <c r="N26" i="279"/>
  <c r="N25" i="279"/>
  <c r="N24" i="279"/>
  <c r="N23" i="279"/>
  <c r="N22" i="279"/>
  <c r="N21" i="279"/>
  <c r="N20" i="279"/>
  <c r="N19" i="279"/>
  <c r="N18" i="279"/>
  <c r="N17" i="279"/>
  <c r="N16" i="279"/>
  <c r="N15" i="279"/>
  <c r="N14" i="279"/>
  <c r="M127" i="278"/>
  <c r="L127" i="278"/>
  <c r="K127" i="278"/>
  <c r="J127" i="278"/>
  <c r="I127" i="278"/>
  <c r="G127" i="278"/>
  <c r="N126" i="278"/>
  <c r="O126" i="278" s="1"/>
  <c r="N125" i="278"/>
  <c r="O125" i="278" s="1"/>
  <c r="N124" i="278"/>
  <c r="O124" i="278" s="1"/>
  <c r="N123" i="278"/>
  <c r="O123" i="278" s="1"/>
  <c r="N122" i="278"/>
  <c r="O122" i="278" s="1"/>
  <c r="N121" i="278"/>
  <c r="O121" i="278" s="1"/>
  <c r="N119" i="278"/>
  <c r="O119" i="278" s="1"/>
  <c r="N118" i="278"/>
  <c r="O118" i="278" s="1"/>
  <c r="N117" i="278"/>
  <c r="O117" i="278" s="1"/>
  <c r="N116" i="278"/>
  <c r="O116" i="278" s="1"/>
  <c r="N115" i="278"/>
  <c r="O115" i="278" s="1"/>
  <c r="N114" i="278"/>
  <c r="O114" i="278" s="1"/>
  <c r="N113" i="278"/>
  <c r="O113" i="278" s="1"/>
  <c r="N112" i="278"/>
  <c r="O112" i="278" s="1"/>
  <c r="N111" i="278"/>
  <c r="O111" i="278" s="1"/>
  <c r="N110" i="278"/>
  <c r="O110" i="278" s="1"/>
  <c r="N109" i="278"/>
  <c r="O109" i="278" s="1"/>
  <c r="N108" i="278"/>
  <c r="O108" i="278" s="1"/>
  <c r="N107" i="278"/>
  <c r="O107" i="278" s="1"/>
  <c r="N106" i="278"/>
  <c r="O106" i="278" s="1"/>
  <c r="N105" i="278"/>
  <c r="O105" i="278" s="1"/>
  <c r="N104" i="278"/>
  <c r="O104" i="278" s="1"/>
  <c r="N103" i="278"/>
  <c r="O103" i="278" s="1"/>
  <c r="N102" i="278"/>
  <c r="O102" i="278" s="1"/>
  <c r="N101" i="278"/>
  <c r="O101" i="278" s="1"/>
  <c r="N100" i="278"/>
  <c r="O100" i="278" s="1"/>
  <c r="N99" i="278"/>
  <c r="O99" i="278" s="1"/>
  <c r="N98" i="278"/>
  <c r="O98" i="278" s="1"/>
  <c r="N97" i="278"/>
  <c r="O97" i="278" s="1"/>
  <c r="N96" i="278"/>
  <c r="O96" i="278" s="1"/>
  <c r="N95" i="278"/>
  <c r="O95" i="278" s="1"/>
  <c r="N94" i="278"/>
  <c r="O94" i="278" s="1"/>
  <c r="N93" i="278"/>
  <c r="M90" i="278"/>
  <c r="L90" i="278"/>
  <c r="K90" i="278"/>
  <c r="J90" i="278"/>
  <c r="I90" i="278"/>
  <c r="H90" i="278"/>
  <c r="G90" i="278"/>
  <c r="N89" i="278"/>
  <c r="N90" i="278" s="1"/>
  <c r="M86" i="278"/>
  <c r="L86" i="278"/>
  <c r="K86" i="278"/>
  <c r="J86" i="278"/>
  <c r="I86" i="278"/>
  <c r="H86" i="278"/>
  <c r="G86" i="278"/>
  <c r="N85" i="278"/>
  <c r="O85" i="278" s="1"/>
  <c r="N84" i="278"/>
  <c r="O84" i="278" s="1"/>
  <c r="N83" i="278"/>
  <c r="O83" i="278" s="1"/>
  <c r="N82" i="278"/>
  <c r="O82" i="278" s="1"/>
  <c r="N81" i="278"/>
  <c r="O81" i="278" s="1"/>
  <c r="N80" i="278"/>
  <c r="O80" i="278" s="1"/>
  <c r="N78" i="278"/>
  <c r="M78" i="278"/>
  <c r="L78" i="278"/>
  <c r="K78" i="278"/>
  <c r="J78" i="278"/>
  <c r="I78" i="278"/>
  <c r="H78" i="278"/>
  <c r="G78" i="278"/>
  <c r="O77" i="278"/>
  <c r="O78" i="278" s="1"/>
  <c r="M70" i="278"/>
  <c r="L70" i="278"/>
  <c r="K70" i="278"/>
  <c r="J70" i="278"/>
  <c r="I70" i="278"/>
  <c r="H70" i="278"/>
  <c r="G70" i="278"/>
  <c r="N69" i="278"/>
  <c r="O69" i="278" s="1"/>
  <c r="N68" i="278"/>
  <c r="M65" i="278"/>
  <c r="L65" i="278"/>
  <c r="K65" i="278"/>
  <c r="J65" i="278"/>
  <c r="I65" i="278"/>
  <c r="H65" i="278"/>
  <c r="G65" i="278"/>
  <c r="N64" i="278"/>
  <c r="N65" i="278" s="1"/>
  <c r="M61" i="278"/>
  <c r="L61" i="278"/>
  <c r="K61" i="278"/>
  <c r="J61" i="278"/>
  <c r="I61" i="278"/>
  <c r="H61" i="278"/>
  <c r="G61" i="278"/>
  <c r="N60" i="278"/>
  <c r="O60" i="278" s="1"/>
  <c r="N59" i="278"/>
  <c r="O59" i="278" s="1"/>
  <c r="N58" i="278"/>
  <c r="O58" i="278" s="1"/>
  <c r="N57" i="278"/>
  <c r="M54" i="278"/>
  <c r="L54" i="278"/>
  <c r="K54" i="278"/>
  <c r="J54" i="278"/>
  <c r="I54" i="278"/>
  <c r="H54" i="278"/>
  <c r="N53" i="278"/>
  <c r="O53" i="278" s="1"/>
  <c r="N52" i="278"/>
  <c r="O52" i="278" s="1"/>
  <c r="N51" i="278"/>
  <c r="O51" i="278" s="1"/>
  <c r="N50" i="278"/>
  <c r="O50" i="278" s="1"/>
  <c r="N49" i="278"/>
  <c r="O49" i="278" s="1"/>
  <c r="N48" i="278"/>
  <c r="O48" i="278" s="1"/>
  <c r="N47" i="278"/>
  <c r="O47" i="278" s="1"/>
  <c r="M44" i="278"/>
  <c r="L44" i="278"/>
  <c r="K44" i="278"/>
  <c r="J44" i="278"/>
  <c r="I44" i="278"/>
  <c r="H44" i="278"/>
  <c r="G44" i="278"/>
  <c r="O43" i="278"/>
  <c r="N42" i="278"/>
  <c r="O42" i="278" s="1"/>
  <c r="M39" i="278"/>
  <c r="L39" i="278"/>
  <c r="K39" i="278"/>
  <c r="J39" i="278"/>
  <c r="I39" i="278"/>
  <c r="H39" i="278"/>
  <c r="G39" i="278"/>
  <c r="N38" i="278"/>
  <c r="O38" i="278" s="1"/>
  <c r="O39" i="278" s="1"/>
  <c r="M35" i="278"/>
  <c r="L35" i="278"/>
  <c r="K35" i="278"/>
  <c r="J35" i="278"/>
  <c r="I35" i="278"/>
  <c r="H35" i="278"/>
  <c r="G35" i="278"/>
  <c r="N34" i="278"/>
  <c r="O34" i="278" s="1"/>
  <c r="N33" i="278"/>
  <c r="O33" i="278" s="1"/>
  <c r="M30" i="278"/>
  <c r="L30" i="278"/>
  <c r="K30" i="278"/>
  <c r="J30" i="278"/>
  <c r="I30" i="278"/>
  <c r="H30" i="278"/>
  <c r="G30" i="278"/>
  <c r="O29" i="278"/>
  <c r="N28" i="278"/>
  <c r="O28" i="278" s="1"/>
  <c r="O30" i="278" s="1"/>
  <c r="M25" i="278"/>
  <c r="L25" i="278"/>
  <c r="K25" i="278"/>
  <c r="J25" i="278"/>
  <c r="I25" i="278"/>
  <c r="G25" i="278"/>
  <c r="N24" i="278"/>
  <c r="N25" i="278" s="1"/>
  <c r="M20" i="278"/>
  <c r="L20" i="278"/>
  <c r="K20" i="278"/>
  <c r="J20" i="278"/>
  <c r="I20" i="278"/>
  <c r="H20" i="278"/>
  <c r="G20" i="278"/>
  <c r="N19" i="278"/>
  <c r="N20" i="278" s="1"/>
  <c r="M16" i="278"/>
  <c r="L16" i="278"/>
  <c r="K16" i="278"/>
  <c r="J16" i="278"/>
  <c r="I16" i="278"/>
  <c r="G16" i="278"/>
  <c r="N15" i="278"/>
  <c r="N16" i="278" s="1"/>
  <c r="O14" i="278"/>
  <c r="K223" i="277"/>
  <c r="J223" i="277"/>
  <c r="I223" i="277"/>
  <c r="H223" i="277"/>
  <c r="G223" i="277"/>
  <c r="E223" i="277"/>
  <c r="L218" i="277"/>
  <c r="M218" i="277" s="1"/>
  <c r="L217" i="277"/>
  <c r="M217" i="277" s="1"/>
  <c r="M216" i="277"/>
  <c r="L216" i="277"/>
  <c r="M215" i="277"/>
  <c r="L215" i="277"/>
  <c r="L214" i="277"/>
  <c r="M214" i="277" s="1"/>
  <c r="L213" i="277"/>
  <c r="M213" i="277" s="1"/>
  <c r="L212" i="277"/>
  <c r="M212" i="277" s="1"/>
  <c r="L211" i="277"/>
  <c r="M211" i="277" s="1"/>
  <c r="L210" i="277"/>
  <c r="M210" i="277" s="1"/>
  <c r="L209" i="277"/>
  <c r="M209" i="277" s="1"/>
  <c r="L208" i="277"/>
  <c r="M208" i="277" s="1"/>
  <c r="M207" i="277"/>
  <c r="L207" i="277"/>
  <c r="L206" i="277"/>
  <c r="M206" i="277" s="1"/>
  <c r="L205" i="277"/>
  <c r="M205" i="277" s="1"/>
  <c r="L204" i="277"/>
  <c r="M204" i="277" s="1"/>
  <c r="L203" i="277"/>
  <c r="M203" i="277" s="1"/>
  <c r="L202" i="277"/>
  <c r="M202" i="277" s="1"/>
  <c r="L201" i="277"/>
  <c r="M201" i="277" s="1"/>
  <c r="L200" i="277"/>
  <c r="M200" i="277" s="1"/>
  <c r="M199" i="277"/>
  <c r="L198" i="277"/>
  <c r="M198" i="277" s="1"/>
  <c r="L197" i="277"/>
  <c r="M197" i="277" s="1"/>
  <c r="L196" i="277"/>
  <c r="M196" i="277" s="1"/>
  <c r="L195" i="277"/>
  <c r="M195" i="277" s="1"/>
  <c r="L194" i="277"/>
  <c r="M194" i="277" s="1"/>
  <c r="L193" i="277"/>
  <c r="M193" i="277" s="1"/>
  <c r="L192" i="277"/>
  <c r="M192" i="277" s="1"/>
  <c r="M191" i="277"/>
  <c r="L190" i="277"/>
  <c r="M190" i="277" s="1"/>
  <c r="L189" i="277"/>
  <c r="M189" i="277" s="1"/>
  <c r="L188" i="277"/>
  <c r="M188" i="277" s="1"/>
  <c r="M187" i="277"/>
  <c r="L187" i="277"/>
  <c r="L186" i="277"/>
  <c r="M186" i="277" s="1"/>
  <c r="L185" i="277"/>
  <c r="M185" i="277" s="1"/>
  <c r="K182" i="277"/>
  <c r="J182" i="277"/>
  <c r="I182" i="277"/>
  <c r="H182" i="277"/>
  <c r="G182" i="277"/>
  <c r="E182" i="277"/>
  <c r="L181" i="277"/>
  <c r="M181" i="277" s="1"/>
  <c r="L180" i="277"/>
  <c r="M180" i="277" s="1"/>
  <c r="L179" i="277"/>
  <c r="M179" i="277" s="1"/>
  <c r="L178" i="277"/>
  <c r="M178" i="277" s="1"/>
  <c r="L177" i="277"/>
  <c r="M177" i="277" s="1"/>
  <c r="L176" i="277"/>
  <c r="M176" i="277" s="1"/>
  <c r="L175" i="277"/>
  <c r="M175" i="277" s="1"/>
  <c r="L174" i="277"/>
  <c r="M174" i="277" s="1"/>
  <c r="L173" i="277"/>
  <c r="M173" i="277" s="1"/>
  <c r="L172" i="277"/>
  <c r="M172" i="277" s="1"/>
  <c r="L171" i="277"/>
  <c r="M171" i="277" s="1"/>
  <c r="K168" i="277"/>
  <c r="J168" i="277"/>
  <c r="I168" i="277"/>
  <c r="H168" i="277"/>
  <c r="G168" i="277"/>
  <c r="F168" i="277"/>
  <c r="E168" i="277"/>
  <c r="L167" i="277"/>
  <c r="M167" i="277" s="1"/>
  <c r="L166" i="277"/>
  <c r="M166" i="277" s="1"/>
  <c r="K163" i="277"/>
  <c r="J163" i="277"/>
  <c r="I163" i="277"/>
  <c r="H163" i="277"/>
  <c r="G163" i="277"/>
  <c r="E163" i="277"/>
  <c r="L162" i="277"/>
  <c r="M162" i="277" s="1"/>
  <c r="L161" i="277"/>
  <c r="K158" i="277"/>
  <c r="J158" i="277"/>
  <c r="I158" i="277"/>
  <c r="H158" i="277"/>
  <c r="G158" i="277"/>
  <c r="F158" i="277"/>
  <c r="E158" i="277"/>
  <c r="L157" i="277"/>
  <c r="M157" i="277" s="1"/>
  <c r="L156" i="277"/>
  <c r="M156" i="277" s="1"/>
  <c r="L155" i="277"/>
  <c r="M155" i="277" s="1"/>
  <c r="L154" i="277"/>
  <c r="K151" i="277"/>
  <c r="J151" i="277"/>
  <c r="I151" i="277"/>
  <c r="H151" i="277"/>
  <c r="G151" i="277"/>
  <c r="F151" i="277"/>
  <c r="E151" i="277"/>
  <c r="L150" i="277"/>
  <c r="M150" i="277" s="1"/>
  <c r="K147" i="277"/>
  <c r="J147" i="277"/>
  <c r="I147" i="277"/>
  <c r="H147" i="277"/>
  <c r="G147" i="277"/>
  <c r="F147" i="277"/>
  <c r="E147" i="277"/>
  <c r="M146" i="277"/>
  <c r="M147" i="277" s="1"/>
  <c r="L146" i="277"/>
  <c r="L147" i="277" s="1"/>
  <c r="K143" i="277"/>
  <c r="J143" i="277"/>
  <c r="I143" i="277"/>
  <c r="H143" i="277"/>
  <c r="G143" i="277"/>
  <c r="F143" i="277"/>
  <c r="E143" i="277"/>
  <c r="L142" i="277"/>
  <c r="M142" i="277" s="1"/>
  <c r="L141" i="277"/>
  <c r="M141" i="277" s="1"/>
  <c r="L140" i="277"/>
  <c r="K137" i="277"/>
  <c r="J137" i="277"/>
  <c r="I137" i="277"/>
  <c r="H137" i="277"/>
  <c r="G137" i="277"/>
  <c r="F137" i="277"/>
  <c r="E137" i="277"/>
  <c r="L136" i="277"/>
  <c r="M136" i="277" s="1"/>
  <c r="L135" i="277"/>
  <c r="M135" i="277" s="1"/>
  <c r="L134" i="277"/>
  <c r="M134" i="277" s="1"/>
  <c r="M133" i="277"/>
  <c r="L132" i="277"/>
  <c r="M132" i="277" s="1"/>
  <c r="K129" i="277"/>
  <c r="J129" i="277"/>
  <c r="I129" i="277"/>
  <c r="H129" i="277"/>
  <c r="G129" i="277"/>
  <c r="F129" i="277"/>
  <c r="E129" i="277"/>
  <c r="L128" i="277"/>
  <c r="M128" i="277" s="1"/>
  <c r="L127" i="277"/>
  <c r="M127" i="277" s="1"/>
  <c r="K124" i="277"/>
  <c r="J124" i="277"/>
  <c r="I124" i="277"/>
  <c r="H124" i="277"/>
  <c r="G124" i="277"/>
  <c r="F124" i="277"/>
  <c r="E124" i="277"/>
  <c r="L123" i="277"/>
  <c r="M123" i="277" s="1"/>
  <c r="M122" i="277"/>
  <c r="L121" i="277"/>
  <c r="M121" i="277" s="1"/>
  <c r="L120" i="277"/>
  <c r="M120" i="277" s="1"/>
  <c r="M119" i="277"/>
  <c r="M118" i="277"/>
  <c r="L117" i="277"/>
  <c r="K114" i="277"/>
  <c r="J114" i="277"/>
  <c r="I114" i="277"/>
  <c r="H114" i="277"/>
  <c r="G114" i="277"/>
  <c r="E114" i="277"/>
  <c r="L113" i="277"/>
  <c r="L114" i="277" s="1"/>
  <c r="K110" i="277"/>
  <c r="J110" i="277"/>
  <c r="I110" i="277"/>
  <c r="H110" i="277"/>
  <c r="G110" i="277"/>
  <c r="E110" i="277"/>
  <c r="L109" i="277"/>
  <c r="L110" i="277" s="1"/>
  <c r="K105" i="277"/>
  <c r="J105" i="277"/>
  <c r="I105" i="277"/>
  <c r="H105" i="277"/>
  <c r="G105" i="277"/>
  <c r="F105" i="277"/>
  <c r="E105" i="277"/>
  <c r="L104" i="277"/>
  <c r="L103" i="277"/>
  <c r="M103" i="277" s="1"/>
  <c r="L102" i="277"/>
  <c r="K99" i="277"/>
  <c r="J99" i="277"/>
  <c r="I99" i="277"/>
  <c r="H99" i="277"/>
  <c r="G99" i="277"/>
  <c r="F99" i="277"/>
  <c r="E99" i="277"/>
  <c r="L98" i="277"/>
  <c r="M98" i="277" s="1"/>
  <c r="L97" i="277"/>
  <c r="K94" i="277"/>
  <c r="J94" i="277"/>
  <c r="I94" i="277"/>
  <c r="H94" i="277"/>
  <c r="G94" i="277"/>
  <c r="F94" i="277"/>
  <c r="E94" i="277"/>
  <c r="L93" i="277"/>
  <c r="M93" i="277" s="1"/>
  <c r="L92" i="277"/>
  <c r="M92" i="277" s="1"/>
  <c r="K89" i="277"/>
  <c r="J89" i="277"/>
  <c r="I89" i="277"/>
  <c r="H89" i="277"/>
  <c r="G89" i="277"/>
  <c r="E89" i="277"/>
  <c r="L88" i="277"/>
  <c r="M88" i="277" s="1"/>
  <c r="L87" i="277"/>
  <c r="M87" i="277" s="1"/>
  <c r="L86" i="277"/>
  <c r="M86" i="277" s="1"/>
  <c r="L85" i="277"/>
  <c r="M85" i="277" s="1"/>
  <c r="L84" i="277"/>
  <c r="M84" i="277" s="1"/>
  <c r="L83" i="277"/>
  <c r="M83" i="277" s="1"/>
  <c r="L82" i="277"/>
  <c r="M82" i="277" s="1"/>
  <c r="L81" i="277"/>
  <c r="M81" i="277" s="1"/>
  <c r="L80" i="277"/>
  <c r="M80" i="277" s="1"/>
  <c r="L79" i="277"/>
  <c r="M79" i="277" s="1"/>
  <c r="L78" i="277"/>
  <c r="M78" i="277" s="1"/>
  <c r="L77" i="277"/>
  <c r="M77" i="277" s="1"/>
  <c r="K74" i="277"/>
  <c r="J74" i="277"/>
  <c r="I74" i="277"/>
  <c r="H74" i="277"/>
  <c r="G74" i="277"/>
  <c r="F74" i="277"/>
  <c r="E74" i="277"/>
  <c r="L73" i="277"/>
  <c r="M73" i="277" s="1"/>
  <c r="L72" i="277"/>
  <c r="M72" i="277" s="1"/>
  <c r="L71" i="277"/>
  <c r="M71" i="277" s="1"/>
  <c r="L70" i="277"/>
  <c r="M70" i="277" s="1"/>
  <c r="L69" i="277"/>
  <c r="M69" i="277" s="1"/>
  <c r="L68" i="277"/>
  <c r="M68" i="277" s="1"/>
  <c r="L67" i="277"/>
  <c r="M67" i="277" s="1"/>
  <c r="L66" i="277"/>
  <c r="M66" i="277" s="1"/>
  <c r="L65" i="277"/>
  <c r="M65" i="277" s="1"/>
  <c r="L64" i="277"/>
  <c r="M64" i="277" s="1"/>
  <c r="L63" i="277"/>
  <c r="M63" i="277" s="1"/>
  <c r="K60" i="277"/>
  <c r="J60" i="277"/>
  <c r="I60" i="277"/>
  <c r="H60" i="277"/>
  <c r="G60" i="277"/>
  <c r="F60" i="277"/>
  <c r="E60" i="277"/>
  <c r="L59" i="277"/>
  <c r="M59" i="277" s="1"/>
  <c r="L58" i="277"/>
  <c r="M58" i="277" s="1"/>
  <c r="L57" i="277"/>
  <c r="L54" i="277"/>
  <c r="K54" i="277"/>
  <c r="J54" i="277"/>
  <c r="I54" i="277"/>
  <c r="H54" i="277"/>
  <c r="G54" i="277"/>
  <c r="F54" i="277"/>
  <c r="E54" i="277"/>
  <c r="L53" i="277"/>
  <c r="M53" i="277" s="1"/>
  <c r="M54" i="277" s="1"/>
  <c r="K50" i="277"/>
  <c r="J50" i="277"/>
  <c r="I50" i="277"/>
  <c r="H50" i="277"/>
  <c r="G50" i="277"/>
  <c r="F50" i="277"/>
  <c r="E50" i="277"/>
  <c r="L49" i="277"/>
  <c r="M49" i="277" s="1"/>
  <c r="L48" i="277"/>
  <c r="M48" i="277" s="1"/>
  <c r="K45" i="277"/>
  <c r="J45" i="277"/>
  <c r="I45" i="277"/>
  <c r="H45" i="277"/>
  <c r="F45" i="277"/>
  <c r="E45" i="277"/>
  <c r="L44" i="277"/>
  <c r="L45" i="277" s="1"/>
  <c r="K41" i="277"/>
  <c r="J41" i="277"/>
  <c r="I41" i="277"/>
  <c r="H41" i="277"/>
  <c r="G41" i="277"/>
  <c r="E41" i="277"/>
  <c r="L40" i="277"/>
  <c r="M40" i="277" s="1"/>
  <c r="L39" i="277"/>
  <c r="M39" i="277" s="1"/>
  <c r="L38" i="277"/>
  <c r="M38" i="277" s="1"/>
  <c r="L37" i="277"/>
  <c r="M37" i="277" s="1"/>
  <c r="L36" i="277"/>
  <c r="M36" i="277" s="1"/>
  <c r="L34" i="277"/>
  <c r="M34" i="277" s="1"/>
  <c r="L33" i="277"/>
  <c r="M33" i="277" s="1"/>
  <c r="M32" i="277"/>
  <c r="L32" i="277"/>
  <c r="K29" i="277"/>
  <c r="J29" i="277"/>
  <c r="I29" i="277"/>
  <c r="H29" i="277"/>
  <c r="G29" i="277"/>
  <c r="F29" i="277"/>
  <c r="E29" i="277"/>
  <c r="L28" i="277"/>
  <c r="M28" i="277" s="1"/>
  <c r="M29" i="277" s="1"/>
  <c r="K25" i="277"/>
  <c r="J25" i="277"/>
  <c r="I25" i="277"/>
  <c r="H25" i="277"/>
  <c r="G25" i="277"/>
  <c r="E25" i="277"/>
  <c r="L24" i="277"/>
  <c r="M24" i="277" s="1"/>
  <c r="L23" i="277"/>
  <c r="M23" i="277" s="1"/>
  <c r="L22" i="277"/>
  <c r="K19" i="277"/>
  <c r="J19" i="277"/>
  <c r="I19" i="277"/>
  <c r="H19" i="277"/>
  <c r="G19" i="277"/>
  <c r="F19" i="277"/>
  <c r="E19" i="277"/>
  <c r="L18" i="277"/>
  <c r="M18" i="277" s="1"/>
  <c r="M17" i="277"/>
  <c r="L16" i="277"/>
  <c r="M16" i="277" s="1"/>
  <c r="L15" i="277"/>
  <c r="E25" i="274"/>
  <c r="G35" i="272"/>
  <c r="M83" i="293" l="1"/>
  <c r="M88" i="293" s="1"/>
  <c r="L88" i="293"/>
  <c r="M27" i="296"/>
  <c r="L43" i="296"/>
  <c r="M43" i="296" s="1"/>
  <c r="L52" i="296"/>
  <c r="L47" i="296"/>
  <c r="M47" i="296" s="1"/>
  <c r="M38" i="296"/>
  <c r="M50" i="296"/>
  <c r="M52" i="296" s="1"/>
  <c r="M56" i="296"/>
  <c r="M39" i="296"/>
  <c r="I138" i="294"/>
  <c r="O66" i="294"/>
  <c r="O70" i="294" s="1"/>
  <c r="N70" i="294"/>
  <c r="M138" i="294"/>
  <c r="G138" i="294"/>
  <c r="J138" i="294"/>
  <c r="K138" i="294"/>
  <c r="L138" i="294"/>
  <c r="O19" i="294"/>
  <c r="O20" i="294" s="1"/>
  <c r="O52" i="294"/>
  <c r="O28" i="294"/>
  <c r="O30" i="294" s="1"/>
  <c r="O73" i="294"/>
  <c r="O74" i="294" s="1"/>
  <c r="N47" i="294"/>
  <c r="O79" i="294"/>
  <c r="N99" i="294"/>
  <c r="N43" i="294"/>
  <c r="N95" i="294"/>
  <c r="N25" i="294"/>
  <c r="N138" i="294" s="1"/>
  <c r="N52" i="294"/>
  <c r="N63" i="294"/>
  <c r="N79" i="294"/>
  <c r="O43" i="294"/>
  <c r="N136" i="294"/>
  <c r="M128" i="293"/>
  <c r="M102" i="293"/>
  <c r="M103" i="293" s="1"/>
  <c r="M111" i="293"/>
  <c r="M112" i="293" s="1"/>
  <c r="M167" i="293"/>
  <c r="L19" i="293"/>
  <c r="M15" i="293"/>
  <c r="M19" i="293" s="1"/>
  <c r="L25" i="293"/>
  <c r="M28" i="293"/>
  <c r="M29" i="293" s="1"/>
  <c r="L122" i="293"/>
  <c r="L141" i="293"/>
  <c r="M144" i="293"/>
  <c r="M162" i="293"/>
  <c r="M42" i="293"/>
  <c r="M43" i="293" s="1"/>
  <c r="M76" i="293"/>
  <c r="M115" i="293"/>
  <c r="M122" i="293" s="1"/>
  <c r="L150" i="293"/>
  <c r="M48" i="293"/>
  <c r="L58" i="293"/>
  <c r="L73" i="293"/>
  <c r="M93" i="293"/>
  <c r="L16" i="299"/>
  <c r="L18" i="299" s="1"/>
  <c r="M16" i="299"/>
  <c r="M18" i="299" s="1"/>
  <c r="L15" i="297"/>
  <c r="L29" i="297" s="1"/>
  <c r="M60" i="296"/>
  <c r="M23" i="296"/>
  <c r="M59" i="296"/>
  <c r="M22" i="296"/>
  <c r="M55" i="296"/>
  <c r="N33" i="295"/>
  <c r="N34" i="295" s="1"/>
  <c r="O136" i="294"/>
  <c r="O89" i="294"/>
  <c r="O95" i="294" s="1"/>
  <c r="O15" i="294"/>
  <c r="O16" i="294" s="1"/>
  <c r="O138" i="294" s="1"/>
  <c r="O55" i="294"/>
  <c r="O63" i="294" s="1"/>
  <c r="M225" i="293"/>
  <c r="M135" i="293"/>
  <c r="M157" i="293"/>
  <c r="L52" i="293"/>
  <c r="M61" i="293"/>
  <c r="M73" i="293" s="1"/>
  <c r="L157" i="293"/>
  <c r="L162" i="293"/>
  <c r="L48" i="293"/>
  <c r="L93" i="293"/>
  <c r="L128" i="293"/>
  <c r="L135" i="293"/>
  <c r="L167" i="293"/>
  <c r="L225" i="293"/>
  <c r="M22" i="293"/>
  <c r="M25" i="293" s="1"/>
  <c r="M55" i="293"/>
  <c r="M58" i="293" s="1"/>
  <c r="M107" i="293"/>
  <c r="M108" i="293" s="1"/>
  <c r="M138" i="293"/>
  <c r="M141" i="293" s="1"/>
  <c r="M89" i="284"/>
  <c r="M148" i="284"/>
  <c r="M130" i="284"/>
  <c r="M135" i="284" s="1"/>
  <c r="L74" i="284"/>
  <c r="M111" i="284"/>
  <c r="M112" i="284" s="1"/>
  <c r="L60" i="284"/>
  <c r="L161" i="284"/>
  <c r="M44" i="284"/>
  <c r="M102" i="284"/>
  <c r="M103" i="284" s="1"/>
  <c r="L19" i="284"/>
  <c r="M125" i="284"/>
  <c r="M127" i="284" s="1"/>
  <c r="M144" i="284"/>
  <c r="L16" i="290"/>
  <c r="L18" i="290" s="1"/>
  <c r="M16" i="290"/>
  <c r="M18" i="290" s="1"/>
  <c r="N32" i="286"/>
  <c r="N33" i="286" s="1"/>
  <c r="L32" i="287"/>
  <c r="M32" i="287"/>
  <c r="M39" i="287"/>
  <c r="M41" i="287" s="1"/>
  <c r="M36" i="287"/>
  <c r="M45" i="287"/>
  <c r="M19" i="288"/>
  <c r="N74" i="285"/>
  <c r="L89" i="284"/>
  <c r="L99" i="284"/>
  <c r="M166" i="284"/>
  <c r="M29" i="284"/>
  <c r="L166" i="284"/>
  <c r="M19" i="284"/>
  <c r="L108" i="284"/>
  <c r="L221" i="284"/>
  <c r="G223" i="284"/>
  <c r="L180" i="284"/>
  <c r="H223" i="284"/>
  <c r="M99" i="284"/>
  <c r="L122" i="284"/>
  <c r="M41" i="284"/>
  <c r="M156" i="284"/>
  <c r="M161" i="284"/>
  <c r="N25" i="285"/>
  <c r="O93" i="285"/>
  <c r="O94" i="285" s="1"/>
  <c r="N30" i="285"/>
  <c r="N43" i="285"/>
  <c r="O48" i="285"/>
  <c r="O15" i="285"/>
  <c r="O16" i="285" s="1"/>
  <c r="O30" i="285"/>
  <c r="N48" i="285"/>
  <c r="N65" i="285"/>
  <c r="N90" i="285"/>
  <c r="O39" i="285"/>
  <c r="L141" i="284"/>
  <c r="M25" i="284"/>
  <c r="M14" i="288"/>
  <c r="M15" i="288" s="1"/>
  <c r="M29" i="288" s="1"/>
  <c r="M18" i="288"/>
  <c r="M49" i="287"/>
  <c r="M28" i="287"/>
  <c r="M15" i="287"/>
  <c r="M19" i="287"/>
  <c r="M14" i="287"/>
  <c r="M48" i="287"/>
  <c r="M27" i="287"/>
  <c r="M35" i="287"/>
  <c r="M44" i="287"/>
  <c r="O32" i="286"/>
  <c r="O33" i="286" s="1"/>
  <c r="O90" i="285"/>
  <c r="O131" i="285"/>
  <c r="O65" i="285"/>
  <c r="O19" i="285"/>
  <c r="O20" i="285" s="1"/>
  <c r="O72" i="285"/>
  <c r="O74" i="285" s="1"/>
  <c r="N131" i="285"/>
  <c r="N39" i="285"/>
  <c r="O68" i="285"/>
  <c r="O69" i="285" s="1"/>
  <c r="M60" i="284"/>
  <c r="M50" i="284"/>
  <c r="L41" i="284"/>
  <c r="L25" i="284"/>
  <c r="L156" i="284"/>
  <c r="L50" i="284"/>
  <c r="L94" i="284"/>
  <c r="M180" i="284"/>
  <c r="M221" i="284"/>
  <c r="M54" i="284"/>
  <c r="M74" i="284"/>
  <c r="M145" i="284"/>
  <c r="M45" i="284"/>
  <c r="J55" i="280"/>
  <c r="M35" i="280"/>
  <c r="M42" i="280"/>
  <c r="M44" i="280" s="1"/>
  <c r="G55" i="280"/>
  <c r="M52" i="280"/>
  <c r="M19" i="280"/>
  <c r="M31" i="280"/>
  <c r="M48" i="280"/>
  <c r="E55" i="280"/>
  <c r="H55" i="280"/>
  <c r="I55" i="280"/>
  <c r="M223" i="277"/>
  <c r="M109" i="277"/>
  <c r="M110" i="277" s="1"/>
  <c r="M168" i="277"/>
  <c r="L19" i="277"/>
  <c r="M182" i="277"/>
  <c r="H225" i="277"/>
  <c r="L99" i="277"/>
  <c r="M113" i="277"/>
  <c r="M114" i="277" s="1"/>
  <c r="M44" i="277"/>
  <c r="M45" i="277" s="1"/>
  <c r="M97" i="277"/>
  <c r="I129" i="278"/>
  <c r="J129" i="278"/>
  <c r="K129" i="278"/>
  <c r="L129" i="278"/>
  <c r="N61" i="278"/>
  <c r="M129" i="278"/>
  <c r="G129" i="278"/>
  <c r="M19" i="283"/>
  <c r="M18" i="283"/>
  <c r="M14" i="283"/>
  <c r="M15" i="283" s="1"/>
  <c r="L16" i="282"/>
  <c r="L18" i="282" s="1"/>
  <c r="N127" i="278"/>
  <c r="N129" i="278" s="1"/>
  <c r="O64" i="278"/>
  <c r="O65" i="278" s="1"/>
  <c r="O44" i="278"/>
  <c r="O86" i="278"/>
  <c r="O24" i="278"/>
  <c r="O25" i="278" s="1"/>
  <c r="N70" i="278"/>
  <c r="N86" i="278"/>
  <c r="O35" i="278"/>
  <c r="O93" i="278"/>
  <c r="O127" i="278" s="1"/>
  <c r="N35" i="278"/>
  <c r="N54" i="278"/>
  <c r="L143" i="277"/>
  <c r="M137" i="277"/>
  <c r="M50" i="277"/>
  <c r="M94" i="277"/>
  <c r="L158" i="277"/>
  <c r="L163" i="277"/>
  <c r="L60" i="277"/>
  <c r="L124" i="277"/>
  <c r="M41" i="277"/>
  <c r="J225" i="277"/>
  <c r="L25" i="277"/>
  <c r="L29" i="277"/>
  <c r="I225" i="277"/>
  <c r="L105" i="277"/>
  <c r="L223" i="277"/>
  <c r="M129" i="277"/>
  <c r="M102" i="277"/>
  <c r="M105" i="277" s="1"/>
  <c r="G225" i="277"/>
  <c r="E225" i="277"/>
  <c r="L55" i="280"/>
  <c r="M15" i="280"/>
  <c r="M14" i="280"/>
  <c r="M30" i="280"/>
  <c r="M38" i="280"/>
  <c r="M47" i="280"/>
  <c r="O32" i="279"/>
  <c r="O33" i="279" s="1"/>
  <c r="O54" i="278"/>
  <c r="O19" i="278"/>
  <c r="O20" i="278" s="1"/>
  <c r="N30" i="278"/>
  <c r="N39" i="278"/>
  <c r="N44" i="278"/>
  <c r="O68" i="278"/>
  <c r="O70" i="278" s="1"/>
  <c r="O15" i="278"/>
  <c r="O16" i="278" s="1"/>
  <c r="O57" i="278"/>
  <c r="O61" i="278" s="1"/>
  <c r="O89" i="278"/>
  <c r="O90" i="278" s="1"/>
  <c r="M74" i="277"/>
  <c r="M89" i="277"/>
  <c r="M99" i="277"/>
  <c r="M22" i="277"/>
  <c r="M25" i="277" s="1"/>
  <c r="L74" i="277"/>
  <c r="L129" i="277"/>
  <c r="L137" i="277"/>
  <c r="L168" i="277"/>
  <c r="L182" i="277"/>
  <c r="M15" i="277"/>
  <c r="M19" i="277" s="1"/>
  <c r="L89" i="277"/>
  <c r="M161" i="277"/>
  <c r="M163" i="277" s="1"/>
  <c r="L151" i="277"/>
  <c r="L50" i="277"/>
  <c r="L94" i="277"/>
  <c r="M140" i="277"/>
  <c r="M143" i="277" s="1"/>
  <c r="M154" i="277"/>
  <c r="M158" i="277" s="1"/>
  <c r="L41" i="277"/>
  <c r="M57" i="277"/>
  <c r="M60" i="277" s="1"/>
  <c r="M117" i="277"/>
  <c r="M124" i="277" s="1"/>
  <c r="J25" i="274"/>
  <c r="I25" i="274"/>
  <c r="L23" i="274"/>
  <c r="L22" i="274"/>
  <c r="M22" i="274" s="1"/>
  <c r="D25" i="274"/>
  <c r="G19" i="276"/>
  <c r="M25" i="271"/>
  <c r="M133" i="271"/>
  <c r="M30" i="271"/>
  <c r="N24" i="271"/>
  <c r="G133" i="271"/>
  <c r="C135" i="271"/>
  <c r="L135" i="271"/>
  <c r="K135" i="271"/>
  <c r="J135" i="271"/>
  <c r="N132" i="271"/>
  <c r="N133" i="271" s="1"/>
  <c r="L133" i="271"/>
  <c r="K133" i="271"/>
  <c r="J133" i="271"/>
  <c r="I135" i="271"/>
  <c r="G135" i="271"/>
  <c r="I133" i="271"/>
  <c r="N123" i="271"/>
  <c r="O123" i="271" s="1"/>
  <c r="G30" i="271"/>
  <c r="L89" i="270"/>
  <c r="L60" i="270"/>
  <c r="J105" i="270"/>
  <c r="I25" i="270"/>
  <c r="F183" i="270"/>
  <c r="F169" i="270"/>
  <c r="F144" i="270"/>
  <c r="F138" i="270"/>
  <c r="F110" i="270"/>
  <c r="F105" i="270"/>
  <c r="F99" i="270"/>
  <c r="F74" i="270"/>
  <c r="F50" i="270"/>
  <c r="F41" i="270"/>
  <c r="F25" i="270"/>
  <c r="F19" i="270"/>
  <c r="L94" i="270"/>
  <c r="K94" i="270"/>
  <c r="I94" i="270"/>
  <c r="H94" i="270"/>
  <c r="F94" i="270"/>
  <c r="N200" i="270"/>
  <c r="O33" i="295" l="1"/>
  <c r="O34" i="295" s="1"/>
  <c r="L223" i="284"/>
  <c r="M223" i="284"/>
  <c r="M55" i="280"/>
  <c r="O129" i="278"/>
  <c r="M25" i="283"/>
  <c r="M16" i="282"/>
  <c r="M18" i="282" s="1"/>
  <c r="M135" i="271"/>
  <c r="O132" i="271"/>
  <c r="O133" i="271" s="1"/>
  <c r="G74" i="270"/>
  <c r="H74" i="270"/>
  <c r="I74" i="270"/>
  <c r="J74" i="270"/>
  <c r="K74" i="270"/>
  <c r="L74" i="270"/>
  <c r="M72" i="270"/>
  <c r="N72" i="270" s="1"/>
  <c r="M73" i="270"/>
  <c r="N73" i="270" s="1"/>
  <c r="M39" i="270"/>
  <c r="N39" i="270" s="1"/>
  <c r="M38" i="270"/>
  <c r="N38" i="270" s="1"/>
  <c r="N17" i="276"/>
  <c r="M17" i="276"/>
  <c r="L17" i="276"/>
  <c r="K17" i="276"/>
  <c r="J17" i="276"/>
  <c r="I17" i="276"/>
  <c r="H17" i="276"/>
  <c r="G17" i="276"/>
  <c r="F17" i="276"/>
  <c r="I18" i="275"/>
  <c r="H18" i="275"/>
  <c r="G18" i="275"/>
  <c r="L16" i="275"/>
  <c r="L18" i="275" s="1"/>
  <c r="K16" i="275"/>
  <c r="K18" i="275" s="1"/>
  <c r="J16" i="275"/>
  <c r="J18" i="275" s="1"/>
  <c r="I16" i="275"/>
  <c r="H16" i="275"/>
  <c r="G16" i="275"/>
  <c r="M16" i="275" s="1"/>
  <c r="M18" i="275" s="1"/>
  <c r="F16" i="275"/>
  <c r="F18" i="275" s="1"/>
  <c r="E16" i="275"/>
  <c r="E18" i="275" s="1"/>
  <c r="L15" i="275"/>
  <c r="M15" i="275" s="1"/>
  <c r="K19" i="274"/>
  <c r="K25" i="274" s="1"/>
  <c r="J19" i="274"/>
  <c r="I19" i="274"/>
  <c r="H19" i="274"/>
  <c r="G19" i="274"/>
  <c r="F19" i="274"/>
  <c r="F25" i="274" s="1"/>
  <c r="E19" i="274"/>
  <c r="L18" i="274"/>
  <c r="L19" i="274" s="1"/>
  <c r="K15" i="274"/>
  <c r="J15" i="274"/>
  <c r="I15" i="274"/>
  <c r="H15" i="274"/>
  <c r="G15" i="274"/>
  <c r="F15" i="274"/>
  <c r="E15" i="274"/>
  <c r="L14" i="274"/>
  <c r="L15" i="274" s="1"/>
  <c r="L25" i="274" s="1"/>
  <c r="D55" i="273"/>
  <c r="J52" i="273"/>
  <c r="I52" i="273"/>
  <c r="H52" i="273"/>
  <c r="G52" i="273"/>
  <c r="E52" i="273"/>
  <c r="L51" i="273"/>
  <c r="L52" i="273" s="1"/>
  <c r="J48" i="273"/>
  <c r="I48" i="273"/>
  <c r="H48" i="273"/>
  <c r="G48" i="273"/>
  <c r="E48" i="273"/>
  <c r="L47" i="273"/>
  <c r="L48" i="273" s="1"/>
  <c r="M48" i="273" s="1"/>
  <c r="J44" i="273"/>
  <c r="I44" i="273"/>
  <c r="H44" i="273"/>
  <c r="G44" i="273"/>
  <c r="E44" i="273"/>
  <c r="L43" i="273"/>
  <c r="M43" i="273" s="1"/>
  <c r="L42" i="273"/>
  <c r="J39" i="273"/>
  <c r="I39" i="273"/>
  <c r="H39" i="273"/>
  <c r="G39" i="273"/>
  <c r="E39" i="273"/>
  <c r="L38" i="273"/>
  <c r="L39" i="273" s="1"/>
  <c r="J35" i="273"/>
  <c r="I35" i="273"/>
  <c r="H35" i="273"/>
  <c r="G35" i="273"/>
  <c r="E35" i="273"/>
  <c r="L34" i="273"/>
  <c r="L35" i="273" s="1"/>
  <c r="M35" i="273" s="1"/>
  <c r="J31" i="273"/>
  <c r="I31" i="273"/>
  <c r="H31" i="273"/>
  <c r="G31" i="273"/>
  <c r="E31" i="273"/>
  <c r="L30" i="273"/>
  <c r="L31" i="273" s="1"/>
  <c r="J23" i="273"/>
  <c r="I23" i="273"/>
  <c r="H23" i="273"/>
  <c r="G23" i="273"/>
  <c r="E23" i="273"/>
  <c r="L22" i="273"/>
  <c r="L23" i="273" s="1"/>
  <c r="J19" i="273"/>
  <c r="I19" i="273"/>
  <c r="H19" i="273"/>
  <c r="G19" i="273"/>
  <c r="E19" i="273"/>
  <c r="L18" i="273"/>
  <c r="L19" i="273" s="1"/>
  <c r="J15" i="273"/>
  <c r="I15" i="273"/>
  <c r="H15" i="273"/>
  <c r="G15" i="273"/>
  <c r="E15" i="273"/>
  <c r="L14" i="273"/>
  <c r="L15" i="273" s="1"/>
  <c r="M34" i="272"/>
  <c r="M35" i="272" s="1"/>
  <c r="L34" i="272"/>
  <c r="L35" i="272" s="1"/>
  <c r="K34" i="272"/>
  <c r="K35" i="272" s="1"/>
  <c r="J34" i="272"/>
  <c r="J35" i="272" s="1"/>
  <c r="I34" i="272"/>
  <c r="I35" i="272" s="1"/>
  <c r="H34" i="272"/>
  <c r="H35" i="272" s="1"/>
  <c r="G34" i="272"/>
  <c r="N33" i="272"/>
  <c r="N32" i="272"/>
  <c r="N31" i="272"/>
  <c r="N30" i="272"/>
  <c r="N29" i="272"/>
  <c r="N28" i="272"/>
  <c r="N27" i="272"/>
  <c r="N26" i="272"/>
  <c r="N25" i="272"/>
  <c r="N24" i="272"/>
  <c r="N23" i="272"/>
  <c r="N22" i="272"/>
  <c r="N21" i="272"/>
  <c r="N20" i="272"/>
  <c r="N19" i="272"/>
  <c r="N18" i="272"/>
  <c r="N17" i="272"/>
  <c r="N16" i="272"/>
  <c r="N15" i="272"/>
  <c r="N131" i="271"/>
  <c r="O131" i="271" s="1"/>
  <c r="N130" i="271"/>
  <c r="O130" i="271" s="1"/>
  <c r="N129" i="271"/>
  <c r="O129" i="271" s="1"/>
  <c r="N128" i="271"/>
  <c r="O128" i="271" s="1"/>
  <c r="N127" i="271"/>
  <c r="O127" i="271" s="1"/>
  <c r="N125" i="271"/>
  <c r="O125" i="271" s="1"/>
  <c r="N124" i="271"/>
  <c r="O124" i="271" s="1"/>
  <c r="N122" i="271"/>
  <c r="O122" i="271" s="1"/>
  <c r="N121" i="271"/>
  <c r="O121" i="271" s="1"/>
  <c r="N120" i="271"/>
  <c r="O120" i="271" s="1"/>
  <c r="N119" i="271"/>
  <c r="O119" i="271" s="1"/>
  <c r="N118" i="271"/>
  <c r="O118" i="271" s="1"/>
  <c r="N117" i="271"/>
  <c r="O117" i="271" s="1"/>
  <c r="N116" i="271"/>
  <c r="O116" i="271" s="1"/>
  <c r="N115" i="271"/>
  <c r="O115" i="271" s="1"/>
  <c r="N114" i="271"/>
  <c r="O114" i="271" s="1"/>
  <c r="N113" i="271"/>
  <c r="O113" i="271" s="1"/>
  <c r="N112" i="271"/>
  <c r="O112" i="271" s="1"/>
  <c r="N111" i="271"/>
  <c r="O111" i="271" s="1"/>
  <c r="N110" i="271"/>
  <c r="O110" i="271" s="1"/>
  <c r="N109" i="271"/>
  <c r="O109" i="271" s="1"/>
  <c r="N108" i="271"/>
  <c r="O108" i="271" s="1"/>
  <c r="N107" i="271"/>
  <c r="O107" i="271" s="1"/>
  <c r="N106" i="271"/>
  <c r="O106" i="271" s="1"/>
  <c r="N105" i="271"/>
  <c r="O105" i="271" s="1"/>
  <c r="N104" i="271"/>
  <c r="O104" i="271" s="1"/>
  <c r="N103" i="271"/>
  <c r="O103" i="271" s="1"/>
  <c r="N102" i="271"/>
  <c r="O102" i="271" s="1"/>
  <c r="N101" i="271"/>
  <c r="O101" i="271" s="1"/>
  <c r="N100" i="271"/>
  <c r="O100" i="271" s="1"/>
  <c r="N99" i="271"/>
  <c r="M95" i="271"/>
  <c r="L95" i="271"/>
  <c r="K95" i="271"/>
  <c r="J95" i="271"/>
  <c r="I95" i="271"/>
  <c r="H95" i="271"/>
  <c r="G95" i="271"/>
  <c r="N94" i="271"/>
  <c r="N95" i="271" s="1"/>
  <c r="M91" i="271"/>
  <c r="L91" i="271"/>
  <c r="K91" i="271"/>
  <c r="J91" i="271"/>
  <c r="I91" i="271"/>
  <c r="H91" i="271"/>
  <c r="G91" i="271"/>
  <c r="N90" i="271"/>
  <c r="O90" i="271" s="1"/>
  <c r="N89" i="271"/>
  <c r="O89" i="271" s="1"/>
  <c r="N88" i="271"/>
  <c r="O88" i="271" s="1"/>
  <c r="N87" i="271"/>
  <c r="O87" i="271" s="1"/>
  <c r="N86" i="271"/>
  <c r="O86" i="271" s="1"/>
  <c r="N85" i="271"/>
  <c r="N83" i="271"/>
  <c r="M83" i="271"/>
  <c r="L83" i="271"/>
  <c r="K83" i="271"/>
  <c r="J83" i="271"/>
  <c r="I83" i="271"/>
  <c r="H83" i="271"/>
  <c r="G83" i="271"/>
  <c r="O82" i="271"/>
  <c r="O83" i="271" s="1"/>
  <c r="M75" i="271"/>
  <c r="L75" i="271"/>
  <c r="K75" i="271"/>
  <c r="J75" i="271"/>
  <c r="I75" i="271"/>
  <c r="H75" i="271"/>
  <c r="G75" i="271"/>
  <c r="N74" i="271"/>
  <c r="O74" i="271" s="1"/>
  <c r="N73" i="271"/>
  <c r="O73" i="271" s="1"/>
  <c r="M70" i="271"/>
  <c r="L70" i="271"/>
  <c r="K70" i="271"/>
  <c r="J70" i="271"/>
  <c r="I70" i="271"/>
  <c r="H70" i="271"/>
  <c r="G70" i="271"/>
  <c r="N69" i="271"/>
  <c r="O69" i="271" s="1"/>
  <c r="O70" i="271" s="1"/>
  <c r="M66" i="271"/>
  <c r="L66" i="271"/>
  <c r="K66" i="271"/>
  <c r="J66" i="271"/>
  <c r="I66" i="271"/>
  <c r="H66" i="271"/>
  <c r="G66" i="271"/>
  <c r="N65" i="271"/>
  <c r="O65" i="271" s="1"/>
  <c r="N64" i="271"/>
  <c r="O64" i="271" s="1"/>
  <c r="N63" i="271"/>
  <c r="O63" i="271" s="1"/>
  <c r="N62" i="271"/>
  <c r="M59" i="271"/>
  <c r="L59" i="271"/>
  <c r="K59" i="271"/>
  <c r="J59" i="271"/>
  <c r="I59" i="271"/>
  <c r="H59" i="271"/>
  <c r="G59" i="271"/>
  <c r="N58" i="271"/>
  <c r="O58" i="271" s="1"/>
  <c r="N57" i="271"/>
  <c r="O57" i="271" s="1"/>
  <c r="N56" i="271"/>
  <c r="O56" i="271" s="1"/>
  <c r="N55" i="271"/>
  <c r="O55" i="271" s="1"/>
  <c r="N54" i="271"/>
  <c r="O54" i="271" s="1"/>
  <c r="N53" i="271"/>
  <c r="O53" i="271" s="1"/>
  <c r="N52" i="271"/>
  <c r="M49" i="271"/>
  <c r="L49" i="271"/>
  <c r="K49" i="271"/>
  <c r="J49" i="271"/>
  <c r="I49" i="271"/>
  <c r="H49" i="271"/>
  <c r="G49" i="271"/>
  <c r="O48" i="271"/>
  <c r="N47" i="271"/>
  <c r="N49" i="271" s="1"/>
  <c r="M44" i="271"/>
  <c r="L44" i="271"/>
  <c r="K44" i="271"/>
  <c r="J44" i="271"/>
  <c r="I44" i="271"/>
  <c r="H44" i="271"/>
  <c r="G44" i="271"/>
  <c r="N43" i="271"/>
  <c r="N44" i="271" s="1"/>
  <c r="O42" i="271"/>
  <c r="M39" i="271"/>
  <c r="L39" i="271"/>
  <c r="K39" i="271"/>
  <c r="J39" i="271"/>
  <c r="I39" i="271"/>
  <c r="H39" i="271"/>
  <c r="G39" i="271"/>
  <c r="N38" i="271"/>
  <c r="N39" i="271" s="1"/>
  <c r="M35" i="271"/>
  <c r="L35" i="271"/>
  <c r="K35" i="271"/>
  <c r="J35" i="271"/>
  <c r="I35" i="271"/>
  <c r="H35" i="271"/>
  <c r="G35" i="271"/>
  <c r="N34" i="271"/>
  <c r="O34" i="271" s="1"/>
  <c r="N33" i="271"/>
  <c r="O33" i="271" s="1"/>
  <c r="L30" i="271"/>
  <c r="K30" i="271"/>
  <c r="J30" i="271"/>
  <c r="I30" i="271"/>
  <c r="H30" i="271"/>
  <c r="O29" i="271"/>
  <c r="N28" i="271"/>
  <c r="O28" i="271" s="1"/>
  <c r="L25" i="271"/>
  <c r="K25" i="271"/>
  <c r="J25" i="271"/>
  <c r="I25" i="271"/>
  <c r="G25" i="271"/>
  <c r="O24" i="271"/>
  <c r="O25" i="271" s="1"/>
  <c r="M20" i="271"/>
  <c r="L20" i="271"/>
  <c r="K20" i="271"/>
  <c r="J20" i="271"/>
  <c r="I20" i="271"/>
  <c r="H20" i="271"/>
  <c r="G20" i="271"/>
  <c r="N19" i="271"/>
  <c r="N20" i="271" s="1"/>
  <c r="M16" i="271"/>
  <c r="L16" i="271"/>
  <c r="K16" i="271"/>
  <c r="J16" i="271"/>
  <c r="I16" i="271"/>
  <c r="G16" i="271"/>
  <c r="N15" i="271"/>
  <c r="N16" i="271" s="1"/>
  <c r="O14" i="271"/>
  <c r="L224" i="270"/>
  <c r="K224" i="270"/>
  <c r="J224" i="270"/>
  <c r="I224" i="270"/>
  <c r="H224" i="270"/>
  <c r="M219" i="270"/>
  <c r="N219" i="270" s="1"/>
  <c r="M218" i="270"/>
  <c r="N218" i="270" s="1"/>
  <c r="M217" i="270"/>
  <c r="N217" i="270" s="1"/>
  <c r="M216" i="270"/>
  <c r="N216" i="270" s="1"/>
  <c r="M215" i="270"/>
  <c r="N215" i="270" s="1"/>
  <c r="M214" i="270"/>
  <c r="N214" i="270" s="1"/>
  <c r="M213" i="270"/>
  <c r="N213" i="270" s="1"/>
  <c r="M212" i="270"/>
  <c r="N212" i="270" s="1"/>
  <c r="M211" i="270"/>
  <c r="N211" i="270" s="1"/>
  <c r="M210" i="270"/>
  <c r="N210" i="270" s="1"/>
  <c r="M209" i="270"/>
  <c r="N209" i="270" s="1"/>
  <c r="M208" i="270"/>
  <c r="N208" i="270" s="1"/>
  <c r="M207" i="270"/>
  <c r="N207" i="270" s="1"/>
  <c r="M206" i="270"/>
  <c r="N206" i="270" s="1"/>
  <c r="M205" i="270"/>
  <c r="N205" i="270" s="1"/>
  <c r="M204" i="270"/>
  <c r="N204" i="270" s="1"/>
  <c r="M203" i="270"/>
  <c r="N203" i="270" s="1"/>
  <c r="M202" i="270"/>
  <c r="N202" i="270" s="1"/>
  <c r="M201" i="270"/>
  <c r="N201" i="270" s="1"/>
  <c r="N199" i="270"/>
  <c r="M198" i="270"/>
  <c r="N198" i="270" s="1"/>
  <c r="M197" i="270"/>
  <c r="N197" i="270" s="1"/>
  <c r="M196" i="270"/>
  <c r="N196" i="270" s="1"/>
  <c r="M195" i="270"/>
  <c r="N195" i="270" s="1"/>
  <c r="M194" i="270"/>
  <c r="N194" i="270" s="1"/>
  <c r="M193" i="270"/>
  <c r="N193" i="270" s="1"/>
  <c r="N192" i="270"/>
  <c r="M191" i="270"/>
  <c r="N191" i="270" s="1"/>
  <c r="M190" i="270"/>
  <c r="N190" i="270" s="1"/>
  <c r="M189" i="270"/>
  <c r="N189" i="270" s="1"/>
  <c r="M188" i="270"/>
  <c r="N188" i="270" s="1"/>
  <c r="M187" i="270"/>
  <c r="N187" i="270" s="1"/>
  <c r="M186" i="270"/>
  <c r="L183" i="270"/>
  <c r="K183" i="270"/>
  <c r="J183" i="270"/>
  <c r="I183" i="270"/>
  <c r="H183" i="270"/>
  <c r="M182" i="270"/>
  <c r="N182" i="270" s="1"/>
  <c r="M181" i="270"/>
  <c r="N181" i="270" s="1"/>
  <c r="M180" i="270"/>
  <c r="N180" i="270" s="1"/>
  <c r="M179" i="270"/>
  <c r="N179" i="270" s="1"/>
  <c r="M178" i="270"/>
  <c r="N178" i="270" s="1"/>
  <c r="M177" i="270"/>
  <c r="N177" i="270" s="1"/>
  <c r="M176" i="270"/>
  <c r="N176" i="270" s="1"/>
  <c r="M175" i="270"/>
  <c r="N175" i="270" s="1"/>
  <c r="M174" i="270"/>
  <c r="M173" i="270"/>
  <c r="N173" i="270" s="1"/>
  <c r="M172" i="270"/>
  <c r="N172" i="270" s="1"/>
  <c r="L169" i="270"/>
  <c r="K169" i="270"/>
  <c r="J169" i="270"/>
  <c r="I169" i="270"/>
  <c r="H169" i="270"/>
  <c r="G169" i="270"/>
  <c r="M168" i="270"/>
  <c r="N168" i="270" s="1"/>
  <c r="M167" i="270"/>
  <c r="N167" i="270" s="1"/>
  <c r="N169" i="270" s="1"/>
  <c r="L164" i="270"/>
  <c r="K164" i="270"/>
  <c r="J164" i="270"/>
  <c r="I164" i="270"/>
  <c r="H164" i="270"/>
  <c r="F164" i="270"/>
  <c r="M163" i="270"/>
  <c r="N163" i="270" s="1"/>
  <c r="M162" i="270"/>
  <c r="N162" i="270" s="1"/>
  <c r="L159" i="270"/>
  <c r="K159" i="270"/>
  <c r="J159" i="270"/>
  <c r="I159" i="270"/>
  <c r="H159" i="270"/>
  <c r="G159" i="270"/>
  <c r="F159" i="270"/>
  <c r="M158" i="270"/>
  <c r="N158" i="270" s="1"/>
  <c r="M157" i="270"/>
  <c r="N157" i="270" s="1"/>
  <c r="M156" i="270"/>
  <c r="N156" i="270" s="1"/>
  <c r="M155" i="270"/>
  <c r="N155" i="270" s="1"/>
  <c r="L152" i="270"/>
  <c r="K152" i="270"/>
  <c r="J152" i="270"/>
  <c r="I152" i="270"/>
  <c r="H152" i="270"/>
  <c r="G152" i="270"/>
  <c r="F152" i="270"/>
  <c r="M151" i="270"/>
  <c r="N151" i="270" s="1"/>
  <c r="L148" i="270"/>
  <c r="K148" i="270"/>
  <c r="J148" i="270"/>
  <c r="I148" i="270"/>
  <c r="H148" i="270"/>
  <c r="G148" i="270"/>
  <c r="F148" i="270"/>
  <c r="M147" i="270"/>
  <c r="N147" i="270" s="1"/>
  <c r="N148" i="270" s="1"/>
  <c r="L144" i="270"/>
  <c r="K144" i="270"/>
  <c r="J144" i="270"/>
  <c r="I144" i="270"/>
  <c r="H144" i="270"/>
  <c r="G144" i="270"/>
  <c r="M143" i="270"/>
  <c r="N143" i="270" s="1"/>
  <c r="M142" i="270"/>
  <c r="N142" i="270" s="1"/>
  <c r="M141" i="270"/>
  <c r="L138" i="270"/>
  <c r="K138" i="270"/>
  <c r="J138" i="270"/>
  <c r="I138" i="270"/>
  <c r="H138" i="270"/>
  <c r="G138" i="270"/>
  <c r="M137" i="270"/>
  <c r="N137" i="270" s="1"/>
  <c r="M136" i="270"/>
  <c r="N136" i="270" s="1"/>
  <c r="M135" i="270"/>
  <c r="N135" i="270" s="1"/>
  <c r="N134" i="270"/>
  <c r="M133" i="270"/>
  <c r="N133" i="270" s="1"/>
  <c r="L130" i="270"/>
  <c r="K130" i="270"/>
  <c r="J130" i="270"/>
  <c r="I130" i="270"/>
  <c r="H130" i="270"/>
  <c r="G130" i="270"/>
  <c r="F130" i="270"/>
  <c r="M129" i="270"/>
  <c r="N129" i="270" s="1"/>
  <c r="M128" i="270"/>
  <c r="L124" i="270"/>
  <c r="K124" i="270"/>
  <c r="J124" i="270"/>
  <c r="I124" i="270"/>
  <c r="H124" i="270"/>
  <c r="G124" i="270"/>
  <c r="F124" i="270"/>
  <c r="M123" i="270"/>
  <c r="N123" i="270" s="1"/>
  <c r="N122" i="270"/>
  <c r="M121" i="270"/>
  <c r="N121" i="270" s="1"/>
  <c r="M120" i="270"/>
  <c r="N120" i="270" s="1"/>
  <c r="N119" i="270"/>
  <c r="M118" i="270"/>
  <c r="N118" i="270" s="1"/>
  <c r="M117" i="270"/>
  <c r="M124" i="270" s="1"/>
  <c r="L114" i="270"/>
  <c r="K114" i="270"/>
  <c r="J114" i="270"/>
  <c r="I114" i="270"/>
  <c r="H114" i="270"/>
  <c r="F114" i="270"/>
  <c r="M113" i="270"/>
  <c r="M114" i="270" s="1"/>
  <c r="L110" i="270"/>
  <c r="K110" i="270"/>
  <c r="J110" i="270"/>
  <c r="I110" i="270"/>
  <c r="H110" i="270"/>
  <c r="M109" i="270"/>
  <c r="M110" i="270" s="1"/>
  <c r="L105" i="270"/>
  <c r="K105" i="270"/>
  <c r="I105" i="270"/>
  <c r="H105" i="270"/>
  <c r="G105" i="270"/>
  <c r="M104" i="270"/>
  <c r="M103" i="270"/>
  <c r="N103" i="270" s="1"/>
  <c r="M102" i="270"/>
  <c r="L99" i="270"/>
  <c r="K99" i="270"/>
  <c r="J99" i="270"/>
  <c r="I99" i="270"/>
  <c r="H99" i="270"/>
  <c r="G99" i="270"/>
  <c r="M98" i="270"/>
  <c r="N98" i="270" s="1"/>
  <c r="M97" i="270"/>
  <c r="N97" i="270" s="1"/>
  <c r="J94" i="270"/>
  <c r="G94" i="270"/>
  <c r="M93" i="270"/>
  <c r="N93" i="270" s="1"/>
  <c r="M92" i="270"/>
  <c r="K89" i="270"/>
  <c r="J89" i="270"/>
  <c r="I89" i="270"/>
  <c r="H89" i="270"/>
  <c r="M88" i="270"/>
  <c r="N88" i="270" s="1"/>
  <c r="M87" i="270"/>
  <c r="N87" i="270" s="1"/>
  <c r="M86" i="270"/>
  <c r="N86" i="270" s="1"/>
  <c r="M85" i="270"/>
  <c r="N85" i="270" s="1"/>
  <c r="M84" i="270"/>
  <c r="N84" i="270" s="1"/>
  <c r="M83" i="270"/>
  <c r="N83" i="270" s="1"/>
  <c r="M82" i="270"/>
  <c r="N82" i="270" s="1"/>
  <c r="M81" i="270"/>
  <c r="N81" i="270" s="1"/>
  <c r="M80" i="270"/>
  <c r="N80" i="270" s="1"/>
  <c r="M79" i="270"/>
  <c r="N79" i="270" s="1"/>
  <c r="M78" i="270"/>
  <c r="N78" i="270" s="1"/>
  <c r="M77" i="270"/>
  <c r="M71" i="270"/>
  <c r="N71" i="270" s="1"/>
  <c r="M70" i="270"/>
  <c r="N70" i="270" s="1"/>
  <c r="M69" i="270"/>
  <c r="N69" i="270" s="1"/>
  <c r="M68" i="270"/>
  <c r="N68" i="270" s="1"/>
  <c r="M67" i="270"/>
  <c r="N67" i="270" s="1"/>
  <c r="M66" i="270"/>
  <c r="N66" i="270" s="1"/>
  <c r="M65" i="270"/>
  <c r="N65" i="270" s="1"/>
  <c r="M64" i="270"/>
  <c r="N64" i="270" s="1"/>
  <c r="M63" i="270"/>
  <c r="K60" i="270"/>
  <c r="J60" i="270"/>
  <c r="I60" i="270"/>
  <c r="H60" i="270"/>
  <c r="G60" i="270"/>
  <c r="F60" i="270"/>
  <c r="M59" i="270"/>
  <c r="N59" i="270" s="1"/>
  <c r="M58" i="270"/>
  <c r="N58" i="270" s="1"/>
  <c r="M57" i="270"/>
  <c r="N57" i="270" s="1"/>
  <c r="L54" i="270"/>
  <c r="K54" i="270"/>
  <c r="J54" i="270"/>
  <c r="I54" i="270"/>
  <c r="H54" i="270"/>
  <c r="G54" i="270"/>
  <c r="F54" i="270"/>
  <c r="M53" i="270"/>
  <c r="M54" i="270" s="1"/>
  <c r="L50" i="270"/>
  <c r="K50" i="270"/>
  <c r="J50" i="270"/>
  <c r="I50" i="270"/>
  <c r="H50" i="270"/>
  <c r="G50" i="270"/>
  <c r="M49" i="270"/>
  <c r="N49" i="270" s="1"/>
  <c r="M48" i="270"/>
  <c r="L45" i="270"/>
  <c r="K45" i="270"/>
  <c r="J45" i="270"/>
  <c r="I45" i="270"/>
  <c r="G45" i="270"/>
  <c r="F45" i="270"/>
  <c r="M44" i="270"/>
  <c r="M45" i="270" s="1"/>
  <c r="L41" i="270"/>
  <c r="K41" i="270"/>
  <c r="J41" i="270"/>
  <c r="I41" i="270"/>
  <c r="H41" i="270"/>
  <c r="M40" i="270"/>
  <c r="N40" i="270" s="1"/>
  <c r="M37" i="270"/>
  <c r="N37" i="270" s="1"/>
  <c r="M36" i="270"/>
  <c r="N36" i="270" s="1"/>
  <c r="M34" i="270"/>
  <c r="N34" i="270" s="1"/>
  <c r="M33" i="270"/>
  <c r="N33" i="270" s="1"/>
  <c r="M32" i="270"/>
  <c r="N32" i="270" s="1"/>
  <c r="L29" i="270"/>
  <c r="K29" i="270"/>
  <c r="J29" i="270"/>
  <c r="I29" i="270"/>
  <c r="H29" i="270"/>
  <c r="G29" i="270"/>
  <c r="F29" i="270"/>
  <c r="M28" i="270"/>
  <c r="M29" i="270" s="1"/>
  <c r="L25" i="270"/>
  <c r="K25" i="270"/>
  <c r="J25" i="270"/>
  <c r="H25" i="270"/>
  <c r="M24" i="270"/>
  <c r="N24" i="270" s="1"/>
  <c r="M23" i="270"/>
  <c r="N23" i="270" s="1"/>
  <c r="M22" i="270"/>
  <c r="L19" i="270"/>
  <c r="K19" i="270"/>
  <c r="J19" i="270"/>
  <c r="I19" i="270"/>
  <c r="H19" i="270"/>
  <c r="G19" i="270"/>
  <c r="M18" i="270"/>
  <c r="N18" i="270" s="1"/>
  <c r="N17" i="270"/>
  <c r="M16" i="270"/>
  <c r="N16" i="270" s="1"/>
  <c r="M15" i="270"/>
  <c r="C56" i="266"/>
  <c r="D221" i="263"/>
  <c r="O50" i="264"/>
  <c r="I137" i="264"/>
  <c r="J137" i="264"/>
  <c r="K137" i="264"/>
  <c r="L137" i="264"/>
  <c r="M137" i="264"/>
  <c r="N137" i="264"/>
  <c r="O137" i="264"/>
  <c r="G137" i="264"/>
  <c r="G139" i="264"/>
  <c r="N105" i="264"/>
  <c r="O105" i="264" s="1"/>
  <c r="F125" i="263"/>
  <c r="F56" i="266"/>
  <c r="G56" i="266"/>
  <c r="H56" i="266"/>
  <c r="I56" i="266"/>
  <c r="K56" i="266"/>
  <c r="L56" i="266"/>
  <c r="D56" i="266"/>
  <c r="N77" i="270" l="1"/>
  <c r="N89" i="270" s="1"/>
  <c r="M89" i="270"/>
  <c r="J226" i="270"/>
  <c r="M74" i="270"/>
  <c r="N92" i="270"/>
  <c r="N94" i="270" s="1"/>
  <c r="M94" i="270"/>
  <c r="M34" i="273"/>
  <c r="M15" i="273"/>
  <c r="M19" i="273"/>
  <c r="L44" i="273"/>
  <c r="H55" i="273"/>
  <c r="M30" i="273"/>
  <c r="M39" i="273"/>
  <c r="M42" i="273"/>
  <c r="M44" i="273" s="1"/>
  <c r="I55" i="273"/>
  <c r="M52" i="273"/>
  <c r="J55" i="273"/>
  <c r="G55" i="273"/>
  <c r="M31" i="273"/>
  <c r="E55" i="273"/>
  <c r="M22" i="273"/>
  <c r="M23" i="273" s="1"/>
  <c r="M55" i="273" s="1"/>
  <c r="M38" i="273"/>
  <c r="N34" i="272"/>
  <c r="N35" i="272" s="1"/>
  <c r="G25" i="274"/>
  <c r="H25" i="274"/>
  <c r="M19" i="274"/>
  <c r="M18" i="274"/>
  <c r="M14" i="274"/>
  <c r="M15" i="274" s="1"/>
  <c r="N70" i="271"/>
  <c r="N30" i="271"/>
  <c r="N135" i="271" s="1"/>
  <c r="N91" i="271"/>
  <c r="O85" i="271"/>
  <c r="O91" i="271" s="1"/>
  <c r="O30" i="271"/>
  <c r="O135" i="271" s="1"/>
  <c r="N59" i="271"/>
  <c r="O19" i="271"/>
  <c r="O20" i="271" s="1"/>
  <c r="O35" i="271"/>
  <c r="O75" i="271"/>
  <c r="O52" i="271"/>
  <c r="O59" i="271" s="1"/>
  <c r="N25" i="271"/>
  <c r="O47" i="271"/>
  <c r="O49" i="271" s="1"/>
  <c r="N66" i="271"/>
  <c r="O15" i="271"/>
  <c r="O16" i="271" s="1"/>
  <c r="O99" i="271"/>
  <c r="M183" i="270"/>
  <c r="N113" i="270"/>
  <c r="N114" i="270" s="1"/>
  <c r="N41" i="270"/>
  <c r="M99" i="270"/>
  <c r="N99" i="270"/>
  <c r="M169" i="270"/>
  <c r="M50" i="270"/>
  <c r="N159" i="270"/>
  <c r="L226" i="270"/>
  <c r="M164" i="270"/>
  <c r="M224" i="270"/>
  <c r="M25" i="270"/>
  <c r="I226" i="270"/>
  <c r="N186" i="270"/>
  <c r="N224" i="270" s="1"/>
  <c r="M159" i="270"/>
  <c r="K226" i="270"/>
  <c r="F226" i="270"/>
  <c r="M152" i="270"/>
  <c r="M19" i="270"/>
  <c r="H226" i="270"/>
  <c r="N22" i="270"/>
  <c r="N25" i="270" s="1"/>
  <c r="N60" i="270"/>
  <c r="M105" i="270"/>
  <c r="M130" i="270"/>
  <c r="M144" i="270"/>
  <c r="N164" i="270"/>
  <c r="L55" i="273"/>
  <c r="M51" i="273"/>
  <c r="M14" i="273"/>
  <c r="M47" i="273"/>
  <c r="N35" i="271"/>
  <c r="O62" i="271"/>
  <c r="O66" i="271" s="1"/>
  <c r="O94" i="271"/>
  <c r="O95" i="271" s="1"/>
  <c r="O38" i="271"/>
  <c r="O39" i="271" s="1"/>
  <c r="O43" i="271"/>
  <c r="O44" i="271" s="1"/>
  <c r="N75" i="271"/>
  <c r="N138" i="270"/>
  <c r="M41" i="270"/>
  <c r="N48" i="270"/>
  <c r="N50" i="270" s="1"/>
  <c r="M60" i="270"/>
  <c r="N128" i="270"/>
  <c r="N130" i="270" s="1"/>
  <c r="M138" i="270"/>
  <c r="N109" i="270"/>
  <c r="N110" i="270" s="1"/>
  <c r="N174" i="270"/>
  <c r="N183" i="270" s="1"/>
  <c r="M148" i="270"/>
  <c r="N15" i="270"/>
  <c r="N19" i="270" s="1"/>
  <c r="N28" i="270"/>
  <c r="N29" i="270" s="1"/>
  <c r="N53" i="270"/>
  <c r="N54" i="270" s="1"/>
  <c r="N44" i="270"/>
  <c r="N45" i="270" s="1"/>
  <c r="N63" i="270"/>
  <c r="N74" i="270" s="1"/>
  <c r="N117" i="270"/>
  <c r="N124" i="270" s="1"/>
  <c r="N141" i="270"/>
  <c r="N144" i="270" s="1"/>
  <c r="N102" i="270"/>
  <c r="G101" i="264"/>
  <c r="G97" i="264"/>
  <c r="G72" i="264"/>
  <c r="G65" i="264"/>
  <c r="G55" i="264"/>
  <c r="G50" i="264"/>
  <c r="G40" i="264"/>
  <c r="G36" i="264"/>
  <c r="G16" i="264"/>
  <c r="G20" i="264"/>
  <c r="G26" i="264"/>
  <c r="G31" i="264"/>
  <c r="G44" i="264"/>
  <c r="G76" i="264"/>
  <c r="G81" i="264"/>
  <c r="G89" i="264"/>
  <c r="J16" i="264"/>
  <c r="K16" i="264"/>
  <c r="L16" i="264"/>
  <c r="M16" i="264"/>
  <c r="I16" i="264"/>
  <c r="I26" i="264"/>
  <c r="J26" i="264"/>
  <c r="K26" i="264"/>
  <c r="L26" i="264"/>
  <c r="M26" i="264"/>
  <c r="C139" i="264"/>
  <c r="H140" i="263"/>
  <c r="F140" i="263"/>
  <c r="O14" i="264"/>
  <c r="H24" i="263"/>
  <c r="I24" i="263"/>
  <c r="J24" i="263"/>
  <c r="K24" i="263"/>
  <c r="L24" i="263"/>
  <c r="F24" i="263"/>
  <c r="F134" i="263"/>
  <c r="L219" i="263"/>
  <c r="K219" i="263"/>
  <c r="J219" i="263"/>
  <c r="I219" i="263"/>
  <c r="H219" i="263"/>
  <c r="F219" i="263"/>
  <c r="M23" i="263"/>
  <c r="N23" i="263" s="1"/>
  <c r="H18" i="269"/>
  <c r="K16" i="269"/>
  <c r="K18" i="269" s="1"/>
  <c r="J16" i="269"/>
  <c r="J18" i="269" s="1"/>
  <c r="I16" i="269"/>
  <c r="I18" i="269" s="1"/>
  <c r="H16" i="269"/>
  <c r="G16" i="269"/>
  <c r="G18" i="269" s="1"/>
  <c r="F16" i="269"/>
  <c r="F18" i="269" s="1"/>
  <c r="E16" i="269"/>
  <c r="E18" i="269" s="1"/>
  <c r="L15" i="269"/>
  <c r="M15" i="269" s="1"/>
  <c r="H21" i="268"/>
  <c r="F21" i="268"/>
  <c r="K19" i="268"/>
  <c r="K21" i="268" s="1"/>
  <c r="J19" i="268"/>
  <c r="I19" i="268"/>
  <c r="H19" i="268"/>
  <c r="G19" i="268"/>
  <c r="F19" i="268"/>
  <c r="E19" i="268"/>
  <c r="E21" i="268" s="1"/>
  <c r="L18" i="268"/>
  <c r="M18" i="268" s="1"/>
  <c r="L16" i="268"/>
  <c r="K16" i="268"/>
  <c r="J16" i="268"/>
  <c r="J21" i="268" s="1"/>
  <c r="I16" i="268"/>
  <c r="I21" i="268" s="1"/>
  <c r="H16" i="268"/>
  <c r="G16" i="268"/>
  <c r="G21" i="268" s="1"/>
  <c r="F16" i="268"/>
  <c r="E16" i="268"/>
  <c r="M15" i="268"/>
  <c r="M16" i="268" s="1"/>
  <c r="L15" i="268"/>
  <c r="I53" i="266"/>
  <c r="H53" i="266"/>
  <c r="G53" i="266"/>
  <c r="F53" i="266"/>
  <c r="D53" i="266"/>
  <c r="K52" i="266"/>
  <c r="K53" i="266" s="1"/>
  <c r="I49" i="266"/>
  <c r="H49" i="266"/>
  <c r="G49" i="266"/>
  <c r="F49" i="266"/>
  <c r="D49" i="266"/>
  <c r="K48" i="266"/>
  <c r="K49" i="266" s="1"/>
  <c r="I45" i="266"/>
  <c r="H45" i="266"/>
  <c r="G45" i="266"/>
  <c r="F45" i="266"/>
  <c r="D45" i="266"/>
  <c r="K44" i="266"/>
  <c r="L44" i="266" s="1"/>
  <c r="K43" i="266"/>
  <c r="L43" i="266" s="1"/>
  <c r="I40" i="266"/>
  <c r="H40" i="266"/>
  <c r="G40" i="266"/>
  <c r="F40" i="266"/>
  <c r="D40" i="266"/>
  <c r="K39" i="266"/>
  <c r="K40" i="266" s="1"/>
  <c r="I36" i="266"/>
  <c r="H36" i="266"/>
  <c r="G36" i="266"/>
  <c r="F36" i="266"/>
  <c r="D36" i="266"/>
  <c r="K35" i="266"/>
  <c r="K36" i="266" s="1"/>
  <c r="I32" i="266"/>
  <c r="H32" i="266"/>
  <c r="G32" i="266"/>
  <c r="F32" i="266"/>
  <c r="D32" i="266"/>
  <c r="K31" i="266"/>
  <c r="K32" i="266" s="1"/>
  <c r="I24" i="266"/>
  <c r="H24" i="266"/>
  <c r="G24" i="266"/>
  <c r="F24" i="266"/>
  <c r="D24" i="266"/>
  <c r="K23" i="266"/>
  <c r="K24" i="266" s="1"/>
  <c r="I20" i="266"/>
  <c r="H20" i="266"/>
  <c r="G20" i="266"/>
  <c r="F20" i="266"/>
  <c r="L20" i="266" s="1"/>
  <c r="D20" i="266"/>
  <c r="K19" i="266"/>
  <c r="K20" i="266" s="1"/>
  <c r="I16" i="266"/>
  <c r="H16" i="266"/>
  <c r="G16" i="266"/>
  <c r="F16" i="266"/>
  <c r="D16" i="266"/>
  <c r="K15" i="266"/>
  <c r="K16" i="266" s="1"/>
  <c r="K35" i="265"/>
  <c r="J35" i="265"/>
  <c r="M34" i="265"/>
  <c r="M35" i="265" s="1"/>
  <c r="L34" i="265"/>
  <c r="L35" i="265" s="1"/>
  <c r="K34" i="265"/>
  <c r="J34" i="265"/>
  <c r="I34" i="265"/>
  <c r="I35" i="265" s="1"/>
  <c r="H34" i="265"/>
  <c r="H35" i="265" s="1"/>
  <c r="G34" i="265"/>
  <c r="G35" i="265" s="1"/>
  <c r="N33" i="265"/>
  <c r="N32" i="265"/>
  <c r="N31" i="265"/>
  <c r="N30" i="265"/>
  <c r="N29" i="265"/>
  <c r="N28" i="265"/>
  <c r="N27" i="265"/>
  <c r="N26" i="265"/>
  <c r="N25" i="265"/>
  <c r="N24" i="265"/>
  <c r="N23" i="265"/>
  <c r="N22" i="265"/>
  <c r="N21" i="265"/>
  <c r="N20" i="265"/>
  <c r="N19" i="265"/>
  <c r="N18" i="265"/>
  <c r="N17" i="265"/>
  <c r="N16" i="265"/>
  <c r="N15" i="265"/>
  <c r="N136" i="264"/>
  <c r="O136" i="264" s="1"/>
  <c r="N135" i="264"/>
  <c r="O135" i="264" s="1"/>
  <c r="N134" i="264"/>
  <c r="O134" i="264" s="1"/>
  <c r="N133" i="264"/>
  <c r="O133" i="264" s="1"/>
  <c r="N132" i="264"/>
  <c r="O132" i="264" s="1"/>
  <c r="N130" i="264"/>
  <c r="O130" i="264" s="1"/>
  <c r="N129" i="264"/>
  <c r="O129" i="264" s="1"/>
  <c r="N128" i="264"/>
  <c r="O128" i="264" s="1"/>
  <c r="N127" i="264"/>
  <c r="O127" i="264" s="1"/>
  <c r="N126" i="264"/>
  <c r="O126" i="264" s="1"/>
  <c r="N125" i="264"/>
  <c r="O125" i="264" s="1"/>
  <c r="N124" i="264"/>
  <c r="O124" i="264" s="1"/>
  <c r="N123" i="264"/>
  <c r="O123" i="264" s="1"/>
  <c r="N122" i="264"/>
  <c r="O122" i="264" s="1"/>
  <c r="N121" i="264"/>
  <c r="O121" i="264" s="1"/>
  <c r="N120" i="264"/>
  <c r="O120" i="264" s="1"/>
  <c r="N119" i="264"/>
  <c r="O119" i="264" s="1"/>
  <c r="N118" i="264"/>
  <c r="O118" i="264" s="1"/>
  <c r="N117" i="264"/>
  <c r="O117" i="264" s="1"/>
  <c r="N116" i="264"/>
  <c r="O116" i="264" s="1"/>
  <c r="N115" i="264"/>
  <c r="O115" i="264" s="1"/>
  <c r="N114" i="264"/>
  <c r="O114" i="264" s="1"/>
  <c r="N113" i="264"/>
  <c r="O113" i="264" s="1"/>
  <c r="N112" i="264"/>
  <c r="O112" i="264" s="1"/>
  <c r="N111" i="264"/>
  <c r="O111" i="264" s="1"/>
  <c r="N110" i="264"/>
  <c r="O110" i="264" s="1"/>
  <c r="N109" i="264"/>
  <c r="O109" i="264" s="1"/>
  <c r="N108" i="264"/>
  <c r="O108" i="264" s="1"/>
  <c r="N107" i="264"/>
  <c r="N106" i="264"/>
  <c r="O106" i="264" s="1"/>
  <c r="M101" i="264"/>
  <c r="L101" i="264"/>
  <c r="K101" i="264"/>
  <c r="J101" i="264"/>
  <c r="I101" i="264"/>
  <c r="H101" i="264"/>
  <c r="N100" i="264"/>
  <c r="N101" i="264" s="1"/>
  <c r="M97" i="264"/>
  <c r="L97" i="264"/>
  <c r="K97" i="264"/>
  <c r="J97" i="264"/>
  <c r="I97" i="264"/>
  <c r="H97" i="264"/>
  <c r="N96" i="264"/>
  <c r="O96" i="264" s="1"/>
  <c r="N95" i="264"/>
  <c r="O95" i="264" s="1"/>
  <c r="N94" i="264"/>
  <c r="O94" i="264" s="1"/>
  <c r="N93" i="264"/>
  <c r="O93" i="264" s="1"/>
  <c r="N92" i="264"/>
  <c r="O92" i="264" s="1"/>
  <c r="N91" i="264"/>
  <c r="M89" i="264"/>
  <c r="L89" i="264"/>
  <c r="K89" i="264"/>
  <c r="J89" i="264"/>
  <c r="I89" i="264"/>
  <c r="H89" i="264"/>
  <c r="O88" i="264"/>
  <c r="O89" i="264" s="1"/>
  <c r="M81" i="264"/>
  <c r="L81" i="264"/>
  <c r="K81" i="264"/>
  <c r="J81" i="264"/>
  <c r="I81" i="264"/>
  <c r="H81" i="264"/>
  <c r="N80" i="264"/>
  <c r="O80" i="264" s="1"/>
  <c r="N79" i="264"/>
  <c r="O79" i="264" s="1"/>
  <c r="M76" i="264"/>
  <c r="L76" i="264"/>
  <c r="K76" i="264"/>
  <c r="J76" i="264"/>
  <c r="I76" i="264"/>
  <c r="H76" i="264"/>
  <c r="N75" i="264"/>
  <c r="O75" i="264" s="1"/>
  <c r="O76" i="264" s="1"/>
  <c r="M72" i="264"/>
  <c r="L72" i="264"/>
  <c r="K72" i="264"/>
  <c r="J72" i="264"/>
  <c r="I72" i="264"/>
  <c r="H72" i="264"/>
  <c r="N71" i="264"/>
  <c r="O71" i="264" s="1"/>
  <c r="N70" i="264"/>
  <c r="O70" i="264" s="1"/>
  <c r="N69" i="264"/>
  <c r="O69" i="264" s="1"/>
  <c r="N68" i="264"/>
  <c r="O68" i="264" s="1"/>
  <c r="M65" i="264"/>
  <c r="L65" i="264"/>
  <c r="K65" i="264"/>
  <c r="J65" i="264"/>
  <c r="I65" i="264"/>
  <c r="H65" i="264"/>
  <c r="N64" i="264"/>
  <c r="O64" i="264" s="1"/>
  <c r="N63" i="264"/>
  <c r="O63" i="264" s="1"/>
  <c r="N62" i="264"/>
  <c r="O62" i="264" s="1"/>
  <c r="N61" i="264"/>
  <c r="O61" i="264" s="1"/>
  <c r="N60" i="264"/>
  <c r="O60" i="264" s="1"/>
  <c r="N59" i="264"/>
  <c r="O59" i="264" s="1"/>
  <c r="N58" i="264"/>
  <c r="O58" i="264" s="1"/>
  <c r="M55" i="264"/>
  <c r="L55" i="264"/>
  <c r="K55" i="264"/>
  <c r="J55" i="264"/>
  <c r="I55" i="264"/>
  <c r="H55" i="264"/>
  <c r="O54" i="264"/>
  <c r="N53" i="264"/>
  <c r="N55" i="264" s="1"/>
  <c r="M50" i="264"/>
  <c r="L50" i="264"/>
  <c r="K50" i="264"/>
  <c r="J50" i="264"/>
  <c r="I50" i="264"/>
  <c r="H50" i="264"/>
  <c r="N49" i="264"/>
  <c r="N50" i="264" s="1"/>
  <c r="O48" i="264"/>
  <c r="M44" i="264"/>
  <c r="L44" i="264"/>
  <c r="K44" i="264"/>
  <c r="J44" i="264"/>
  <c r="I44" i="264"/>
  <c r="H44" i="264"/>
  <c r="N43" i="264"/>
  <c r="N44" i="264" s="1"/>
  <c r="M40" i="264"/>
  <c r="L40" i="264"/>
  <c r="K40" i="264"/>
  <c r="J40" i="264"/>
  <c r="I40" i="264"/>
  <c r="H40" i="264"/>
  <c r="N39" i="264"/>
  <c r="N40" i="264" s="1"/>
  <c r="M36" i="264"/>
  <c r="L36" i="264"/>
  <c r="K36" i="264"/>
  <c r="J36" i="264"/>
  <c r="I36" i="264"/>
  <c r="H36" i="264"/>
  <c r="N35" i="264"/>
  <c r="O35" i="264" s="1"/>
  <c r="N34" i="264"/>
  <c r="O34" i="264" s="1"/>
  <c r="M31" i="264"/>
  <c r="L31" i="264"/>
  <c r="K31" i="264"/>
  <c r="J31" i="264"/>
  <c r="I31" i="264"/>
  <c r="H31" i="264"/>
  <c r="O30" i="264"/>
  <c r="N29" i="264"/>
  <c r="N25" i="264"/>
  <c r="O25" i="264" s="1"/>
  <c r="N24" i="264"/>
  <c r="M20" i="264"/>
  <c r="L20" i="264"/>
  <c r="K20" i="264"/>
  <c r="J20" i="264"/>
  <c r="I20" i="264"/>
  <c r="H20" i="264"/>
  <c r="N19" i="264"/>
  <c r="O19" i="264" s="1"/>
  <c r="O20" i="264" s="1"/>
  <c r="N15" i="264"/>
  <c r="N16" i="264" s="1"/>
  <c r="M214" i="263"/>
  <c r="N214" i="263" s="1"/>
  <c r="M213" i="263"/>
  <c r="N213" i="263" s="1"/>
  <c r="M212" i="263"/>
  <c r="N212" i="263" s="1"/>
  <c r="M211" i="263"/>
  <c r="N211" i="263" s="1"/>
  <c r="M210" i="263"/>
  <c r="N210" i="263" s="1"/>
  <c r="M209" i="263"/>
  <c r="N209" i="263" s="1"/>
  <c r="M208" i="263"/>
  <c r="N208" i="263" s="1"/>
  <c r="M207" i="263"/>
  <c r="N207" i="263" s="1"/>
  <c r="M206" i="263"/>
  <c r="N206" i="263" s="1"/>
  <c r="M205" i="263"/>
  <c r="N205" i="263" s="1"/>
  <c r="M204" i="263"/>
  <c r="N204" i="263" s="1"/>
  <c r="M203" i="263"/>
  <c r="N203" i="263" s="1"/>
  <c r="M202" i="263"/>
  <c r="N202" i="263" s="1"/>
  <c r="M201" i="263"/>
  <c r="N201" i="263" s="1"/>
  <c r="M200" i="263"/>
  <c r="N200" i="263" s="1"/>
  <c r="M199" i="263"/>
  <c r="N199" i="263" s="1"/>
  <c r="M198" i="263"/>
  <c r="N198" i="263" s="1"/>
  <c r="M197" i="263"/>
  <c r="N197" i="263" s="1"/>
  <c r="M196" i="263"/>
  <c r="N196" i="263" s="1"/>
  <c r="M195" i="263"/>
  <c r="N195" i="263" s="1"/>
  <c r="M194" i="263"/>
  <c r="N194" i="263" s="1"/>
  <c r="M193" i="263"/>
  <c r="N193" i="263" s="1"/>
  <c r="M192" i="263"/>
  <c r="N192" i="263" s="1"/>
  <c r="M191" i="263"/>
  <c r="N191" i="263" s="1"/>
  <c r="M190" i="263"/>
  <c r="N190" i="263" s="1"/>
  <c r="M189" i="263"/>
  <c r="N189" i="263" s="1"/>
  <c r="N188" i="263"/>
  <c r="M187" i="263"/>
  <c r="N187" i="263" s="1"/>
  <c r="M186" i="263"/>
  <c r="N186" i="263" s="1"/>
  <c r="M185" i="263"/>
  <c r="N185" i="263" s="1"/>
  <c r="M184" i="263"/>
  <c r="N184" i="263" s="1"/>
  <c r="M183" i="263"/>
  <c r="N183" i="263" s="1"/>
  <c r="M182" i="263"/>
  <c r="N182" i="263" s="1"/>
  <c r="L179" i="263"/>
  <c r="K179" i="263"/>
  <c r="J179" i="263"/>
  <c r="I179" i="263"/>
  <c r="H179" i="263"/>
  <c r="F179" i="263"/>
  <c r="M178" i="263"/>
  <c r="N178" i="263" s="1"/>
  <c r="M177" i="263"/>
  <c r="N177" i="263" s="1"/>
  <c r="M176" i="263"/>
  <c r="N176" i="263" s="1"/>
  <c r="M175" i="263"/>
  <c r="N175" i="263" s="1"/>
  <c r="M174" i="263"/>
  <c r="N174" i="263" s="1"/>
  <c r="M173" i="263"/>
  <c r="N173" i="263" s="1"/>
  <c r="M172" i="263"/>
  <c r="N172" i="263" s="1"/>
  <c r="M171" i="263"/>
  <c r="N171" i="263" s="1"/>
  <c r="M170" i="263"/>
  <c r="N170" i="263" s="1"/>
  <c r="M169" i="263"/>
  <c r="N169" i="263" s="1"/>
  <c r="M168" i="263"/>
  <c r="N168" i="263" s="1"/>
  <c r="L165" i="263"/>
  <c r="K165" i="263"/>
  <c r="J165" i="263"/>
  <c r="I165" i="263"/>
  <c r="H165" i="263"/>
  <c r="G165" i="263"/>
  <c r="F165" i="263"/>
  <c r="M164" i="263"/>
  <c r="N164" i="263" s="1"/>
  <c r="M163" i="263"/>
  <c r="N163" i="263" s="1"/>
  <c r="L160" i="263"/>
  <c r="K160" i="263"/>
  <c r="J160" i="263"/>
  <c r="I160" i="263"/>
  <c r="H160" i="263"/>
  <c r="F160" i="263"/>
  <c r="M159" i="263"/>
  <c r="N159" i="263" s="1"/>
  <c r="M158" i="263"/>
  <c r="N158" i="263" s="1"/>
  <c r="L155" i="263"/>
  <c r="K155" i="263"/>
  <c r="J155" i="263"/>
  <c r="I155" i="263"/>
  <c r="H155" i="263"/>
  <c r="G155" i="263"/>
  <c r="F155" i="263"/>
  <c r="M154" i="263"/>
  <c r="N154" i="263" s="1"/>
  <c r="M153" i="263"/>
  <c r="N153" i="263" s="1"/>
  <c r="M152" i="263"/>
  <c r="N152" i="263" s="1"/>
  <c r="M151" i="263"/>
  <c r="L148" i="263"/>
  <c r="K148" i="263"/>
  <c r="J148" i="263"/>
  <c r="I148" i="263"/>
  <c r="H148" i="263"/>
  <c r="G148" i="263"/>
  <c r="F148" i="263"/>
  <c r="M147" i="263"/>
  <c r="N147" i="263" s="1"/>
  <c r="L144" i="263"/>
  <c r="K144" i="263"/>
  <c r="J144" i="263"/>
  <c r="I144" i="263"/>
  <c r="H144" i="263"/>
  <c r="G144" i="263"/>
  <c r="F144" i="263"/>
  <c r="M143" i="263"/>
  <c r="N143" i="263" s="1"/>
  <c r="N144" i="263" s="1"/>
  <c r="L140" i="263"/>
  <c r="K140" i="263"/>
  <c r="J140" i="263"/>
  <c r="I140" i="263"/>
  <c r="G140" i="263"/>
  <c r="M139" i="263"/>
  <c r="N139" i="263" s="1"/>
  <c r="M138" i="263"/>
  <c r="N138" i="263" s="1"/>
  <c r="M137" i="263"/>
  <c r="L134" i="263"/>
  <c r="K134" i="263"/>
  <c r="J134" i="263"/>
  <c r="I134" i="263"/>
  <c r="H134" i="263"/>
  <c r="G134" i="263"/>
  <c r="M133" i="263"/>
  <c r="N133" i="263" s="1"/>
  <c r="M132" i="263"/>
  <c r="N132" i="263" s="1"/>
  <c r="M131" i="263"/>
  <c r="N131" i="263" s="1"/>
  <c r="M130" i="263"/>
  <c r="N130" i="263" s="1"/>
  <c r="N129" i="263"/>
  <c r="M128" i="263"/>
  <c r="L125" i="263"/>
  <c r="K125" i="263"/>
  <c r="J125" i="263"/>
  <c r="I125" i="263"/>
  <c r="H125" i="263"/>
  <c r="G125" i="263"/>
  <c r="M124" i="263"/>
  <c r="N124" i="263" s="1"/>
  <c r="M123" i="263"/>
  <c r="N123" i="263" s="1"/>
  <c r="L119" i="263"/>
  <c r="K119" i="263"/>
  <c r="J119" i="263"/>
  <c r="I119" i="263"/>
  <c r="H119" i="263"/>
  <c r="G119" i="263"/>
  <c r="F119" i="263"/>
  <c r="M118" i="263"/>
  <c r="N118" i="263" s="1"/>
  <c r="N117" i="263"/>
  <c r="M116" i="263"/>
  <c r="N116" i="263" s="1"/>
  <c r="M115" i="263"/>
  <c r="N115" i="263" s="1"/>
  <c r="N114" i="263"/>
  <c r="M113" i="263"/>
  <c r="M112" i="263"/>
  <c r="N112" i="263" s="1"/>
  <c r="L109" i="263"/>
  <c r="K109" i="263"/>
  <c r="J109" i="263"/>
  <c r="I109" i="263"/>
  <c r="H109" i="263"/>
  <c r="F109" i="263"/>
  <c r="M108" i="263"/>
  <c r="M109" i="263" s="1"/>
  <c r="L105" i="263"/>
  <c r="K105" i="263"/>
  <c r="J105" i="263"/>
  <c r="I105" i="263"/>
  <c r="H105" i="263"/>
  <c r="F105" i="263"/>
  <c r="M104" i="263"/>
  <c r="M105" i="263" s="1"/>
  <c r="L100" i="263"/>
  <c r="K100" i="263"/>
  <c r="J100" i="263"/>
  <c r="I100" i="263"/>
  <c r="H100" i="263"/>
  <c r="G100" i="263"/>
  <c r="F100" i="263"/>
  <c r="M99" i="263"/>
  <c r="N99" i="263" s="1"/>
  <c r="M98" i="263"/>
  <c r="N98" i="263" s="1"/>
  <c r="M97" i="263"/>
  <c r="N97" i="263" s="1"/>
  <c r="L94" i="263"/>
  <c r="K94" i="263"/>
  <c r="J94" i="263"/>
  <c r="I94" i="263"/>
  <c r="H94" i="263"/>
  <c r="G94" i="263"/>
  <c r="F94" i="263"/>
  <c r="M93" i="263"/>
  <c r="N93" i="263" s="1"/>
  <c r="M92" i="263"/>
  <c r="N92" i="263" s="1"/>
  <c r="L89" i="263"/>
  <c r="K89" i="263"/>
  <c r="J89" i="263"/>
  <c r="I89" i="263"/>
  <c r="H89" i="263"/>
  <c r="G89" i="263"/>
  <c r="F89" i="263"/>
  <c r="M88" i="263"/>
  <c r="N88" i="263" s="1"/>
  <c r="M87" i="263"/>
  <c r="N87" i="263" s="1"/>
  <c r="L84" i="263"/>
  <c r="K84" i="263"/>
  <c r="J84" i="263"/>
  <c r="I84" i="263"/>
  <c r="H84" i="263"/>
  <c r="F84" i="263"/>
  <c r="M83" i="263"/>
  <c r="N83" i="263" s="1"/>
  <c r="M82" i="263"/>
  <c r="N82" i="263" s="1"/>
  <c r="M81" i="263"/>
  <c r="N81" i="263" s="1"/>
  <c r="M80" i="263"/>
  <c r="N80" i="263" s="1"/>
  <c r="M79" i="263"/>
  <c r="N79" i="263" s="1"/>
  <c r="M78" i="263"/>
  <c r="N78" i="263" s="1"/>
  <c r="M77" i="263"/>
  <c r="N77" i="263" s="1"/>
  <c r="M76" i="263"/>
  <c r="N76" i="263" s="1"/>
  <c r="M75" i="263"/>
  <c r="N75" i="263" s="1"/>
  <c r="M74" i="263"/>
  <c r="N74" i="263" s="1"/>
  <c r="M73" i="263"/>
  <c r="M72" i="263"/>
  <c r="N72" i="263" s="1"/>
  <c r="L69" i="263"/>
  <c r="K69" i="263"/>
  <c r="J69" i="263"/>
  <c r="I69" i="263"/>
  <c r="H69" i="263"/>
  <c r="G69" i="263"/>
  <c r="F69" i="263"/>
  <c r="M68" i="263"/>
  <c r="N68" i="263" s="1"/>
  <c r="M67" i="263"/>
  <c r="N67" i="263" s="1"/>
  <c r="M66" i="263"/>
  <c r="N66" i="263" s="1"/>
  <c r="M65" i="263"/>
  <c r="N65" i="263" s="1"/>
  <c r="M64" i="263"/>
  <c r="N64" i="263" s="1"/>
  <c r="M63" i="263"/>
  <c r="N63" i="263" s="1"/>
  <c r="M62" i="263"/>
  <c r="N62" i="263" s="1"/>
  <c r="M61" i="263"/>
  <c r="N61" i="263" s="1"/>
  <c r="M60" i="263"/>
  <c r="N60" i="263" s="1"/>
  <c r="L57" i="263"/>
  <c r="K57" i="263"/>
  <c r="J57" i="263"/>
  <c r="I57" i="263"/>
  <c r="H57" i="263"/>
  <c r="G57" i="263"/>
  <c r="F57" i="263"/>
  <c r="M56" i="263"/>
  <c r="N56" i="263" s="1"/>
  <c r="M55" i="263"/>
  <c r="N55" i="263" s="1"/>
  <c r="M54" i="263"/>
  <c r="L51" i="263"/>
  <c r="K51" i="263"/>
  <c r="J51" i="263"/>
  <c r="I51" i="263"/>
  <c r="H51" i="263"/>
  <c r="G51" i="263"/>
  <c r="F51" i="263"/>
  <c r="M50" i="263"/>
  <c r="M51" i="263" s="1"/>
  <c r="L47" i="263"/>
  <c r="K47" i="263"/>
  <c r="J47" i="263"/>
  <c r="I47" i="263"/>
  <c r="H47" i="263"/>
  <c r="G47" i="263"/>
  <c r="F47" i="263"/>
  <c r="M46" i="263"/>
  <c r="N46" i="263" s="1"/>
  <c r="M45" i="263"/>
  <c r="L42" i="263"/>
  <c r="K42" i="263"/>
  <c r="J42" i="263"/>
  <c r="I42" i="263"/>
  <c r="G42" i="263"/>
  <c r="F42" i="263"/>
  <c r="M41" i="263"/>
  <c r="M42" i="263" s="1"/>
  <c r="L38" i="263"/>
  <c r="K38" i="263"/>
  <c r="J38" i="263"/>
  <c r="I38" i="263"/>
  <c r="H38" i="263"/>
  <c r="F38" i="263"/>
  <c r="M37" i="263"/>
  <c r="N37" i="263" s="1"/>
  <c r="M36" i="263"/>
  <c r="N36" i="263" s="1"/>
  <c r="M35" i="263"/>
  <c r="N35" i="263" s="1"/>
  <c r="M33" i="263"/>
  <c r="N33" i="263" s="1"/>
  <c r="M32" i="263"/>
  <c r="N32" i="263" s="1"/>
  <c r="M31" i="263"/>
  <c r="N31" i="263" s="1"/>
  <c r="L28" i="263"/>
  <c r="K28" i="263"/>
  <c r="J28" i="263"/>
  <c r="I28" i="263"/>
  <c r="H28" i="263"/>
  <c r="G28" i="263"/>
  <c r="F28" i="263"/>
  <c r="M27" i="263"/>
  <c r="M28" i="263" s="1"/>
  <c r="M22" i="263"/>
  <c r="N22" i="263" s="1"/>
  <c r="M21" i="263"/>
  <c r="N21" i="263" s="1"/>
  <c r="N24" i="263" s="1"/>
  <c r="L18" i="263"/>
  <c r="K18" i="263"/>
  <c r="J18" i="263"/>
  <c r="I18" i="263"/>
  <c r="H18" i="263"/>
  <c r="G18" i="263"/>
  <c r="F18" i="263"/>
  <c r="M17" i="263"/>
  <c r="N17" i="263" s="1"/>
  <c r="N16" i="263"/>
  <c r="M15" i="263"/>
  <c r="N15" i="263" s="1"/>
  <c r="M14" i="263"/>
  <c r="N14" i="263" s="1"/>
  <c r="F122" i="257"/>
  <c r="N128" i="258"/>
  <c r="O128" i="258" s="1"/>
  <c r="N123" i="258"/>
  <c r="O123" i="258" s="1"/>
  <c r="N125" i="258"/>
  <c r="O125" i="258" s="1"/>
  <c r="G159" i="257"/>
  <c r="L87" i="257"/>
  <c r="L97" i="257"/>
  <c r="J17" i="262"/>
  <c r="K16" i="262"/>
  <c r="K17" i="262" s="1"/>
  <c r="J16" i="262"/>
  <c r="I16" i="262"/>
  <c r="I17" i="262" s="1"/>
  <c r="H16" i="262"/>
  <c r="H17" i="262" s="1"/>
  <c r="G16" i="262"/>
  <c r="G17" i="262" s="1"/>
  <c r="F16" i="262"/>
  <c r="F17" i="262" s="1"/>
  <c r="E16" i="262"/>
  <c r="E17" i="262" s="1"/>
  <c r="L15" i="262"/>
  <c r="L16" i="262" s="1"/>
  <c r="L17" i="262" s="1"/>
  <c r="H35" i="261"/>
  <c r="M34" i="261"/>
  <c r="M35" i="261" s="1"/>
  <c r="L34" i="261"/>
  <c r="L35" i="261" s="1"/>
  <c r="K34" i="261"/>
  <c r="K35" i="261" s="1"/>
  <c r="J34" i="261"/>
  <c r="J35" i="261" s="1"/>
  <c r="I34" i="261"/>
  <c r="I35" i="261" s="1"/>
  <c r="H34" i="261"/>
  <c r="G34" i="261"/>
  <c r="G35" i="261" s="1"/>
  <c r="N33" i="261"/>
  <c r="N32" i="261"/>
  <c r="N31" i="261"/>
  <c r="N30" i="261"/>
  <c r="N29" i="261"/>
  <c r="N28" i="261"/>
  <c r="N27" i="261"/>
  <c r="N26" i="261"/>
  <c r="N25" i="261"/>
  <c r="N24" i="261"/>
  <c r="N23" i="261"/>
  <c r="N22" i="261"/>
  <c r="N21" i="261"/>
  <c r="N20" i="261"/>
  <c r="N19" i="261"/>
  <c r="N18" i="261"/>
  <c r="N17" i="261"/>
  <c r="N16" i="261"/>
  <c r="N15" i="261"/>
  <c r="F21" i="260"/>
  <c r="K19" i="260"/>
  <c r="K21" i="260" s="1"/>
  <c r="J19" i="260"/>
  <c r="I19" i="260"/>
  <c r="H19" i="260"/>
  <c r="G19" i="260"/>
  <c r="F19" i="260"/>
  <c r="E19" i="260"/>
  <c r="L18" i="260"/>
  <c r="L19" i="260" s="1"/>
  <c r="K16" i="260"/>
  <c r="J16" i="260"/>
  <c r="J21" i="260" s="1"/>
  <c r="I16" i="260"/>
  <c r="I21" i="260" s="1"/>
  <c r="H16" i="260"/>
  <c r="H21" i="260" s="1"/>
  <c r="G16" i="260"/>
  <c r="G21" i="260" s="1"/>
  <c r="F16" i="260"/>
  <c r="E16" i="260"/>
  <c r="E21" i="260" s="1"/>
  <c r="L15" i="260"/>
  <c r="L16" i="260" s="1"/>
  <c r="L21" i="260" s="1"/>
  <c r="L53" i="259"/>
  <c r="K53" i="259"/>
  <c r="I53" i="259"/>
  <c r="H53" i="259"/>
  <c r="G53" i="259"/>
  <c r="F53" i="259"/>
  <c r="D53" i="259"/>
  <c r="C53" i="259"/>
  <c r="I46" i="259"/>
  <c r="H46" i="259"/>
  <c r="G46" i="259"/>
  <c r="F46" i="259"/>
  <c r="D46" i="259"/>
  <c r="K45" i="259"/>
  <c r="K46" i="259" s="1"/>
  <c r="K36" i="259"/>
  <c r="K37" i="259" s="1"/>
  <c r="K41" i="259"/>
  <c r="L41" i="259" s="1"/>
  <c r="J42" i="259"/>
  <c r="I42" i="259"/>
  <c r="H42" i="259"/>
  <c r="G42" i="259"/>
  <c r="F42" i="259"/>
  <c r="D42" i="259"/>
  <c r="I37" i="259"/>
  <c r="H37" i="259"/>
  <c r="G37" i="259"/>
  <c r="F37" i="259"/>
  <c r="D37" i="259"/>
  <c r="J24" i="259"/>
  <c r="I24" i="259"/>
  <c r="H24" i="259"/>
  <c r="G24" i="259"/>
  <c r="F24" i="259"/>
  <c r="D24" i="259"/>
  <c r="I50" i="259"/>
  <c r="H50" i="259"/>
  <c r="G50" i="259"/>
  <c r="F50" i="259"/>
  <c r="D50" i="259"/>
  <c r="K49" i="259"/>
  <c r="K50" i="259" s="1"/>
  <c r="K40" i="259"/>
  <c r="K42" i="259" s="1"/>
  <c r="I33" i="259"/>
  <c r="H33" i="259"/>
  <c r="G33" i="259"/>
  <c r="F33" i="259"/>
  <c r="D33" i="259"/>
  <c r="K32" i="259"/>
  <c r="L32" i="259" s="1"/>
  <c r="I29" i="259"/>
  <c r="H29" i="259"/>
  <c r="G29" i="259"/>
  <c r="F29" i="259"/>
  <c r="D29" i="259"/>
  <c r="K28" i="259"/>
  <c r="L28" i="259" s="1"/>
  <c r="K23" i="259"/>
  <c r="K24" i="259" s="1"/>
  <c r="I20" i="259"/>
  <c r="H20" i="259"/>
  <c r="G20" i="259"/>
  <c r="F20" i="259"/>
  <c r="D20" i="259"/>
  <c r="K19" i="259"/>
  <c r="K20" i="259" s="1"/>
  <c r="I16" i="259"/>
  <c r="H16" i="259"/>
  <c r="G16" i="259"/>
  <c r="F16" i="259"/>
  <c r="D16" i="259"/>
  <c r="K15" i="259"/>
  <c r="K16" i="259" s="1"/>
  <c r="C134" i="258"/>
  <c r="I132" i="258"/>
  <c r="G132" i="258"/>
  <c r="M132" i="258"/>
  <c r="L132" i="258"/>
  <c r="K132" i="258"/>
  <c r="J132" i="258"/>
  <c r="G92" i="258"/>
  <c r="G71" i="258"/>
  <c r="H71" i="258"/>
  <c r="N63" i="258"/>
  <c r="O63" i="258" s="1"/>
  <c r="N62" i="258"/>
  <c r="O62" i="258" s="1"/>
  <c r="N61" i="258"/>
  <c r="O61" i="258" s="1"/>
  <c r="N60" i="258"/>
  <c r="O60" i="258" s="1"/>
  <c r="N59" i="258"/>
  <c r="O59" i="258" s="1"/>
  <c r="N58" i="258"/>
  <c r="N57" i="258"/>
  <c r="O57" i="258" s="1"/>
  <c r="H64" i="258"/>
  <c r="G16" i="258"/>
  <c r="N15" i="258"/>
  <c r="O15" i="258" s="1"/>
  <c r="N14" i="258"/>
  <c r="O14" i="258" s="1"/>
  <c r="M16" i="258"/>
  <c r="L16" i="258"/>
  <c r="K16" i="258"/>
  <c r="J16" i="258"/>
  <c r="H16" i="258"/>
  <c r="I16" i="258"/>
  <c r="N131" i="258"/>
  <c r="O131" i="258" s="1"/>
  <c r="N130" i="258"/>
  <c r="O130" i="258" s="1"/>
  <c r="N129" i="258"/>
  <c r="O129" i="258" s="1"/>
  <c r="N127" i="258"/>
  <c r="O127" i="258" s="1"/>
  <c r="N124" i="258"/>
  <c r="O124" i="258" s="1"/>
  <c r="N122" i="258"/>
  <c r="O122" i="258" s="1"/>
  <c r="N121" i="258"/>
  <c r="O121" i="258" s="1"/>
  <c r="N120" i="258"/>
  <c r="O120" i="258" s="1"/>
  <c r="N119" i="258"/>
  <c r="O119" i="258" s="1"/>
  <c r="N118" i="258"/>
  <c r="O118" i="258" s="1"/>
  <c r="N117" i="258"/>
  <c r="O117" i="258" s="1"/>
  <c r="N116" i="258"/>
  <c r="O116" i="258" s="1"/>
  <c r="N115" i="258"/>
  <c r="O115" i="258" s="1"/>
  <c r="N114" i="258"/>
  <c r="O114" i="258" s="1"/>
  <c r="N113" i="258"/>
  <c r="O113" i="258" s="1"/>
  <c r="N112" i="258"/>
  <c r="O112" i="258" s="1"/>
  <c r="N111" i="258"/>
  <c r="O111" i="258" s="1"/>
  <c r="N110" i="258"/>
  <c r="O110" i="258" s="1"/>
  <c r="N109" i="258"/>
  <c r="O109" i="258" s="1"/>
  <c r="N108" i="258"/>
  <c r="O108" i="258" s="1"/>
  <c r="N107" i="258"/>
  <c r="O107" i="258" s="1"/>
  <c r="N106" i="258"/>
  <c r="O106" i="258" s="1"/>
  <c r="N105" i="258"/>
  <c r="O105" i="258" s="1"/>
  <c r="N104" i="258"/>
  <c r="O104" i="258" s="1"/>
  <c r="N103" i="258"/>
  <c r="O103" i="258" s="1"/>
  <c r="N102" i="258"/>
  <c r="O102" i="258" s="1"/>
  <c r="N101" i="258"/>
  <c r="O101" i="258" s="1"/>
  <c r="N100" i="258"/>
  <c r="M96" i="258"/>
  <c r="L96" i="258"/>
  <c r="K96" i="258"/>
  <c r="J96" i="258"/>
  <c r="I96" i="258"/>
  <c r="H96" i="258"/>
  <c r="G96" i="258"/>
  <c r="N95" i="258"/>
  <c r="N96" i="258" s="1"/>
  <c r="M92" i="258"/>
  <c r="L92" i="258"/>
  <c r="K92" i="258"/>
  <c r="J92" i="258"/>
  <c r="I92" i="258"/>
  <c r="H92" i="258"/>
  <c r="N91" i="258"/>
  <c r="O91" i="258" s="1"/>
  <c r="N90" i="258"/>
  <c r="O90" i="258" s="1"/>
  <c r="N89" i="258"/>
  <c r="O89" i="258" s="1"/>
  <c r="N88" i="258"/>
  <c r="O88" i="258" s="1"/>
  <c r="N87" i="258"/>
  <c r="O87" i="258" s="1"/>
  <c r="N86" i="258"/>
  <c r="M84" i="258"/>
  <c r="L84" i="258"/>
  <c r="K84" i="258"/>
  <c r="J84" i="258"/>
  <c r="I84" i="258"/>
  <c r="H84" i="258"/>
  <c r="G84" i="258"/>
  <c r="N83" i="258"/>
  <c r="N84" i="258" s="1"/>
  <c r="M80" i="258"/>
  <c r="L80" i="258"/>
  <c r="K80" i="258"/>
  <c r="J80" i="258"/>
  <c r="I80" i="258"/>
  <c r="H80" i="258"/>
  <c r="G80" i="258"/>
  <c r="N79" i="258"/>
  <c r="O79" i="258" s="1"/>
  <c r="N78" i="258"/>
  <c r="O78" i="258" s="1"/>
  <c r="M75" i="258"/>
  <c r="L75" i="258"/>
  <c r="K75" i="258"/>
  <c r="J75" i="258"/>
  <c r="I75" i="258"/>
  <c r="H75" i="258"/>
  <c r="G75" i="258"/>
  <c r="N74" i="258"/>
  <c r="N75" i="258" s="1"/>
  <c r="M71" i="258"/>
  <c r="L71" i="258"/>
  <c r="K71" i="258"/>
  <c r="J71" i="258"/>
  <c r="I71" i="258"/>
  <c r="N70" i="258"/>
  <c r="O70" i="258" s="1"/>
  <c r="N69" i="258"/>
  <c r="O69" i="258" s="1"/>
  <c r="N68" i="258"/>
  <c r="O68" i="258" s="1"/>
  <c r="N67" i="258"/>
  <c r="M64" i="258"/>
  <c r="L64" i="258"/>
  <c r="K64" i="258"/>
  <c r="J64" i="258"/>
  <c r="I64" i="258"/>
  <c r="G64" i="258"/>
  <c r="O58" i="258"/>
  <c r="M54" i="258"/>
  <c r="L54" i="258"/>
  <c r="K54" i="258"/>
  <c r="J54" i="258"/>
  <c r="I54" i="258"/>
  <c r="H54" i="258"/>
  <c r="G54" i="258"/>
  <c r="O53" i="258"/>
  <c r="N52" i="258"/>
  <c r="N54" i="258" s="1"/>
  <c r="M49" i="258"/>
  <c r="L49" i="258"/>
  <c r="K49" i="258"/>
  <c r="J49" i="258"/>
  <c r="I49" i="258"/>
  <c r="H49" i="258"/>
  <c r="G49" i="258"/>
  <c r="N48" i="258"/>
  <c r="N49" i="258" s="1"/>
  <c r="O47" i="258"/>
  <c r="M43" i="258"/>
  <c r="L43" i="258"/>
  <c r="K43" i="258"/>
  <c r="J43" i="258"/>
  <c r="I43" i="258"/>
  <c r="H43" i="258"/>
  <c r="G43" i="258"/>
  <c r="N42" i="258"/>
  <c r="N43" i="258" s="1"/>
  <c r="M39" i="258"/>
  <c r="L39" i="258"/>
  <c r="K39" i="258"/>
  <c r="J39" i="258"/>
  <c r="I39" i="258"/>
  <c r="H39" i="258"/>
  <c r="G39" i="258"/>
  <c r="N38" i="258"/>
  <c r="N39" i="258" s="1"/>
  <c r="M35" i="258"/>
  <c r="L35" i="258"/>
  <c r="K35" i="258"/>
  <c r="J35" i="258"/>
  <c r="I35" i="258"/>
  <c r="H35" i="258"/>
  <c r="G35" i="258"/>
  <c r="N34" i="258"/>
  <c r="O34" i="258" s="1"/>
  <c r="N33" i="258"/>
  <c r="M30" i="258"/>
  <c r="L30" i="258"/>
  <c r="K30" i="258"/>
  <c r="J30" i="258"/>
  <c r="I30" i="258"/>
  <c r="H30" i="258"/>
  <c r="G30" i="258"/>
  <c r="N29" i="258"/>
  <c r="O29" i="258" s="1"/>
  <c r="N28" i="258"/>
  <c r="M25" i="258"/>
  <c r="L25" i="258"/>
  <c r="K25" i="258"/>
  <c r="J25" i="258"/>
  <c r="I25" i="258"/>
  <c r="H25" i="258"/>
  <c r="G25" i="258"/>
  <c r="N24" i="258"/>
  <c r="O24" i="258" s="1"/>
  <c r="N23" i="258"/>
  <c r="O23" i="258" s="1"/>
  <c r="M20" i="258"/>
  <c r="L20" i="258"/>
  <c r="K20" i="258"/>
  <c r="J20" i="258"/>
  <c r="I20" i="258"/>
  <c r="H20" i="258"/>
  <c r="G20" i="258"/>
  <c r="N19" i="258"/>
  <c r="O19" i="258" s="1"/>
  <c r="O20" i="258" s="1"/>
  <c r="N105" i="270" l="1"/>
  <c r="N226" i="270" s="1"/>
  <c r="O34" i="272"/>
  <c r="O35" i="272" s="1"/>
  <c r="M25" i="274"/>
  <c r="M226" i="270"/>
  <c r="L16" i="269"/>
  <c r="L18" i="269" s="1"/>
  <c r="N26" i="264"/>
  <c r="J139" i="264"/>
  <c r="K139" i="264"/>
  <c r="M139" i="264"/>
  <c r="L139" i="264"/>
  <c r="I139" i="264"/>
  <c r="L15" i="266"/>
  <c r="L36" i="266"/>
  <c r="L45" i="266"/>
  <c r="L31" i="266"/>
  <c r="L49" i="266"/>
  <c r="L39" i="266"/>
  <c r="L32" i="266"/>
  <c r="N219" i="263"/>
  <c r="M24" i="263"/>
  <c r="N31" i="264"/>
  <c r="M47" i="263"/>
  <c r="F221" i="263"/>
  <c r="N36" i="264"/>
  <c r="O81" i="264"/>
  <c r="O15" i="264"/>
  <c r="O16" i="264" s="1"/>
  <c r="O24" i="264"/>
  <c r="O26" i="264" s="1"/>
  <c r="O39" i="264"/>
  <c r="O40" i="264" s="1"/>
  <c r="N97" i="264"/>
  <c r="N76" i="264"/>
  <c r="N89" i="264"/>
  <c r="N72" i="264"/>
  <c r="M144" i="263"/>
  <c r="M160" i="263"/>
  <c r="M219" i="263"/>
  <c r="N160" i="263"/>
  <c r="N89" i="263"/>
  <c r="M38" i="263"/>
  <c r="M125" i="263"/>
  <c r="M179" i="263"/>
  <c r="H221" i="263"/>
  <c r="M57" i="263"/>
  <c r="N94" i="263"/>
  <c r="N125" i="263"/>
  <c r="J221" i="263"/>
  <c r="I221" i="263"/>
  <c r="M84" i="263"/>
  <c r="M134" i="263"/>
  <c r="K221" i="263"/>
  <c r="M100" i="263"/>
  <c r="M155" i="263"/>
  <c r="M119" i="263"/>
  <c r="M18" i="263"/>
  <c r="L221" i="263"/>
  <c r="N50" i="263"/>
  <c r="N51" i="263" s="1"/>
  <c r="M140" i="263"/>
  <c r="M165" i="263"/>
  <c r="M69" i="263"/>
  <c r="N18" i="263"/>
  <c r="M89" i="263"/>
  <c r="M16" i="269"/>
  <c r="M18" i="269" s="1"/>
  <c r="L19" i="268"/>
  <c r="L21" i="268" s="1"/>
  <c r="L40" i="266"/>
  <c r="L53" i="266"/>
  <c r="L16" i="266"/>
  <c r="K45" i="266"/>
  <c r="L52" i="266"/>
  <c r="L23" i="266"/>
  <c r="L24" i="266" s="1"/>
  <c r="L35" i="266"/>
  <c r="L48" i="266"/>
  <c r="N34" i="265"/>
  <c r="N35" i="265" s="1"/>
  <c r="O65" i="264"/>
  <c r="O36" i="264"/>
  <c r="O72" i="264"/>
  <c r="O43" i="264"/>
  <c r="O44" i="264" s="1"/>
  <c r="O49" i="264"/>
  <c r="N81" i="264"/>
  <c r="O107" i="264"/>
  <c r="O53" i="264"/>
  <c r="O55" i="264" s="1"/>
  <c r="O100" i="264"/>
  <c r="O101" i="264" s="1"/>
  <c r="N20" i="264"/>
  <c r="N65" i="264"/>
  <c r="O29" i="264"/>
  <c r="O31" i="264" s="1"/>
  <c r="O139" i="264" s="1"/>
  <c r="O91" i="264"/>
  <c r="O97" i="264" s="1"/>
  <c r="N38" i="263"/>
  <c r="N179" i="263"/>
  <c r="N165" i="263"/>
  <c r="N69" i="263"/>
  <c r="N100" i="263"/>
  <c r="N27" i="263"/>
  <c r="N28" i="263" s="1"/>
  <c r="N45" i="263"/>
  <c r="N47" i="263" s="1"/>
  <c r="N54" i="263"/>
  <c r="N57" i="263" s="1"/>
  <c r="N73" i="263"/>
  <c r="N84" i="263" s="1"/>
  <c r="N108" i="263"/>
  <c r="N109" i="263" s="1"/>
  <c r="N113" i="263"/>
  <c r="N119" i="263" s="1"/>
  <c r="N137" i="263"/>
  <c r="N140" i="263" s="1"/>
  <c r="M148" i="263"/>
  <c r="N41" i="263"/>
  <c r="N42" i="263" s="1"/>
  <c r="M94" i="263"/>
  <c r="N104" i="263"/>
  <c r="N105" i="263" s="1"/>
  <c r="N151" i="263"/>
  <c r="N155" i="263" s="1"/>
  <c r="N128" i="263"/>
  <c r="N134" i="263" s="1"/>
  <c r="M19" i="260"/>
  <c r="G134" i="258"/>
  <c r="K134" i="258"/>
  <c r="J134" i="258"/>
  <c r="N132" i="258"/>
  <c r="I134" i="258"/>
  <c r="M134" i="258"/>
  <c r="L134" i="258"/>
  <c r="M15" i="262"/>
  <c r="M16" i="262"/>
  <c r="M17" i="262" s="1"/>
  <c r="N34" i="261"/>
  <c r="N35" i="261" s="1"/>
  <c r="O34" i="261"/>
  <c r="O35" i="261" s="1"/>
  <c r="M15" i="260"/>
  <c r="M16" i="260" s="1"/>
  <c r="M21" i="260" s="1"/>
  <c r="M18" i="260"/>
  <c r="L45" i="259"/>
  <c r="L46" i="259"/>
  <c r="K33" i="259"/>
  <c r="L33" i="259" s="1"/>
  <c r="L20" i="259"/>
  <c r="L40" i="259"/>
  <c r="L42" i="259" s="1"/>
  <c r="L36" i="259"/>
  <c r="L37" i="259"/>
  <c r="L16" i="259"/>
  <c r="L15" i="259"/>
  <c r="L50" i="259"/>
  <c r="K29" i="259"/>
  <c r="L29" i="259" s="1"/>
  <c r="L23" i="259"/>
  <c r="L24" i="259" s="1"/>
  <c r="L49" i="259"/>
  <c r="N64" i="258"/>
  <c r="N30" i="258"/>
  <c r="O16" i="258"/>
  <c r="N16" i="258"/>
  <c r="O80" i="258"/>
  <c r="N35" i="258"/>
  <c r="O28" i="258"/>
  <c r="O30" i="258" s="1"/>
  <c r="O52" i="258"/>
  <c r="O54" i="258" s="1"/>
  <c r="N20" i="258"/>
  <c r="O64" i="258"/>
  <c r="N71" i="258"/>
  <c r="N92" i="258"/>
  <c r="O86" i="258"/>
  <c r="O92" i="258" s="1"/>
  <c r="O100" i="258"/>
  <c r="O132" i="258" s="1"/>
  <c r="N80" i="258"/>
  <c r="O25" i="258"/>
  <c r="N25" i="258"/>
  <c r="O33" i="258"/>
  <c r="O35" i="258" s="1"/>
  <c r="O42" i="258"/>
  <c r="O43" i="258" s="1"/>
  <c r="O48" i="258"/>
  <c r="O49" i="258" s="1"/>
  <c r="O74" i="258"/>
  <c r="O75" i="258" s="1"/>
  <c r="O83" i="258"/>
  <c r="O84" i="258" s="1"/>
  <c r="O95" i="258"/>
  <c r="O96" i="258" s="1"/>
  <c r="O38" i="258"/>
  <c r="O39" i="258" s="1"/>
  <c r="O67" i="258"/>
  <c r="O71" i="258" s="1"/>
  <c r="D224" i="257"/>
  <c r="F222" i="257"/>
  <c r="M193" i="257"/>
  <c r="F183" i="257"/>
  <c r="M143" i="257"/>
  <c r="N143" i="257" s="1"/>
  <c r="M142" i="257"/>
  <c r="H137" i="257"/>
  <c r="F137" i="257"/>
  <c r="K87" i="257"/>
  <c r="J87" i="257"/>
  <c r="I87" i="257"/>
  <c r="H87" i="257"/>
  <c r="F87" i="257"/>
  <c r="L122" i="257"/>
  <c r="K122" i="257"/>
  <c r="J122" i="257"/>
  <c r="I122" i="257"/>
  <c r="H122" i="257"/>
  <c r="F103" i="257"/>
  <c r="F71" i="257"/>
  <c r="F38" i="257"/>
  <c r="L23" i="257"/>
  <c r="K23" i="257"/>
  <c r="J23" i="257"/>
  <c r="I23" i="257"/>
  <c r="H23" i="257"/>
  <c r="F23" i="257"/>
  <c r="F224" i="257" s="1"/>
  <c r="J18" i="257"/>
  <c r="K18" i="257"/>
  <c r="L222" i="257"/>
  <c r="K222" i="257"/>
  <c r="J222" i="257"/>
  <c r="I222" i="257"/>
  <c r="H222" i="257"/>
  <c r="M218" i="257"/>
  <c r="N218" i="257" s="1"/>
  <c r="M217" i="257"/>
  <c r="N217" i="257" s="1"/>
  <c r="M216" i="257"/>
  <c r="N216" i="257" s="1"/>
  <c r="M215" i="257"/>
  <c r="N215" i="257" s="1"/>
  <c r="M214" i="257"/>
  <c r="N214" i="257" s="1"/>
  <c r="M213" i="257"/>
  <c r="N213" i="257" s="1"/>
  <c r="M212" i="257"/>
  <c r="N212" i="257" s="1"/>
  <c r="M211" i="257"/>
  <c r="N211" i="257" s="1"/>
  <c r="M210" i="257"/>
  <c r="N210" i="257" s="1"/>
  <c r="M209" i="257"/>
  <c r="N209" i="257" s="1"/>
  <c r="M208" i="257"/>
  <c r="N208" i="257" s="1"/>
  <c r="M207" i="257"/>
  <c r="N207" i="257" s="1"/>
  <c r="M206" i="257"/>
  <c r="N206" i="257" s="1"/>
  <c r="M205" i="257"/>
  <c r="N205" i="257" s="1"/>
  <c r="M204" i="257"/>
  <c r="N204" i="257" s="1"/>
  <c r="M203" i="257"/>
  <c r="N203" i="257" s="1"/>
  <c r="M202" i="257"/>
  <c r="N202" i="257" s="1"/>
  <c r="M201" i="257"/>
  <c r="N201" i="257" s="1"/>
  <c r="M200" i="257"/>
  <c r="N200" i="257" s="1"/>
  <c r="M199" i="257"/>
  <c r="N199" i="257" s="1"/>
  <c r="M198" i="257"/>
  <c r="N198" i="257" s="1"/>
  <c r="M197" i="257"/>
  <c r="N197" i="257" s="1"/>
  <c r="M196" i="257"/>
  <c r="N196" i="257" s="1"/>
  <c r="M195" i="257"/>
  <c r="N195" i="257" s="1"/>
  <c r="M194" i="257"/>
  <c r="N194" i="257" s="1"/>
  <c r="N193" i="257"/>
  <c r="N192" i="257"/>
  <c r="M191" i="257"/>
  <c r="N191" i="257" s="1"/>
  <c r="M190" i="257"/>
  <c r="N190" i="257" s="1"/>
  <c r="M189" i="257"/>
  <c r="N189" i="257" s="1"/>
  <c r="M188" i="257"/>
  <c r="N188" i="257" s="1"/>
  <c r="M187" i="257"/>
  <c r="N187" i="257" s="1"/>
  <c r="M186" i="257"/>
  <c r="N186" i="257" s="1"/>
  <c r="L183" i="257"/>
  <c r="K183" i="257"/>
  <c r="J183" i="257"/>
  <c r="I183" i="257"/>
  <c r="H183" i="257"/>
  <c r="M182" i="257"/>
  <c r="N182" i="257" s="1"/>
  <c r="M181" i="257"/>
  <c r="N181" i="257" s="1"/>
  <c r="M180" i="257"/>
  <c r="N180" i="257" s="1"/>
  <c r="M179" i="257"/>
  <c r="N179" i="257" s="1"/>
  <c r="M178" i="257"/>
  <c r="N178" i="257" s="1"/>
  <c r="M177" i="257"/>
  <c r="N177" i="257" s="1"/>
  <c r="M176" i="257"/>
  <c r="N176" i="257" s="1"/>
  <c r="M175" i="257"/>
  <c r="N175" i="257" s="1"/>
  <c r="M174" i="257"/>
  <c r="N174" i="257" s="1"/>
  <c r="M173" i="257"/>
  <c r="N173" i="257" s="1"/>
  <c r="M172" i="257"/>
  <c r="L169" i="257"/>
  <c r="K169" i="257"/>
  <c r="J169" i="257"/>
  <c r="I169" i="257"/>
  <c r="H169" i="257"/>
  <c r="G169" i="257"/>
  <c r="F169" i="257"/>
  <c r="M168" i="257"/>
  <c r="N168" i="257" s="1"/>
  <c r="M167" i="257"/>
  <c r="L164" i="257"/>
  <c r="K164" i="257"/>
  <c r="J164" i="257"/>
  <c r="I164" i="257"/>
  <c r="H164" i="257"/>
  <c r="F164" i="257"/>
  <c r="M163" i="257"/>
  <c r="N163" i="257" s="1"/>
  <c r="M162" i="257"/>
  <c r="L159" i="257"/>
  <c r="K159" i="257"/>
  <c r="J159" i="257"/>
  <c r="I159" i="257"/>
  <c r="H159" i="257"/>
  <c r="F159" i="257"/>
  <c r="M158" i="257"/>
  <c r="N158" i="257" s="1"/>
  <c r="M157" i="257"/>
  <c r="N157" i="257" s="1"/>
  <c r="M156" i="257"/>
  <c r="N156" i="257" s="1"/>
  <c r="M155" i="257"/>
  <c r="N155" i="257" s="1"/>
  <c r="L152" i="257"/>
  <c r="K152" i="257"/>
  <c r="J152" i="257"/>
  <c r="I152" i="257"/>
  <c r="H152" i="257"/>
  <c r="G152" i="257"/>
  <c r="F152" i="257"/>
  <c r="M151" i="257"/>
  <c r="M152" i="257" s="1"/>
  <c r="L148" i="257"/>
  <c r="K148" i="257"/>
  <c r="J148" i="257"/>
  <c r="I148" i="257"/>
  <c r="H148" i="257"/>
  <c r="G148" i="257"/>
  <c r="F148" i="257"/>
  <c r="M147" i="257"/>
  <c r="M148" i="257" s="1"/>
  <c r="L144" i="257"/>
  <c r="K144" i="257"/>
  <c r="J144" i="257"/>
  <c r="I144" i="257"/>
  <c r="H144" i="257"/>
  <c r="G144" i="257"/>
  <c r="F144" i="257"/>
  <c r="N142" i="257"/>
  <c r="M141" i="257"/>
  <c r="N141" i="257" s="1"/>
  <c r="M140" i="257"/>
  <c r="N140" i="257" s="1"/>
  <c r="L137" i="257"/>
  <c r="K137" i="257"/>
  <c r="J137" i="257"/>
  <c r="I137" i="257"/>
  <c r="G137" i="257"/>
  <c r="M136" i="257"/>
  <c r="N136" i="257" s="1"/>
  <c r="M135" i="257"/>
  <c r="N135" i="257" s="1"/>
  <c r="M134" i="257"/>
  <c r="N134" i="257" s="1"/>
  <c r="M133" i="257"/>
  <c r="N133" i="257" s="1"/>
  <c r="M132" i="257"/>
  <c r="N132" i="257" s="1"/>
  <c r="M131" i="257"/>
  <c r="L128" i="257"/>
  <c r="K128" i="257"/>
  <c r="J128" i="257"/>
  <c r="I128" i="257"/>
  <c r="H128" i="257"/>
  <c r="G128" i="257"/>
  <c r="F128" i="257"/>
  <c r="M127" i="257"/>
  <c r="N127" i="257" s="1"/>
  <c r="M126" i="257"/>
  <c r="N126" i="257" s="1"/>
  <c r="M21" i="257"/>
  <c r="G122" i="257"/>
  <c r="M121" i="257"/>
  <c r="N121" i="257" s="1"/>
  <c r="N120" i="257"/>
  <c r="M119" i="257"/>
  <c r="N119" i="257" s="1"/>
  <c r="M118" i="257"/>
  <c r="N118" i="257" s="1"/>
  <c r="M116" i="257"/>
  <c r="N116" i="257" s="1"/>
  <c r="M115" i="257"/>
  <c r="N115" i="257" s="1"/>
  <c r="L112" i="257"/>
  <c r="K112" i="257"/>
  <c r="J112" i="257"/>
  <c r="I112" i="257"/>
  <c r="H112" i="257"/>
  <c r="F112" i="257"/>
  <c r="M111" i="257"/>
  <c r="N111" i="257" s="1"/>
  <c r="N112" i="257" s="1"/>
  <c r="L108" i="257"/>
  <c r="K108" i="257"/>
  <c r="J108" i="257"/>
  <c r="I108" i="257"/>
  <c r="H108" i="257"/>
  <c r="F108" i="257"/>
  <c r="M107" i="257"/>
  <c r="N107" i="257" s="1"/>
  <c r="N108" i="257" s="1"/>
  <c r="L103" i="257"/>
  <c r="K103" i="257"/>
  <c r="J103" i="257"/>
  <c r="I103" i="257"/>
  <c r="H103" i="257"/>
  <c r="G103" i="257"/>
  <c r="M102" i="257"/>
  <c r="N102" i="257" s="1"/>
  <c r="M101" i="257"/>
  <c r="N101" i="257" s="1"/>
  <c r="M100" i="257"/>
  <c r="K97" i="257"/>
  <c r="J97" i="257"/>
  <c r="I97" i="257"/>
  <c r="H97" i="257"/>
  <c r="G97" i="257"/>
  <c r="F97" i="257"/>
  <c r="M96" i="257"/>
  <c r="N96" i="257" s="1"/>
  <c r="M95" i="257"/>
  <c r="L92" i="257"/>
  <c r="K92" i="257"/>
  <c r="J92" i="257"/>
  <c r="I92" i="257"/>
  <c r="H92" i="257"/>
  <c r="G92" i="257"/>
  <c r="F92" i="257"/>
  <c r="M91" i="257"/>
  <c r="N91" i="257" s="1"/>
  <c r="M90" i="257"/>
  <c r="G87" i="257"/>
  <c r="M85" i="257"/>
  <c r="N85" i="257" s="1"/>
  <c r="M84" i="257"/>
  <c r="N84" i="257" s="1"/>
  <c r="M83" i="257"/>
  <c r="N83" i="257" s="1"/>
  <c r="M82" i="257"/>
  <c r="N82" i="257" s="1"/>
  <c r="M81" i="257"/>
  <c r="N81" i="257" s="1"/>
  <c r="M80" i="257"/>
  <c r="N80" i="257" s="1"/>
  <c r="M79" i="257"/>
  <c r="N79" i="257" s="1"/>
  <c r="M78" i="257"/>
  <c r="N78" i="257" s="1"/>
  <c r="M77" i="257"/>
  <c r="N77" i="257" s="1"/>
  <c r="M76" i="257"/>
  <c r="N76" i="257" s="1"/>
  <c r="M75" i="257"/>
  <c r="M74" i="257"/>
  <c r="N74" i="257" s="1"/>
  <c r="L71" i="257"/>
  <c r="K71" i="257"/>
  <c r="J71" i="257"/>
  <c r="I71" i="257"/>
  <c r="H71" i="257"/>
  <c r="G71" i="257"/>
  <c r="M70" i="257"/>
  <c r="N70" i="257" s="1"/>
  <c r="M69" i="257"/>
  <c r="N69" i="257" s="1"/>
  <c r="M86" i="257"/>
  <c r="N86" i="257" s="1"/>
  <c r="M68" i="257"/>
  <c r="N68" i="257" s="1"/>
  <c r="M67" i="257"/>
  <c r="N67" i="257" s="1"/>
  <c r="M66" i="257"/>
  <c r="N66" i="257" s="1"/>
  <c r="M65" i="257"/>
  <c r="N65" i="257" s="1"/>
  <c r="M64" i="257"/>
  <c r="N64" i="257" s="1"/>
  <c r="M63" i="257"/>
  <c r="N63" i="257" s="1"/>
  <c r="M62" i="257"/>
  <c r="N62" i="257" s="1"/>
  <c r="M61" i="257"/>
  <c r="N61" i="257" s="1"/>
  <c r="M60" i="257"/>
  <c r="N60" i="257" s="1"/>
  <c r="L57" i="257"/>
  <c r="K57" i="257"/>
  <c r="J57" i="257"/>
  <c r="I57" i="257"/>
  <c r="H57" i="257"/>
  <c r="G57" i="257"/>
  <c r="F57" i="257"/>
  <c r="M56" i="257"/>
  <c r="N56" i="257" s="1"/>
  <c r="M55" i="257"/>
  <c r="N55" i="257" s="1"/>
  <c r="M54" i="257"/>
  <c r="N54" i="257" s="1"/>
  <c r="L51" i="257"/>
  <c r="K51" i="257"/>
  <c r="J51" i="257"/>
  <c r="I51" i="257"/>
  <c r="H51" i="257"/>
  <c r="G51" i="257"/>
  <c r="F51" i="257"/>
  <c r="M50" i="257"/>
  <c r="M51" i="257" s="1"/>
  <c r="L47" i="257"/>
  <c r="K47" i="257"/>
  <c r="J47" i="257"/>
  <c r="I47" i="257"/>
  <c r="H47" i="257"/>
  <c r="G47" i="257"/>
  <c r="F47" i="257"/>
  <c r="M46" i="257"/>
  <c r="M45" i="257"/>
  <c r="N45" i="257" s="1"/>
  <c r="L42" i="257"/>
  <c r="K42" i="257"/>
  <c r="K224" i="257" s="1"/>
  <c r="J42" i="257"/>
  <c r="I42" i="257"/>
  <c r="G42" i="257"/>
  <c r="F42" i="257"/>
  <c r="M41" i="257"/>
  <c r="M42" i="257" s="1"/>
  <c r="L38" i="257"/>
  <c r="K38" i="257"/>
  <c r="J38" i="257"/>
  <c r="I38" i="257"/>
  <c r="H38" i="257"/>
  <c r="G38" i="257"/>
  <c r="M37" i="257"/>
  <c r="N37" i="257" s="1"/>
  <c r="M36" i="257"/>
  <c r="N36" i="257" s="1"/>
  <c r="M35" i="257"/>
  <c r="N35" i="257" s="1"/>
  <c r="M33" i="257"/>
  <c r="N33" i="257" s="1"/>
  <c r="M32" i="257"/>
  <c r="N32" i="257" s="1"/>
  <c r="M31" i="257"/>
  <c r="L28" i="257"/>
  <c r="K28" i="257"/>
  <c r="J28" i="257"/>
  <c r="I28" i="257"/>
  <c r="H28" i="257"/>
  <c r="G28" i="257"/>
  <c r="F28" i="257"/>
  <c r="M27" i="257"/>
  <c r="M28" i="257" s="1"/>
  <c r="N26" i="257"/>
  <c r="G23" i="257"/>
  <c r="M22" i="257"/>
  <c r="N22" i="257" s="1"/>
  <c r="M117" i="257"/>
  <c r="N117" i="257" s="1"/>
  <c r="L18" i="257"/>
  <c r="I18" i="257"/>
  <c r="I224" i="257" s="1"/>
  <c r="H18" i="257"/>
  <c r="H224" i="257" s="1"/>
  <c r="G18" i="257"/>
  <c r="F18" i="257"/>
  <c r="M17" i="257"/>
  <c r="N17" i="257" s="1"/>
  <c r="M16" i="257"/>
  <c r="N16" i="257" s="1"/>
  <c r="M15" i="257"/>
  <c r="N15" i="257" s="1"/>
  <c r="M14" i="257"/>
  <c r="N14" i="257" s="1"/>
  <c r="J21" i="255"/>
  <c r="E21" i="255"/>
  <c r="K41" i="254"/>
  <c r="L41" i="254" s="1"/>
  <c r="L37" i="254"/>
  <c r="L32" i="254"/>
  <c r="L28" i="254"/>
  <c r="L24" i="254"/>
  <c r="K24" i="254"/>
  <c r="I24" i="254"/>
  <c r="H24" i="254"/>
  <c r="F24" i="254"/>
  <c r="D24" i="254"/>
  <c r="L23" i="254"/>
  <c r="F19" i="255"/>
  <c r="D19" i="255"/>
  <c r="K18" i="255"/>
  <c r="L18" i="255" s="1"/>
  <c r="I16" i="255"/>
  <c r="H16" i="255"/>
  <c r="G16" i="255"/>
  <c r="F16" i="255"/>
  <c r="D16" i="255"/>
  <c r="K15" i="255"/>
  <c r="K16" i="255" s="1"/>
  <c r="H89" i="252"/>
  <c r="H81" i="252"/>
  <c r="H77" i="252"/>
  <c r="H68" i="252"/>
  <c r="H60" i="252"/>
  <c r="H49" i="252"/>
  <c r="H44" i="252"/>
  <c r="H30" i="252"/>
  <c r="H25" i="252"/>
  <c r="H20" i="252"/>
  <c r="M30" i="252"/>
  <c r="M15" i="252"/>
  <c r="M38" i="252"/>
  <c r="M49" i="252"/>
  <c r="M60" i="252"/>
  <c r="M68" i="252"/>
  <c r="M72" i="252"/>
  <c r="M93" i="252"/>
  <c r="M130" i="252"/>
  <c r="M77" i="252"/>
  <c r="M81" i="252"/>
  <c r="M89" i="252"/>
  <c r="C132" i="252"/>
  <c r="J130" i="252"/>
  <c r="N97" i="252"/>
  <c r="N129" i="252"/>
  <c r="O129" i="252" s="1"/>
  <c r="L130" i="252"/>
  <c r="K130" i="252"/>
  <c r="I130" i="252"/>
  <c r="G130" i="252"/>
  <c r="G89" i="252"/>
  <c r="N83" i="252"/>
  <c r="O83" i="252" s="1"/>
  <c r="N80" i="252"/>
  <c r="O80" i="252" s="1"/>
  <c r="O81" i="252" s="1"/>
  <c r="N75" i="252"/>
  <c r="O75" i="252"/>
  <c r="I81" i="252"/>
  <c r="J81" i="252"/>
  <c r="K81" i="252"/>
  <c r="L81" i="252"/>
  <c r="G81" i="252"/>
  <c r="I89" i="252"/>
  <c r="J89" i="252"/>
  <c r="K89" i="252"/>
  <c r="L89" i="252"/>
  <c r="I77" i="252"/>
  <c r="J77" i="252"/>
  <c r="K77" i="252"/>
  <c r="L77" i="252"/>
  <c r="G77" i="252"/>
  <c r="N76" i="252"/>
  <c r="O76" i="252" s="1"/>
  <c r="I68" i="252"/>
  <c r="J68" i="252"/>
  <c r="K68" i="252"/>
  <c r="L68" i="252"/>
  <c r="G68" i="252"/>
  <c r="O58" i="252"/>
  <c r="O57" i="252"/>
  <c r="O56" i="252"/>
  <c r="O55" i="252"/>
  <c r="O54" i="252"/>
  <c r="O53" i="252"/>
  <c r="O52" i="252"/>
  <c r="O48" i="252"/>
  <c r="O42" i="252"/>
  <c r="G60" i="252"/>
  <c r="I60" i="252"/>
  <c r="J60" i="252"/>
  <c r="K60" i="252"/>
  <c r="L60" i="252"/>
  <c r="I44" i="252"/>
  <c r="J44" i="252"/>
  <c r="K44" i="252"/>
  <c r="L44" i="252"/>
  <c r="M44" i="252"/>
  <c r="G44" i="252"/>
  <c r="I49" i="252"/>
  <c r="J49" i="252"/>
  <c r="K49" i="252"/>
  <c r="L49" i="252"/>
  <c r="G49" i="252"/>
  <c r="I30" i="252"/>
  <c r="J30" i="252"/>
  <c r="K30" i="252"/>
  <c r="L30" i="252"/>
  <c r="G30" i="252"/>
  <c r="I25" i="252"/>
  <c r="J25" i="252"/>
  <c r="K25" i="252"/>
  <c r="L25" i="252"/>
  <c r="M25" i="252"/>
  <c r="I20" i="252"/>
  <c r="J20" i="252"/>
  <c r="K20" i="252"/>
  <c r="L20" i="252"/>
  <c r="M20" i="252"/>
  <c r="G20" i="252"/>
  <c r="D227" i="251"/>
  <c r="J38" i="251"/>
  <c r="I38" i="251"/>
  <c r="G38" i="251"/>
  <c r="H38" i="251"/>
  <c r="K38" i="251"/>
  <c r="L38" i="251"/>
  <c r="N166" i="251"/>
  <c r="N161" i="251"/>
  <c r="G161" i="251"/>
  <c r="H161" i="251"/>
  <c r="I161" i="251"/>
  <c r="J161" i="251"/>
  <c r="K161" i="251"/>
  <c r="L161" i="251"/>
  <c r="M161" i="251"/>
  <c r="M164" i="251"/>
  <c r="M166" i="251"/>
  <c r="M171" i="251"/>
  <c r="L87" i="251"/>
  <c r="G87" i="251"/>
  <c r="H87" i="251"/>
  <c r="I87" i="251"/>
  <c r="J87" i="251"/>
  <c r="K87" i="251"/>
  <c r="F87" i="251"/>
  <c r="L146" i="251"/>
  <c r="I225" i="251"/>
  <c r="J225" i="251"/>
  <c r="F225" i="251"/>
  <c r="M207" i="251"/>
  <c r="N207" i="251" s="1"/>
  <c r="H225" i="251"/>
  <c r="K225" i="251"/>
  <c r="L225" i="251"/>
  <c r="M206" i="251"/>
  <c r="N206" i="251" s="1"/>
  <c r="N139" i="264" l="1"/>
  <c r="M221" i="263"/>
  <c r="M19" i="268"/>
  <c r="M21" i="268" s="1"/>
  <c r="O34" i="265"/>
  <c r="O35" i="265" s="1"/>
  <c r="N221" i="263"/>
  <c r="J224" i="257"/>
  <c r="N134" i="258"/>
  <c r="O134" i="258"/>
  <c r="L224" i="257"/>
  <c r="N122" i="257"/>
  <c r="M122" i="257"/>
  <c r="M87" i="257"/>
  <c r="M23" i="257"/>
  <c r="M38" i="257"/>
  <c r="M92" i="257"/>
  <c r="M47" i="257"/>
  <c r="M183" i="257"/>
  <c r="M137" i="257"/>
  <c r="M71" i="257"/>
  <c r="N31" i="257"/>
  <c r="N38" i="257" s="1"/>
  <c r="N90" i="257"/>
  <c r="N92" i="257" s="1"/>
  <c r="M144" i="257"/>
  <c r="N50" i="257"/>
  <c r="N51" i="257" s="1"/>
  <c r="M97" i="257"/>
  <c r="M128" i="257"/>
  <c r="M159" i="257"/>
  <c r="N57" i="257"/>
  <c r="M57" i="257"/>
  <c r="M103" i="257"/>
  <c r="N128" i="257"/>
  <c r="N159" i="257"/>
  <c r="M164" i="257"/>
  <c r="M169" i="257"/>
  <c r="M18" i="257"/>
  <c r="N71" i="257"/>
  <c r="N222" i="257"/>
  <c r="N18" i="257"/>
  <c r="N144" i="257"/>
  <c r="M108" i="257"/>
  <c r="N27" i="257"/>
  <c r="N28" i="257" s="1"/>
  <c r="N41" i="257"/>
  <c r="N42" i="257" s="1"/>
  <c r="N95" i="257"/>
  <c r="N97" i="257" s="1"/>
  <c r="N21" i="257"/>
  <c r="N162" i="257"/>
  <c r="N164" i="257" s="1"/>
  <c r="N100" i="257"/>
  <c r="N103" i="257" s="1"/>
  <c r="M112" i="257"/>
  <c r="N151" i="257"/>
  <c r="N172" i="257"/>
  <c r="N183" i="257" s="1"/>
  <c r="M222" i="257"/>
  <c r="N46" i="257"/>
  <c r="N47" i="257" s="1"/>
  <c r="N75" i="257"/>
  <c r="N87" i="257" s="1"/>
  <c r="N131" i="257"/>
  <c r="N137" i="257" s="1"/>
  <c r="N167" i="257"/>
  <c r="N169" i="257" s="1"/>
  <c r="N147" i="257"/>
  <c r="N148" i="257" s="1"/>
  <c r="L15" i="255"/>
  <c r="L16" i="255" s="1"/>
  <c r="O77" i="252"/>
  <c r="N81" i="252"/>
  <c r="H185" i="251"/>
  <c r="F185" i="251"/>
  <c r="F161" i="251"/>
  <c r="H166" i="251"/>
  <c r="I166" i="251"/>
  <c r="J166" i="251"/>
  <c r="K166" i="251"/>
  <c r="L166" i="251"/>
  <c r="F166" i="251"/>
  <c r="H108" i="251"/>
  <c r="I108" i="251"/>
  <c r="J108" i="251"/>
  <c r="K108" i="251"/>
  <c r="L108" i="251"/>
  <c r="F108" i="251"/>
  <c r="M107" i="251"/>
  <c r="M108" i="251" s="1"/>
  <c r="M84" i="251"/>
  <c r="N84" i="251" s="1"/>
  <c r="I72" i="251"/>
  <c r="H72" i="251"/>
  <c r="F72" i="251"/>
  <c r="I23" i="251"/>
  <c r="H23" i="251"/>
  <c r="M22" i="251"/>
  <c r="N22" i="251" s="1"/>
  <c r="M21" i="251"/>
  <c r="N21" i="251" s="1"/>
  <c r="M14" i="251"/>
  <c r="I185" i="251"/>
  <c r="J185" i="251"/>
  <c r="K185" i="251"/>
  <c r="L185" i="251"/>
  <c r="M184" i="251"/>
  <c r="N184" i="251" s="1"/>
  <c r="M165" i="251"/>
  <c r="N165" i="251" s="1"/>
  <c r="M224" i="257" l="1"/>
  <c r="K15" i="256"/>
  <c r="L15" i="256" s="1"/>
  <c r="J16" i="256"/>
  <c r="J17" i="256" s="1"/>
  <c r="I16" i="256"/>
  <c r="I17" i="256" s="1"/>
  <c r="H16" i="256"/>
  <c r="H17" i="256" s="1"/>
  <c r="G16" i="256"/>
  <c r="G17" i="256" s="1"/>
  <c r="F16" i="256"/>
  <c r="F17" i="256" s="1"/>
  <c r="E16" i="256"/>
  <c r="E17" i="256" s="1"/>
  <c r="D16" i="256"/>
  <c r="D17" i="256" s="1"/>
  <c r="K19" i="255"/>
  <c r="L19" i="255" s="1"/>
  <c r="L21" i="255" s="1"/>
  <c r="J19" i="255"/>
  <c r="I19" i="255"/>
  <c r="H19" i="255"/>
  <c r="H21" i="255" s="1"/>
  <c r="G19" i="255"/>
  <c r="G21" i="255" s="1"/>
  <c r="E19" i="255"/>
  <c r="J16" i="255"/>
  <c r="E16" i="255"/>
  <c r="D21" i="255"/>
  <c r="I42" i="254"/>
  <c r="H42" i="254"/>
  <c r="G42" i="254"/>
  <c r="F42" i="254"/>
  <c r="L42" i="254"/>
  <c r="D42" i="254"/>
  <c r="K42" i="254"/>
  <c r="I38" i="254"/>
  <c r="H38" i="254"/>
  <c r="G38" i="254"/>
  <c r="F38" i="254"/>
  <c r="D38" i="254"/>
  <c r="K37" i="254"/>
  <c r="K38" i="254" s="1"/>
  <c r="L38" i="254" s="1"/>
  <c r="I33" i="254"/>
  <c r="H33" i="254"/>
  <c r="G33" i="254"/>
  <c r="F33" i="254"/>
  <c r="D33" i="254"/>
  <c r="K32" i="254"/>
  <c r="K33" i="254"/>
  <c r="L33" i="254" s="1"/>
  <c r="I29" i="254"/>
  <c r="H29" i="254"/>
  <c r="G29" i="254"/>
  <c r="F29" i="254"/>
  <c r="L29" i="254"/>
  <c r="D29" i="254"/>
  <c r="K28" i="254"/>
  <c r="K29" i="254"/>
  <c r="G24" i="254"/>
  <c r="K23" i="254"/>
  <c r="I20" i="254"/>
  <c r="H20" i="254"/>
  <c r="G20" i="254"/>
  <c r="F20" i="254"/>
  <c r="D20" i="254"/>
  <c r="K19" i="254"/>
  <c r="K20" i="254"/>
  <c r="L20" i="254" s="1"/>
  <c r="I16" i="254"/>
  <c r="H16" i="254"/>
  <c r="G16" i="254"/>
  <c r="F16" i="254"/>
  <c r="L16" i="254"/>
  <c r="D16" i="254"/>
  <c r="K15" i="254"/>
  <c r="K16" i="254"/>
  <c r="I35" i="253"/>
  <c r="M34" i="253"/>
  <c r="M35" i="253" s="1"/>
  <c r="L34" i="253"/>
  <c r="L35" i="253" s="1"/>
  <c r="K34" i="253"/>
  <c r="K35" i="253" s="1"/>
  <c r="J34" i="253"/>
  <c r="J35" i="253" s="1"/>
  <c r="I34" i="253"/>
  <c r="H34" i="253"/>
  <c r="H35" i="253"/>
  <c r="G34" i="253"/>
  <c r="G35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N128" i="252"/>
  <c r="O128" i="252" s="1"/>
  <c r="N127" i="252"/>
  <c r="O127" i="252" s="1"/>
  <c r="N126" i="252"/>
  <c r="O126" i="252" s="1"/>
  <c r="N125" i="252"/>
  <c r="O125" i="252" s="1"/>
  <c r="N124" i="252"/>
  <c r="O124" i="252" s="1"/>
  <c r="N122" i="252"/>
  <c r="O122" i="252" s="1"/>
  <c r="N121" i="252"/>
  <c r="O121" i="252" s="1"/>
  <c r="N120" i="252"/>
  <c r="O120" i="252" s="1"/>
  <c r="N119" i="252"/>
  <c r="O119" i="252" s="1"/>
  <c r="N118" i="252"/>
  <c r="O118" i="252" s="1"/>
  <c r="N117" i="252"/>
  <c r="O117" i="252" s="1"/>
  <c r="N116" i="252"/>
  <c r="O116" i="252" s="1"/>
  <c r="N115" i="252"/>
  <c r="O115" i="252" s="1"/>
  <c r="N114" i="252"/>
  <c r="O114" i="252" s="1"/>
  <c r="N113" i="252"/>
  <c r="O113" i="252" s="1"/>
  <c r="N112" i="252"/>
  <c r="O112" i="252" s="1"/>
  <c r="N111" i="252"/>
  <c r="O111" i="252" s="1"/>
  <c r="N110" i="252"/>
  <c r="O110" i="252" s="1"/>
  <c r="N109" i="252"/>
  <c r="O109" i="252" s="1"/>
  <c r="N108" i="252"/>
  <c r="O108" i="252" s="1"/>
  <c r="N107" i="252"/>
  <c r="O107" i="252" s="1"/>
  <c r="N106" i="252"/>
  <c r="O106" i="252" s="1"/>
  <c r="N105" i="252"/>
  <c r="O105" i="252" s="1"/>
  <c r="N104" i="252"/>
  <c r="O104" i="252" s="1"/>
  <c r="N103" i="252"/>
  <c r="O103" i="252" s="1"/>
  <c r="N102" i="252"/>
  <c r="O102" i="252" s="1"/>
  <c r="N101" i="252"/>
  <c r="O101" i="252" s="1"/>
  <c r="N100" i="252"/>
  <c r="O100" i="252" s="1"/>
  <c r="N99" i="252"/>
  <c r="O99" i="252" s="1"/>
  <c r="N98" i="252"/>
  <c r="O98" i="252" s="1"/>
  <c r="L93" i="252"/>
  <c r="K93" i="252"/>
  <c r="J93" i="252"/>
  <c r="I93" i="252"/>
  <c r="H93" i="252"/>
  <c r="G93" i="252"/>
  <c r="N92" i="252"/>
  <c r="N93" i="252" s="1"/>
  <c r="N88" i="252"/>
  <c r="O88" i="252" s="1"/>
  <c r="N87" i="252"/>
  <c r="O87" i="252" s="1"/>
  <c r="N86" i="252"/>
  <c r="O86" i="252" s="1"/>
  <c r="N85" i="252"/>
  <c r="O85" i="252" s="1"/>
  <c r="N84" i="252"/>
  <c r="O84" i="252" s="1"/>
  <c r="N77" i="252"/>
  <c r="L72" i="252"/>
  <c r="K72" i="252"/>
  <c r="J72" i="252"/>
  <c r="I72" i="252"/>
  <c r="H72" i="252"/>
  <c r="G72" i="252"/>
  <c r="N71" i="252"/>
  <c r="N67" i="252"/>
  <c r="O67" i="252" s="1"/>
  <c r="N66" i="252"/>
  <c r="O66" i="252" s="1"/>
  <c r="N65" i="252"/>
  <c r="O65" i="252" s="1"/>
  <c r="N64" i="252"/>
  <c r="O64" i="252" s="1"/>
  <c r="N63" i="252"/>
  <c r="N59" i="252"/>
  <c r="N47" i="252"/>
  <c r="N43" i="252"/>
  <c r="L38" i="252"/>
  <c r="K38" i="252"/>
  <c r="J38" i="252"/>
  <c r="I38" i="252"/>
  <c r="H38" i="252"/>
  <c r="G38" i="252"/>
  <c r="N37" i="252"/>
  <c r="O37" i="252" s="1"/>
  <c r="M34" i="252"/>
  <c r="M132" i="252" s="1"/>
  <c r="L34" i="252"/>
  <c r="K34" i="252"/>
  <c r="J34" i="252"/>
  <c r="I34" i="252"/>
  <c r="H34" i="252"/>
  <c r="G34" i="252"/>
  <c r="N33" i="252"/>
  <c r="N34" i="252" s="1"/>
  <c r="N29" i="252"/>
  <c r="O29" i="252" s="1"/>
  <c r="N28" i="252"/>
  <c r="G25" i="252"/>
  <c r="N24" i="252"/>
  <c r="O24" i="252" s="1"/>
  <c r="N23" i="252"/>
  <c r="O23" i="252" s="1"/>
  <c r="N19" i="252"/>
  <c r="O19" i="252" s="1"/>
  <c r="N18" i="252"/>
  <c r="L15" i="252"/>
  <c r="L132" i="252" s="1"/>
  <c r="K15" i="252"/>
  <c r="J15" i="252"/>
  <c r="I15" i="252"/>
  <c r="H15" i="252"/>
  <c r="G15" i="252"/>
  <c r="N14" i="252"/>
  <c r="N15" i="252" s="1"/>
  <c r="M221" i="251"/>
  <c r="N221" i="251" s="1"/>
  <c r="M220" i="251"/>
  <c r="N220" i="251" s="1"/>
  <c r="M219" i="251"/>
  <c r="N219" i="251" s="1"/>
  <c r="M218" i="251"/>
  <c r="N218" i="251" s="1"/>
  <c r="M217" i="251"/>
  <c r="N217" i="251" s="1"/>
  <c r="M216" i="251"/>
  <c r="N216" i="251" s="1"/>
  <c r="M215" i="251"/>
  <c r="N215" i="251" s="1"/>
  <c r="M214" i="251"/>
  <c r="N214" i="251" s="1"/>
  <c r="M213" i="251"/>
  <c r="N213" i="251" s="1"/>
  <c r="M212" i="251"/>
  <c r="N212" i="251" s="1"/>
  <c r="M211" i="251"/>
  <c r="N211" i="251" s="1"/>
  <c r="M210" i="251"/>
  <c r="N210" i="251" s="1"/>
  <c r="M209" i="251"/>
  <c r="N209" i="251" s="1"/>
  <c r="M208" i="251"/>
  <c r="N208" i="251" s="1"/>
  <c r="M205" i="251"/>
  <c r="N205" i="251" s="1"/>
  <c r="M204" i="251"/>
  <c r="N204" i="251" s="1"/>
  <c r="M203" i="251"/>
  <c r="N203" i="251" s="1"/>
  <c r="M202" i="251"/>
  <c r="N202" i="251" s="1"/>
  <c r="M201" i="251"/>
  <c r="N201" i="251" s="1"/>
  <c r="M200" i="251"/>
  <c r="N200" i="251" s="1"/>
  <c r="M199" i="251"/>
  <c r="N199" i="251" s="1"/>
  <c r="M198" i="251"/>
  <c r="N198" i="251" s="1"/>
  <c r="M197" i="251"/>
  <c r="N197" i="251" s="1"/>
  <c r="M196" i="251"/>
  <c r="N196" i="251" s="1"/>
  <c r="M195" i="251"/>
  <c r="N195" i="251" s="1"/>
  <c r="N194" i="251"/>
  <c r="M193" i="251"/>
  <c r="N193" i="251" s="1"/>
  <c r="M192" i="251"/>
  <c r="N192" i="251" s="1"/>
  <c r="M191" i="251"/>
  <c r="N191" i="251" s="1"/>
  <c r="M190" i="251"/>
  <c r="N190" i="251" s="1"/>
  <c r="M189" i="251"/>
  <c r="N189" i="251" s="1"/>
  <c r="M188" i="251"/>
  <c r="M183" i="251"/>
  <c r="N183" i="251" s="1"/>
  <c r="M182" i="251"/>
  <c r="N182" i="251" s="1"/>
  <c r="M181" i="251"/>
  <c r="N181" i="251" s="1"/>
  <c r="M180" i="251"/>
  <c r="N180" i="251" s="1"/>
  <c r="M179" i="251"/>
  <c r="M178" i="251"/>
  <c r="N178" i="251" s="1"/>
  <c r="M177" i="251"/>
  <c r="N177" i="251" s="1"/>
  <c r="M176" i="251"/>
  <c r="N176" i="251" s="1"/>
  <c r="M175" i="251"/>
  <c r="N175" i="251" s="1"/>
  <c r="M174" i="251"/>
  <c r="N174" i="251" s="1"/>
  <c r="L171" i="251"/>
  <c r="K171" i="251"/>
  <c r="J171" i="251"/>
  <c r="I171" i="251"/>
  <c r="H171" i="251"/>
  <c r="G171" i="251"/>
  <c r="F171" i="251"/>
  <c r="M170" i="251"/>
  <c r="N170" i="251" s="1"/>
  <c r="M169" i="251"/>
  <c r="N169" i="251" s="1"/>
  <c r="M160" i="251"/>
  <c r="N160" i="251" s="1"/>
  <c r="M159" i="251"/>
  <c r="N159" i="251" s="1"/>
  <c r="M158" i="251"/>
  <c r="N158" i="251" s="1"/>
  <c r="M157" i="251"/>
  <c r="N157" i="251" s="1"/>
  <c r="L154" i="251"/>
  <c r="K154" i="251"/>
  <c r="J154" i="251"/>
  <c r="I154" i="251"/>
  <c r="H154" i="251"/>
  <c r="G154" i="251"/>
  <c r="F154" i="251"/>
  <c r="M153" i="251"/>
  <c r="N153" i="251" s="1"/>
  <c r="L150" i="251"/>
  <c r="K150" i="251"/>
  <c r="J150" i="251"/>
  <c r="I150" i="251"/>
  <c r="H150" i="251"/>
  <c r="G150" i="251"/>
  <c r="F150" i="251"/>
  <c r="M149" i="251"/>
  <c r="M150" i="251" s="1"/>
  <c r="K146" i="251"/>
  <c r="J146" i="251"/>
  <c r="I146" i="251"/>
  <c r="H146" i="251"/>
  <c r="G146" i="251"/>
  <c r="F146" i="251"/>
  <c r="M145" i="251"/>
  <c r="N145" i="251" s="1"/>
  <c r="M144" i="251"/>
  <c r="N144" i="251" s="1"/>
  <c r="M143" i="251"/>
  <c r="N143" i="251" s="1"/>
  <c r="M142" i="251"/>
  <c r="N142" i="251" s="1"/>
  <c r="L139" i="251"/>
  <c r="K139" i="251"/>
  <c r="J139" i="251"/>
  <c r="I139" i="251"/>
  <c r="H139" i="251"/>
  <c r="G139" i="251"/>
  <c r="F139" i="251"/>
  <c r="M138" i="251"/>
  <c r="N138" i="251" s="1"/>
  <c r="M137" i="251"/>
  <c r="N137" i="251" s="1"/>
  <c r="M136" i="251"/>
  <c r="N136" i="251" s="1"/>
  <c r="M135" i="251"/>
  <c r="N135" i="251" s="1"/>
  <c r="M134" i="251"/>
  <c r="N134" i="251" s="1"/>
  <c r="M133" i="251"/>
  <c r="N133" i="251" s="1"/>
  <c r="L130" i="251"/>
  <c r="K130" i="251"/>
  <c r="J130" i="251"/>
  <c r="I130" i="251"/>
  <c r="H130" i="251"/>
  <c r="G130" i="251"/>
  <c r="F130" i="251"/>
  <c r="M129" i="251"/>
  <c r="N129" i="251" s="1"/>
  <c r="M128" i="251"/>
  <c r="N128" i="251" s="1"/>
  <c r="L125" i="251"/>
  <c r="K125" i="251"/>
  <c r="J125" i="251"/>
  <c r="I125" i="251"/>
  <c r="H125" i="251"/>
  <c r="G125" i="251"/>
  <c r="F125" i="251"/>
  <c r="M124" i="251"/>
  <c r="N124" i="251" s="1"/>
  <c r="N125" i="251" s="1"/>
  <c r="L121" i="251"/>
  <c r="K121" i="251"/>
  <c r="J121" i="251"/>
  <c r="I121" i="251"/>
  <c r="H121" i="251"/>
  <c r="G121" i="251"/>
  <c r="F121" i="251"/>
  <c r="M120" i="251"/>
  <c r="N120" i="251" s="1"/>
  <c r="N119" i="251"/>
  <c r="M118" i="251"/>
  <c r="N118" i="251" s="1"/>
  <c r="M117" i="251"/>
  <c r="N117" i="251" s="1"/>
  <c r="M116" i="251"/>
  <c r="N116" i="251" s="1"/>
  <c r="M115" i="251"/>
  <c r="N115" i="251" s="1"/>
  <c r="L112" i="251"/>
  <c r="K112" i="251"/>
  <c r="J112" i="251"/>
  <c r="I112" i="251"/>
  <c r="H112" i="251"/>
  <c r="F112" i="251"/>
  <c r="M111" i="251"/>
  <c r="M112" i="251" s="1"/>
  <c r="L103" i="251"/>
  <c r="K103" i="251"/>
  <c r="J103" i="251"/>
  <c r="I103" i="251"/>
  <c r="H103" i="251"/>
  <c r="G103" i="251"/>
  <c r="F103" i="251"/>
  <c r="M102" i="251"/>
  <c r="N102" i="251" s="1"/>
  <c r="M101" i="251"/>
  <c r="N101" i="251" s="1"/>
  <c r="M100" i="251"/>
  <c r="N100" i="251" s="1"/>
  <c r="L97" i="251"/>
  <c r="K97" i="251"/>
  <c r="J97" i="251"/>
  <c r="I97" i="251"/>
  <c r="H97" i="251"/>
  <c r="G97" i="251"/>
  <c r="F97" i="251"/>
  <c r="M96" i="251"/>
  <c r="M95" i="251"/>
  <c r="N95" i="251" s="1"/>
  <c r="L92" i="251"/>
  <c r="K92" i="251"/>
  <c r="J92" i="251"/>
  <c r="I92" i="251"/>
  <c r="H92" i="251"/>
  <c r="G92" i="251"/>
  <c r="F92" i="251"/>
  <c r="M91" i="251"/>
  <c r="N91" i="251" s="1"/>
  <c r="M90" i="251"/>
  <c r="N90" i="251" s="1"/>
  <c r="M86" i="251"/>
  <c r="N86" i="251" s="1"/>
  <c r="M85" i="251"/>
  <c r="N85" i="251" s="1"/>
  <c r="M83" i="251"/>
  <c r="M82" i="251"/>
  <c r="N82" i="251" s="1"/>
  <c r="M81" i="251"/>
  <c r="N81" i="251" s="1"/>
  <c r="M80" i="251"/>
  <c r="N80" i="251" s="1"/>
  <c r="M79" i="251"/>
  <c r="N79" i="251" s="1"/>
  <c r="M78" i="251"/>
  <c r="N78" i="251" s="1"/>
  <c r="M77" i="251"/>
  <c r="N77" i="251" s="1"/>
  <c r="M76" i="251"/>
  <c r="N76" i="251" s="1"/>
  <c r="M75" i="251"/>
  <c r="N75" i="251" s="1"/>
  <c r="L72" i="251"/>
  <c r="K72" i="251"/>
  <c r="J72" i="251"/>
  <c r="G72" i="251"/>
  <c r="M71" i="251"/>
  <c r="N71" i="251" s="1"/>
  <c r="M70" i="251"/>
  <c r="N70" i="251" s="1"/>
  <c r="M69" i="251"/>
  <c r="N69" i="251" s="1"/>
  <c r="M68" i="251"/>
  <c r="N68" i="251" s="1"/>
  <c r="M67" i="251"/>
  <c r="N67" i="251" s="1"/>
  <c r="M66" i="251"/>
  <c r="N66" i="251" s="1"/>
  <c r="M65" i="251"/>
  <c r="N65" i="251" s="1"/>
  <c r="M64" i="251"/>
  <c r="N64" i="251" s="1"/>
  <c r="M63" i="251"/>
  <c r="N63" i="251" s="1"/>
  <c r="M62" i="251"/>
  <c r="N62" i="251" s="1"/>
  <c r="M61" i="251"/>
  <c r="N61" i="251" s="1"/>
  <c r="M60" i="251"/>
  <c r="N60" i="251" s="1"/>
  <c r="L57" i="251"/>
  <c r="K57" i="251"/>
  <c r="J57" i="251"/>
  <c r="I57" i="251"/>
  <c r="H57" i="251"/>
  <c r="G57" i="251"/>
  <c r="F57" i="251"/>
  <c r="M56" i="251"/>
  <c r="N56" i="251" s="1"/>
  <c r="M55" i="251"/>
  <c r="N55" i="251" s="1"/>
  <c r="M54" i="251"/>
  <c r="N54" i="251" s="1"/>
  <c r="L51" i="251"/>
  <c r="K51" i="251"/>
  <c r="J51" i="251"/>
  <c r="I51" i="251"/>
  <c r="H51" i="251"/>
  <c r="G51" i="251"/>
  <c r="F51" i="251"/>
  <c r="M50" i="251"/>
  <c r="N50" i="251" s="1"/>
  <c r="N51" i="251" s="1"/>
  <c r="L47" i="251"/>
  <c r="K47" i="251"/>
  <c r="J47" i="251"/>
  <c r="I47" i="251"/>
  <c r="H47" i="251"/>
  <c r="G47" i="251"/>
  <c r="F47" i="251"/>
  <c r="M46" i="251"/>
  <c r="N46" i="251" s="1"/>
  <c r="M45" i="251"/>
  <c r="N45" i="251" s="1"/>
  <c r="L42" i="251"/>
  <c r="K42" i="251"/>
  <c r="J42" i="251"/>
  <c r="I42" i="251"/>
  <c r="G42" i="251"/>
  <c r="F42" i="251"/>
  <c r="M41" i="251"/>
  <c r="M42" i="251" s="1"/>
  <c r="F38" i="251"/>
  <c r="M37" i="251"/>
  <c r="M36" i="251"/>
  <c r="N36" i="251" s="1"/>
  <c r="M35" i="251"/>
  <c r="N35" i="251" s="1"/>
  <c r="M33" i="251"/>
  <c r="N33" i="251" s="1"/>
  <c r="M32" i="251"/>
  <c r="N32" i="251" s="1"/>
  <c r="M31" i="251"/>
  <c r="N31" i="251" s="1"/>
  <c r="L28" i="251"/>
  <c r="K28" i="251"/>
  <c r="J28" i="251"/>
  <c r="I28" i="251"/>
  <c r="H28" i="251"/>
  <c r="G28" i="251"/>
  <c r="F28" i="251"/>
  <c r="M27" i="251"/>
  <c r="N27" i="251" s="1"/>
  <c r="N26" i="251"/>
  <c r="M23" i="251"/>
  <c r="L23" i="251"/>
  <c r="K23" i="251"/>
  <c r="J23" i="251"/>
  <c r="G23" i="251"/>
  <c r="F23" i="251"/>
  <c r="N23" i="251"/>
  <c r="L18" i="251"/>
  <c r="L227" i="251" s="1"/>
  <c r="K18" i="251"/>
  <c r="J18" i="251"/>
  <c r="I18" i="251"/>
  <c r="H18" i="251"/>
  <c r="G18" i="251"/>
  <c r="F18" i="251"/>
  <c r="M17" i="251"/>
  <c r="N17" i="251" s="1"/>
  <c r="M16" i="251"/>
  <c r="N16" i="251" s="1"/>
  <c r="M15" i="251"/>
  <c r="N15" i="251" s="1"/>
  <c r="J23" i="250"/>
  <c r="E23" i="250"/>
  <c r="H57" i="247"/>
  <c r="M122" i="247"/>
  <c r="L122" i="247"/>
  <c r="K122" i="247"/>
  <c r="J122" i="247"/>
  <c r="I122" i="247"/>
  <c r="G122" i="247"/>
  <c r="N115" i="247"/>
  <c r="O115" i="247" s="1"/>
  <c r="N114" i="247"/>
  <c r="O114" i="247"/>
  <c r="I57" i="247"/>
  <c r="J57" i="247"/>
  <c r="K57" i="247"/>
  <c r="L57" i="247"/>
  <c r="M57" i="247"/>
  <c r="O57" i="247"/>
  <c r="G57" i="247"/>
  <c r="N117" i="247"/>
  <c r="O117" i="247" s="1"/>
  <c r="N120" i="247"/>
  <c r="O120" i="247" s="1"/>
  <c r="N119" i="247"/>
  <c r="O119" i="247"/>
  <c r="N118" i="247"/>
  <c r="O118" i="247" s="1"/>
  <c r="N121" i="247"/>
  <c r="O121" i="247" s="1"/>
  <c r="H48" i="247"/>
  <c r="I48" i="247"/>
  <c r="J48" i="247"/>
  <c r="K48" i="247"/>
  <c r="L48" i="247"/>
  <c r="M48" i="247"/>
  <c r="O48" i="247"/>
  <c r="G48" i="247"/>
  <c r="N81" i="247"/>
  <c r="O81" i="247" s="1"/>
  <c r="H15" i="247"/>
  <c r="H20" i="247"/>
  <c r="H25" i="247"/>
  <c r="H30" i="247"/>
  <c r="H34" i="247"/>
  <c r="H38" i="247"/>
  <c r="H43" i="247"/>
  <c r="H65" i="247"/>
  <c r="K109" i="246"/>
  <c r="J132" i="246"/>
  <c r="K132" i="246"/>
  <c r="L132" i="246"/>
  <c r="K122" i="246"/>
  <c r="L104" i="246"/>
  <c r="J104" i="246"/>
  <c r="F98" i="246"/>
  <c r="H93" i="246"/>
  <c r="F93" i="246"/>
  <c r="L93" i="246"/>
  <c r="L88" i="246"/>
  <c r="F88" i="246"/>
  <c r="F73" i="246"/>
  <c r="L58" i="246"/>
  <c r="J58" i="246"/>
  <c r="I58" i="246"/>
  <c r="H58" i="246"/>
  <c r="F58" i="246"/>
  <c r="K48" i="246"/>
  <c r="I48" i="246"/>
  <c r="H48" i="246"/>
  <c r="F48" i="246"/>
  <c r="F29" i="246"/>
  <c r="L19" i="246"/>
  <c r="K19" i="246"/>
  <c r="I19" i="246"/>
  <c r="H19" i="246"/>
  <c r="F19" i="246"/>
  <c r="H88" i="246"/>
  <c r="I88" i="246"/>
  <c r="K88" i="246"/>
  <c r="G88" i="246"/>
  <c r="M108" i="246"/>
  <c r="N108" i="246" s="1"/>
  <c r="N109" i="246" s="1"/>
  <c r="L109" i="246"/>
  <c r="I109" i="246"/>
  <c r="H109" i="246"/>
  <c r="F109" i="246"/>
  <c r="H122" i="246"/>
  <c r="F122" i="246"/>
  <c r="H132" i="246"/>
  <c r="H141" i="246"/>
  <c r="F141" i="246"/>
  <c r="H149" i="246"/>
  <c r="F149" i="246"/>
  <c r="L164" i="246"/>
  <c r="I164" i="246"/>
  <c r="H164" i="246"/>
  <c r="F164" i="246"/>
  <c r="H173" i="246"/>
  <c r="F173" i="246"/>
  <c r="I186" i="246"/>
  <c r="H186" i="246"/>
  <c r="F186" i="246"/>
  <c r="M206" i="246"/>
  <c r="N206" i="246" s="1"/>
  <c r="L222" i="246"/>
  <c r="K222" i="246"/>
  <c r="J222" i="246"/>
  <c r="I222" i="246"/>
  <c r="H222" i="246"/>
  <c r="F222" i="246"/>
  <c r="M221" i="246"/>
  <c r="N221" i="246" s="1"/>
  <c r="F132" i="246"/>
  <c r="J141" i="246"/>
  <c r="L141" i="246"/>
  <c r="F39" i="246"/>
  <c r="H29" i="246"/>
  <c r="H24" i="246"/>
  <c r="F24" i="246"/>
  <c r="L73" i="246"/>
  <c r="K73" i="246"/>
  <c r="J73" i="246"/>
  <c r="I73" i="246"/>
  <c r="H73" i="246"/>
  <c r="M72" i="246"/>
  <c r="N72" i="246"/>
  <c r="J122" i="246"/>
  <c r="L122" i="246"/>
  <c r="L39" i="246"/>
  <c r="K39" i="246"/>
  <c r="J39" i="246"/>
  <c r="I39" i="246"/>
  <c r="H39" i="246"/>
  <c r="M38" i="246"/>
  <c r="N38" i="246" s="1"/>
  <c r="N120" i="246"/>
  <c r="D224" i="246"/>
  <c r="M220" i="246"/>
  <c r="N220" i="246" s="1"/>
  <c r="M205" i="246"/>
  <c r="N205" i="246" s="1"/>
  <c r="M71" i="246"/>
  <c r="N71" i="246"/>
  <c r="M37" i="246"/>
  <c r="N37" i="246" s="1"/>
  <c r="M204" i="246"/>
  <c r="N204" i="246" s="1"/>
  <c r="I122" i="246"/>
  <c r="G122" i="246"/>
  <c r="M219" i="246"/>
  <c r="N219" i="246" s="1"/>
  <c r="G104" i="246"/>
  <c r="J109" i="246"/>
  <c r="G109" i="246"/>
  <c r="G132" i="246"/>
  <c r="G141" i="246"/>
  <c r="G164" i="246"/>
  <c r="G222" i="246"/>
  <c r="G186" i="246"/>
  <c r="M207" i="246"/>
  <c r="N207" i="246"/>
  <c r="M203" i="246"/>
  <c r="N203" i="246" s="1"/>
  <c r="M217" i="246"/>
  <c r="N217" i="246"/>
  <c r="M70" i="246"/>
  <c r="N70" i="246"/>
  <c r="M87" i="246"/>
  <c r="N87" i="246" s="1"/>
  <c r="M86" i="246"/>
  <c r="N86" i="246" s="1"/>
  <c r="G73" i="246"/>
  <c r="K20" i="250"/>
  <c r="K23" i="250" s="1"/>
  <c r="J20" i="250"/>
  <c r="I20" i="250"/>
  <c r="H20" i="250"/>
  <c r="G20" i="250"/>
  <c r="F20" i="250"/>
  <c r="L20" i="250"/>
  <c r="E20" i="250"/>
  <c r="D20" i="250"/>
  <c r="K16" i="250"/>
  <c r="J16" i="250"/>
  <c r="I16" i="250"/>
  <c r="I23" i="250"/>
  <c r="H16" i="250"/>
  <c r="H23" i="250"/>
  <c r="G16" i="250"/>
  <c r="G23" i="250" s="1"/>
  <c r="F16" i="250"/>
  <c r="F23" i="250"/>
  <c r="E16" i="250"/>
  <c r="D16" i="250"/>
  <c r="D23" i="250"/>
  <c r="I42" i="249"/>
  <c r="H42" i="249"/>
  <c r="H45" i="249"/>
  <c r="G42" i="249"/>
  <c r="F42" i="249"/>
  <c r="F45" i="249" s="1"/>
  <c r="D42" i="249"/>
  <c r="D45" i="249"/>
  <c r="K41" i="249"/>
  <c r="K42" i="249"/>
  <c r="I38" i="249"/>
  <c r="H38" i="249"/>
  <c r="G38" i="249"/>
  <c r="F38" i="249"/>
  <c r="D38" i="249"/>
  <c r="K37" i="249"/>
  <c r="K38" i="249" s="1"/>
  <c r="L38" i="249" s="1"/>
  <c r="I33" i="249"/>
  <c r="H33" i="249"/>
  <c r="G33" i="249"/>
  <c r="F33" i="249"/>
  <c r="L33" i="249" s="1"/>
  <c r="D33" i="249"/>
  <c r="K32" i="249"/>
  <c r="K33" i="249" s="1"/>
  <c r="I29" i="249"/>
  <c r="H29" i="249"/>
  <c r="G29" i="249"/>
  <c r="F29" i="249"/>
  <c r="L29" i="249"/>
  <c r="D29" i="249"/>
  <c r="K28" i="249"/>
  <c r="K29" i="249"/>
  <c r="I24" i="249"/>
  <c r="H24" i="249"/>
  <c r="G24" i="249"/>
  <c r="F24" i="249"/>
  <c r="D24" i="249"/>
  <c r="K23" i="249"/>
  <c r="K24" i="249" s="1"/>
  <c r="L24" i="249" s="1"/>
  <c r="I20" i="249"/>
  <c r="H20" i="249"/>
  <c r="G20" i="249"/>
  <c r="F20" i="249"/>
  <c r="D20" i="249"/>
  <c r="K19" i="249"/>
  <c r="K20" i="249" s="1"/>
  <c r="I16" i="249"/>
  <c r="H16" i="249"/>
  <c r="G16" i="249"/>
  <c r="F16" i="249"/>
  <c r="D16" i="249"/>
  <c r="K15" i="249"/>
  <c r="K16" i="249" s="1"/>
  <c r="M34" i="248"/>
  <c r="N34" i="248"/>
  <c r="N35" i="248" s="1"/>
  <c r="L34" i="248"/>
  <c r="L35" i="248"/>
  <c r="K34" i="248"/>
  <c r="K35" i="248"/>
  <c r="J34" i="248"/>
  <c r="J35" i="248" s="1"/>
  <c r="I34" i="248"/>
  <c r="I35" i="248"/>
  <c r="H34" i="248"/>
  <c r="H35" i="248" s="1"/>
  <c r="G34" i="248"/>
  <c r="G35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N113" i="247"/>
  <c r="O113" i="247" s="1"/>
  <c r="N112" i="247"/>
  <c r="O112" i="247"/>
  <c r="N111" i="247"/>
  <c r="O111" i="247" s="1"/>
  <c r="N110" i="247"/>
  <c r="O110" i="247" s="1"/>
  <c r="N109" i="247"/>
  <c r="O109" i="247"/>
  <c r="N108" i="247"/>
  <c r="O108" i="247" s="1"/>
  <c r="N107" i="247"/>
  <c r="O107" i="247" s="1"/>
  <c r="N106" i="247"/>
  <c r="O106" i="247"/>
  <c r="N105" i="247"/>
  <c r="O105" i="247" s="1"/>
  <c r="N104" i="247"/>
  <c r="O104" i="247" s="1"/>
  <c r="N103" i="247"/>
  <c r="O103" i="247"/>
  <c r="N102" i="247"/>
  <c r="O102" i="247" s="1"/>
  <c r="N101" i="247"/>
  <c r="O101" i="247" s="1"/>
  <c r="N100" i="247"/>
  <c r="O100" i="247"/>
  <c r="N99" i="247"/>
  <c r="O99" i="247" s="1"/>
  <c r="N98" i="247"/>
  <c r="O98" i="247" s="1"/>
  <c r="N97" i="247"/>
  <c r="O97" i="247"/>
  <c r="N96" i="247"/>
  <c r="O96" i="247" s="1"/>
  <c r="N95" i="247"/>
  <c r="O95" i="247" s="1"/>
  <c r="N94" i="247"/>
  <c r="O94" i="247"/>
  <c r="N93" i="247"/>
  <c r="O93" i="247" s="1"/>
  <c r="N92" i="247"/>
  <c r="O92" i="247" s="1"/>
  <c r="N91" i="247"/>
  <c r="O91" i="247"/>
  <c r="N90" i="247"/>
  <c r="N122" i="247" s="1"/>
  <c r="M86" i="247"/>
  <c r="L86" i="247"/>
  <c r="K86" i="247"/>
  <c r="J86" i="247"/>
  <c r="I86" i="247"/>
  <c r="H86" i="247"/>
  <c r="G86" i="247"/>
  <c r="N85" i="247"/>
  <c r="N86" i="247" s="1"/>
  <c r="M82" i="247"/>
  <c r="L82" i="247"/>
  <c r="K82" i="247"/>
  <c r="J82" i="247"/>
  <c r="I82" i="247"/>
  <c r="G82" i="247"/>
  <c r="N80" i="247"/>
  <c r="O80" i="247"/>
  <c r="N79" i="247"/>
  <c r="O79" i="247" s="1"/>
  <c r="N78" i="247"/>
  <c r="O78" i="247" s="1"/>
  <c r="N77" i="247"/>
  <c r="O77" i="247"/>
  <c r="N76" i="247"/>
  <c r="N82" i="247" s="1"/>
  <c r="N72" i="247"/>
  <c r="M69" i="247"/>
  <c r="L69" i="247"/>
  <c r="K69" i="247"/>
  <c r="J69" i="247"/>
  <c r="I69" i="247"/>
  <c r="H69" i="247"/>
  <c r="G69" i="247"/>
  <c r="N68" i="247"/>
  <c r="N69" i="247" s="1"/>
  <c r="M65" i="247"/>
  <c r="L65" i="247"/>
  <c r="K65" i="247"/>
  <c r="J65" i="247"/>
  <c r="I65" i="247"/>
  <c r="G65" i="247"/>
  <c r="N64" i="247"/>
  <c r="O64" i="247"/>
  <c r="N63" i="247"/>
  <c r="O63" i="247"/>
  <c r="N62" i="247"/>
  <c r="O62" i="247" s="1"/>
  <c r="N61" i="247"/>
  <c r="O61" i="247" s="1"/>
  <c r="N60" i="247"/>
  <c r="O60" i="247" s="1"/>
  <c r="N56" i="247"/>
  <c r="N57" i="247"/>
  <c r="N46" i="247"/>
  <c r="N48" i="247" s="1"/>
  <c r="O43" i="247"/>
  <c r="M43" i="247"/>
  <c r="L43" i="247"/>
  <c r="K43" i="247"/>
  <c r="J43" i="247"/>
  <c r="I43" i="247"/>
  <c r="G43" i="247"/>
  <c r="N42" i="247"/>
  <c r="N43" i="247" s="1"/>
  <c r="M38" i="247"/>
  <c r="L38" i="247"/>
  <c r="K38" i="247"/>
  <c r="J38" i="247"/>
  <c r="I38" i="247"/>
  <c r="G38" i="247"/>
  <c r="N37" i="247"/>
  <c r="O37" i="247"/>
  <c r="O38" i="247" s="1"/>
  <c r="N38" i="247"/>
  <c r="M34" i="247"/>
  <c r="L34" i="247"/>
  <c r="K34" i="247"/>
  <c r="J34" i="247"/>
  <c r="I34" i="247"/>
  <c r="G34" i="247"/>
  <c r="N33" i="247"/>
  <c r="N34" i="247" s="1"/>
  <c r="M30" i="247"/>
  <c r="L30" i="247"/>
  <c r="K30" i="247"/>
  <c r="J30" i="247"/>
  <c r="I30" i="247"/>
  <c r="G30" i="247"/>
  <c r="N29" i="247"/>
  <c r="O29" i="247"/>
  <c r="N28" i="247"/>
  <c r="O28" i="247"/>
  <c r="M25" i="247"/>
  <c r="L25" i="247"/>
  <c r="K25" i="247"/>
  <c r="J25" i="247"/>
  <c r="I25" i="247"/>
  <c r="G25" i="247"/>
  <c r="N24" i="247"/>
  <c r="N23" i="247"/>
  <c r="N25" i="247" s="1"/>
  <c r="O23" i="247"/>
  <c r="M20" i="247"/>
  <c r="L20" i="247"/>
  <c r="K20" i="247"/>
  <c r="J20" i="247"/>
  <c r="I20" i="247"/>
  <c r="G20" i="247"/>
  <c r="N19" i="247"/>
  <c r="O19" i="247"/>
  <c r="N18" i="247"/>
  <c r="N20" i="247" s="1"/>
  <c r="M15" i="247"/>
  <c r="L15" i="247"/>
  <c r="K15" i="247"/>
  <c r="J15" i="247"/>
  <c r="I15" i="247"/>
  <c r="G15" i="247"/>
  <c r="N14" i="247"/>
  <c r="O14" i="247"/>
  <c r="O15" i="247" s="1"/>
  <c r="M218" i="246"/>
  <c r="N218" i="246" s="1"/>
  <c r="M216" i="246"/>
  <c r="N216" i="246"/>
  <c r="M215" i="246"/>
  <c r="N215" i="246" s="1"/>
  <c r="M214" i="246"/>
  <c r="N214" i="246" s="1"/>
  <c r="M213" i="246"/>
  <c r="N213" i="246"/>
  <c r="M212" i="246"/>
  <c r="N212" i="246" s="1"/>
  <c r="M211" i="246"/>
  <c r="N211" i="246" s="1"/>
  <c r="M210" i="246"/>
  <c r="N210" i="246"/>
  <c r="M209" i="246"/>
  <c r="N209" i="246" s="1"/>
  <c r="M208" i="246"/>
  <c r="N208" i="246" s="1"/>
  <c r="M202" i="246"/>
  <c r="N202" i="246"/>
  <c r="M201" i="246"/>
  <c r="N201" i="246" s="1"/>
  <c r="M200" i="246"/>
  <c r="N200" i="246" s="1"/>
  <c r="M199" i="246"/>
  <c r="N199" i="246"/>
  <c r="M198" i="246"/>
  <c r="N198" i="246" s="1"/>
  <c r="M197" i="246"/>
  <c r="N197" i="246" s="1"/>
  <c r="M196" i="246"/>
  <c r="N196" i="246"/>
  <c r="M195" i="246"/>
  <c r="N195" i="246" s="1"/>
  <c r="M194" i="246"/>
  <c r="N194" i="246" s="1"/>
  <c r="M193" i="246"/>
  <c r="N193" i="246"/>
  <c r="M192" i="246"/>
  <c r="N192" i="246" s="1"/>
  <c r="M191" i="246"/>
  <c r="N191" i="246" s="1"/>
  <c r="M190" i="246"/>
  <c r="N190" i="246"/>
  <c r="M189" i="246"/>
  <c r="N189" i="246" s="1"/>
  <c r="N222" i="246" s="1"/>
  <c r="L186" i="246"/>
  <c r="K186" i="246"/>
  <c r="J186" i="246"/>
  <c r="M185" i="246"/>
  <c r="N185" i="246"/>
  <c r="M184" i="246"/>
  <c r="N184" i="246"/>
  <c r="M183" i="246"/>
  <c r="N183" i="246"/>
  <c r="M182" i="246"/>
  <c r="N182" i="246"/>
  <c r="M181" i="246"/>
  <c r="N181" i="246"/>
  <c r="M180" i="246"/>
  <c r="N180" i="246"/>
  <c r="M179" i="246"/>
  <c r="N179" i="246"/>
  <c r="M178" i="246"/>
  <c r="N178" i="246"/>
  <c r="M177" i="246"/>
  <c r="N177" i="246"/>
  <c r="M176" i="246"/>
  <c r="L173" i="246"/>
  <c r="K173" i="246"/>
  <c r="J173" i="246"/>
  <c r="I173" i="246"/>
  <c r="G173" i="246"/>
  <c r="M172" i="246"/>
  <c r="N172" i="246"/>
  <c r="N173" i="246" s="1"/>
  <c r="M171" i="246"/>
  <c r="N171" i="246"/>
  <c r="L168" i="246"/>
  <c r="K168" i="246"/>
  <c r="J168" i="246"/>
  <c r="I168" i="246"/>
  <c r="H168" i="246"/>
  <c r="G168" i="246"/>
  <c r="F168" i="246"/>
  <c r="M167" i="246"/>
  <c r="M168" i="246"/>
  <c r="K164" i="246"/>
  <c r="K224" i="246" s="1"/>
  <c r="J164" i="246"/>
  <c r="M163" i="246"/>
  <c r="N163" i="246" s="1"/>
  <c r="M162" i="246"/>
  <c r="N162" i="246"/>
  <c r="M161" i="246"/>
  <c r="N161" i="246" s="1"/>
  <c r="M160" i="246"/>
  <c r="L157" i="246"/>
  <c r="K157" i="246"/>
  <c r="J157" i="246"/>
  <c r="I157" i="246"/>
  <c r="H157" i="246"/>
  <c r="G157" i="246"/>
  <c r="F157" i="246"/>
  <c r="M156" i="246"/>
  <c r="N156" i="246"/>
  <c r="L153" i="246"/>
  <c r="K153" i="246"/>
  <c r="J153" i="246"/>
  <c r="I153" i="246"/>
  <c r="H153" i="246"/>
  <c r="G153" i="246"/>
  <c r="F153" i="246"/>
  <c r="M152" i="246"/>
  <c r="N152" i="246"/>
  <c r="N153" i="246" s="1"/>
  <c r="L149" i="246"/>
  <c r="K149" i="246"/>
  <c r="J149" i="246"/>
  <c r="I149" i="246"/>
  <c r="G149" i="246"/>
  <c r="M148" i="246"/>
  <c r="N148" i="246"/>
  <c r="M147" i="246"/>
  <c r="N147" i="246"/>
  <c r="M146" i="246"/>
  <c r="N146" i="246"/>
  <c r="M145" i="246"/>
  <c r="N145" i="246"/>
  <c r="M144" i="246"/>
  <c r="N144" i="246"/>
  <c r="K141" i="246"/>
  <c r="I141" i="246"/>
  <c r="M140" i="246"/>
  <c r="N140" i="246"/>
  <c r="M139" i="246"/>
  <c r="N139" i="246"/>
  <c r="M138" i="246"/>
  <c r="N138" i="246"/>
  <c r="M137" i="246"/>
  <c r="N137" i="246"/>
  <c r="M136" i="246"/>
  <c r="N136" i="246"/>
  <c r="M135" i="246"/>
  <c r="I132" i="246"/>
  <c r="M131" i="246"/>
  <c r="N131" i="246"/>
  <c r="M130" i="246"/>
  <c r="L126" i="246"/>
  <c r="K126" i="246"/>
  <c r="J126" i="246"/>
  <c r="I126" i="246"/>
  <c r="H126" i="246"/>
  <c r="G126" i="246"/>
  <c r="F126" i="246"/>
  <c r="M125" i="246"/>
  <c r="M126" i="246"/>
  <c r="M121" i="246"/>
  <c r="N121" i="246"/>
  <c r="M119" i="246"/>
  <c r="N119" i="246"/>
  <c r="M118" i="246"/>
  <c r="N118" i="246"/>
  <c r="M117" i="246"/>
  <c r="N117" i="246"/>
  <c r="M116" i="246"/>
  <c r="N116" i="246"/>
  <c r="L113" i="246"/>
  <c r="K113" i="246"/>
  <c r="J113" i="246"/>
  <c r="I113" i="246"/>
  <c r="H113" i="246"/>
  <c r="F113" i="246"/>
  <c r="M112" i="246"/>
  <c r="N112" i="246"/>
  <c r="N113" i="246" s="1"/>
  <c r="K104" i="246"/>
  <c r="I104" i="246"/>
  <c r="H104" i="246"/>
  <c r="F104" i="246"/>
  <c r="M103" i="246"/>
  <c r="N103" i="246" s="1"/>
  <c r="M102" i="246"/>
  <c r="N102" i="246" s="1"/>
  <c r="M101" i="246"/>
  <c r="N101" i="246" s="1"/>
  <c r="N104" i="246" s="1"/>
  <c r="L98" i="246"/>
  <c r="K98" i="246"/>
  <c r="J98" i="246"/>
  <c r="I98" i="246"/>
  <c r="H98" i="246"/>
  <c r="G98" i="246"/>
  <c r="M97" i="246"/>
  <c r="N97" i="246" s="1"/>
  <c r="N98" i="246" s="1"/>
  <c r="M96" i="246"/>
  <c r="M98" i="246" s="1"/>
  <c r="K93" i="246"/>
  <c r="J93" i="246"/>
  <c r="I93" i="246"/>
  <c r="G93" i="246"/>
  <c r="M92" i="246"/>
  <c r="N92" i="246" s="1"/>
  <c r="M91" i="246"/>
  <c r="J88" i="246"/>
  <c r="M85" i="246"/>
  <c r="M84" i="246"/>
  <c r="M83" i="246"/>
  <c r="N83" i="246" s="1"/>
  <c r="M82" i="246"/>
  <c r="N82" i="246" s="1"/>
  <c r="M81" i="246"/>
  <c r="N81" i="246" s="1"/>
  <c r="M80" i="246"/>
  <c r="N80" i="246" s="1"/>
  <c r="M79" i="246"/>
  <c r="N79" i="246" s="1"/>
  <c r="M78" i="246"/>
  <c r="N78" i="246" s="1"/>
  <c r="M77" i="246"/>
  <c r="N77" i="246" s="1"/>
  <c r="M76" i="246"/>
  <c r="N76" i="246" s="1"/>
  <c r="M69" i="246"/>
  <c r="N69" i="246" s="1"/>
  <c r="M68" i="246"/>
  <c r="N68" i="246" s="1"/>
  <c r="M67" i="246"/>
  <c r="N67" i="246" s="1"/>
  <c r="M66" i="246"/>
  <c r="N66" i="246" s="1"/>
  <c r="M65" i="246"/>
  <c r="N65" i="246" s="1"/>
  <c r="M64" i="246"/>
  <c r="N64" i="246" s="1"/>
  <c r="N73" i="246" s="1"/>
  <c r="M63" i="246"/>
  <c r="N63" i="246" s="1"/>
  <c r="M62" i="246"/>
  <c r="N62" i="246" s="1"/>
  <c r="M61" i="246"/>
  <c r="N61" i="246" s="1"/>
  <c r="K58" i="246"/>
  <c r="G58" i="246"/>
  <c r="M57" i="246"/>
  <c r="N57" i="246" s="1"/>
  <c r="N58" i="246" s="1"/>
  <c r="M56" i="246"/>
  <c r="N56" i="246" s="1"/>
  <c r="M55" i="246"/>
  <c r="N55" i="246" s="1"/>
  <c r="L52" i="246"/>
  <c r="K52" i="246"/>
  <c r="J52" i="246"/>
  <c r="I52" i="246"/>
  <c r="H52" i="246"/>
  <c r="G52" i="246"/>
  <c r="F52" i="246"/>
  <c r="M51" i="246"/>
  <c r="M52" i="246"/>
  <c r="L48" i="246"/>
  <c r="J48" i="246"/>
  <c r="G48" i="246"/>
  <c r="M47" i="246"/>
  <c r="N47" i="246" s="1"/>
  <c r="M46" i="246"/>
  <c r="N46" i="246" s="1"/>
  <c r="L43" i="246"/>
  <c r="K43" i="246"/>
  <c r="J43" i="246"/>
  <c r="I43" i="246"/>
  <c r="G43" i="246"/>
  <c r="F43" i="246"/>
  <c r="M42" i="246"/>
  <c r="M43" i="246" s="1"/>
  <c r="G39" i="246"/>
  <c r="M36" i="246"/>
  <c r="N36" i="246"/>
  <c r="M34" i="246"/>
  <c r="N34" i="246"/>
  <c r="M33" i="246"/>
  <c r="N33" i="246"/>
  <c r="M32" i="246"/>
  <c r="L29" i="246"/>
  <c r="K29" i="246"/>
  <c r="J29" i="246"/>
  <c r="I29" i="246"/>
  <c r="G29" i="246"/>
  <c r="M28" i="246"/>
  <c r="N28" i="246"/>
  <c r="M27" i="246"/>
  <c r="L24" i="246"/>
  <c r="K24" i="246"/>
  <c r="J24" i="246"/>
  <c r="I24" i="246"/>
  <c r="G24" i="246"/>
  <c r="N23" i="246"/>
  <c r="N24" i="246"/>
  <c r="M24" i="246"/>
  <c r="J19" i="246"/>
  <c r="G19" i="246"/>
  <c r="M18" i="246"/>
  <c r="N18" i="246" s="1"/>
  <c r="M17" i="246"/>
  <c r="N17" i="246" s="1"/>
  <c r="M16" i="246"/>
  <c r="N16" i="246" s="1"/>
  <c r="M15" i="246"/>
  <c r="N15" i="246" s="1"/>
  <c r="M14" i="246"/>
  <c r="N14" i="246" s="1"/>
  <c r="D211" i="241"/>
  <c r="M140" i="241"/>
  <c r="L150" i="241"/>
  <c r="N21" i="241"/>
  <c r="L22" i="241"/>
  <c r="K22" i="241"/>
  <c r="E211" i="241"/>
  <c r="G209" i="241"/>
  <c r="H209" i="241"/>
  <c r="I209" i="241"/>
  <c r="J209" i="241"/>
  <c r="K209" i="241"/>
  <c r="L209" i="241"/>
  <c r="F209" i="241"/>
  <c r="M208" i="241"/>
  <c r="N208" i="241" s="1"/>
  <c r="M207" i="241"/>
  <c r="N207" i="241" s="1"/>
  <c r="M206" i="241"/>
  <c r="N206" i="241" s="1"/>
  <c r="J179" i="241"/>
  <c r="G179" i="241"/>
  <c r="H179" i="241"/>
  <c r="I179" i="241"/>
  <c r="K179" i="241"/>
  <c r="L179" i="241"/>
  <c r="F179" i="241"/>
  <c r="M178" i="241"/>
  <c r="N178" i="241"/>
  <c r="M177" i="241"/>
  <c r="N177" i="241"/>
  <c r="M176" i="241"/>
  <c r="N176" i="241"/>
  <c r="M79" i="241"/>
  <c r="M80" i="241"/>
  <c r="G81" i="241"/>
  <c r="H81" i="241"/>
  <c r="I81" i="241"/>
  <c r="J81" i="241"/>
  <c r="J211" i="241" s="1"/>
  <c r="K81" i="241"/>
  <c r="L81" i="241"/>
  <c r="F81" i="241"/>
  <c r="G157" i="241"/>
  <c r="H157" i="241"/>
  <c r="I157" i="241"/>
  <c r="J157" i="241"/>
  <c r="K157" i="241"/>
  <c r="L157" i="241"/>
  <c r="F157" i="241"/>
  <c r="M156" i="241"/>
  <c r="N156" i="241"/>
  <c r="H142" i="241"/>
  <c r="F142" i="241"/>
  <c r="G134" i="241"/>
  <c r="H134" i="241"/>
  <c r="I134" i="241"/>
  <c r="J134" i="241"/>
  <c r="K134" i="241"/>
  <c r="L134" i="241"/>
  <c r="F134" i="241"/>
  <c r="M133" i="241"/>
  <c r="N133" i="241" s="1"/>
  <c r="F125" i="241"/>
  <c r="G125" i="241"/>
  <c r="H125" i="241"/>
  <c r="I125" i="241"/>
  <c r="J125" i="241"/>
  <c r="K125" i="241"/>
  <c r="L125" i="241"/>
  <c r="K115" i="241"/>
  <c r="L115" i="241"/>
  <c r="M114" i="241"/>
  <c r="N114" i="241"/>
  <c r="J115" i="241"/>
  <c r="I115" i="241"/>
  <c r="H115" i="241"/>
  <c r="G115" i="241"/>
  <c r="F115" i="241"/>
  <c r="G102" i="241"/>
  <c r="H102" i="241"/>
  <c r="I102" i="241"/>
  <c r="J102" i="241"/>
  <c r="K102" i="241"/>
  <c r="L102" i="241"/>
  <c r="F102" i="241"/>
  <c r="G98" i="241"/>
  <c r="H98" i="241"/>
  <c r="I98" i="241"/>
  <c r="J98" i="241"/>
  <c r="K98" i="241"/>
  <c r="L98" i="241"/>
  <c r="F98" i="241"/>
  <c r="M78" i="241"/>
  <c r="N78" i="241" s="1"/>
  <c r="M77" i="241"/>
  <c r="N77" i="241" s="1"/>
  <c r="M76" i="241"/>
  <c r="N76" i="241" s="1"/>
  <c r="M73" i="241"/>
  <c r="N73" i="241" s="1"/>
  <c r="K66" i="241"/>
  <c r="M65" i="241"/>
  <c r="N65" i="241"/>
  <c r="G66" i="241"/>
  <c r="H66" i="241"/>
  <c r="I66" i="241"/>
  <c r="J66" i="241"/>
  <c r="L66" i="241"/>
  <c r="F66" i="241"/>
  <c r="M64" i="241"/>
  <c r="N64" i="241"/>
  <c r="M51" i="241"/>
  <c r="N51" i="241" s="1"/>
  <c r="M42" i="241"/>
  <c r="N42" i="241"/>
  <c r="M38" i="241"/>
  <c r="N38" i="241"/>
  <c r="N39" i="241" s="1"/>
  <c r="M205" i="241"/>
  <c r="N205" i="241"/>
  <c r="M204" i="241"/>
  <c r="N204" i="241" s="1"/>
  <c r="M203" i="241"/>
  <c r="N203" i="241" s="1"/>
  <c r="M202" i="241"/>
  <c r="N202" i="241" s="1"/>
  <c r="M201" i="241"/>
  <c r="N201" i="241" s="1"/>
  <c r="M200" i="241"/>
  <c r="N200" i="241" s="1"/>
  <c r="M199" i="241"/>
  <c r="N199" i="241" s="1"/>
  <c r="M198" i="241"/>
  <c r="N198" i="241" s="1"/>
  <c r="M197" i="241"/>
  <c r="N197" i="241" s="1"/>
  <c r="M196" i="241"/>
  <c r="N196" i="241" s="1"/>
  <c r="M195" i="241"/>
  <c r="N195" i="241" s="1"/>
  <c r="M194" i="241"/>
  <c r="N194" i="241" s="1"/>
  <c r="M193" i="241"/>
  <c r="N193" i="241" s="1"/>
  <c r="M192" i="241"/>
  <c r="N192" i="241" s="1"/>
  <c r="M191" i="241"/>
  <c r="N191" i="241" s="1"/>
  <c r="M190" i="241"/>
  <c r="N190" i="241" s="1"/>
  <c r="M189" i="241"/>
  <c r="N189" i="241" s="1"/>
  <c r="M188" i="241"/>
  <c r="N188" i="241" s="1"/>
  <c r="M187" i="241"/>
  <c r="N187" i="241" s="1"/>
  <c r="M186" i="241"/>
  <c r="N186" i="241" s="1"/>
  <c r="M185" i="241"/>
  <c r="N185" i="241" s="1"/>
  <c r="M184" i="241"/>
  <c r="N184" i="241" s="1"/>
  <c r="M183" i="241"/>
  <c r="N183" i="241" s="1"/>
  <c r="N209" i="241" s="1"/>
  <c r="M182" i="241"/>
  <c r="N182" i="241" s="1"/>
  <c r="M175" i="241"/>
  <c r="N175" i="241" s="1"/>
  <c r="M174" i="241"/>
  <c r="N174" i="241" s="1"/>
  <c r="M173" i="241"/>
  <c r="N173" i="241" s="1"/>
  <c r="M172" i="241"/>
  <c r="N172" i="241" s="1"/>
  <c r="M171" i="241"/>
  <c r="N171" i="241" s="1"/>
  <c r="N179" i="241" s="1"/>
  <c r="M170" i="241"/>
  <c r="N170" i="241" s="1"/>
  <c r="M169" i="241"/>
  <c r="N169" i="241" s="1"/>
  <c r="M165" i="241"/>
  <c r="N165" i="241" s="1"/>
  <c r="M164" i="241"/>
  <c r="N164" i="241" s="1"/>
  <c r="M160" i="241"/>
  <c r="M161" i="241" s="1"/>
  <c r="M155" i="241"/>
  <c r="N155" i="241" s="1"/>
  <c r="N157" i="241" s="1"/>
  <c r="M154" i="241"/>
  <c r="N154" i="241" s="1"/>
  <c r="M153" i="241"/>
  <c r="M149" i="241"/>
  <c r="N149" i="241"/>
  <c r="M145" i="241"/>
  <c r="N145" i="241"/>
  <c r="N146" i="241" s="1"/>
  <c r="M141" i="241"/>
  <c r="N141" i="241" s="1"/>
  <c r="N140" i="241"/>
  <c r="M139" i="241"/>
  <c r="N139" i="241"/>
  <c r="M138" i="241"/>
  <c r="N138" i="241"/>
  <c r="M137" i="241"/>
  <c r="N137" i="241"/>
  <c r="M131" i="241"/>
  <c r="N131" i="241"/>
  <c r="M130" i="241"/>
  <c r="N130" i="241"/>
  <c r="M129" i="241"/>
  <c r="N129" i="241"/>
  <c r="M128" i="241"/>
  <c r="N128" i="241"/>
  <c r="M124" i="241"/>
  <c r="N124" i="241"/>
  <c r="M123" i="241"/>
  <c r="M132" i="241"/>
  <c r="N132" i="241" s="1"/>
  <c r="M118" i="241"/>
  <c r="N118" i="241" s="1"/>
  <c r="N119" i="241" s="1"/>
  <c r="M113" i="241"/>
  <c r="N113" i="241"/>
  <c r="M112" i="241"/>
  <c r="N112" i="241"/>
  <c r="M111" i="241"/>
  <c r="N111" i="241" s="1"/>
  <c r="M110" i="241"/>
  <c r="N110" i="241"/>
  <c r="M106" i="241"/>
  <c r="N106" i="241"/>
  <c r="N107" i="241" s="1"/>
  <c r="M105" i="241"/>
  <c r="N105" i="241" s="1"/>
  <c r="M101" i="241"/>
  <c r="N101" i="241"/>
  <c r="N102" i="241" s="1"/>
  <c r="M97" i="241"/>
  <c r="N97" i="241" s="1"/>
  <c r="M96" i="241"/>
  <c r="N96" i="241" s="1"/>
  <c r="M95" i="241"/>
  <c r="N95" i="241" s="1"/>
  <c r="N98" i="241" s="1"/>
  <c r="M94" i="241"/>
  <c r="N94" i="241" s="1"/>
  <c r="M90" i="241"/>
  <c r="N90" i="241" s="1"/>
  <c r="M89" i="241"/>
  <c r="M85" i="241"/>
  <c r="N85" i="241"/>
  <c r="M84" i="241"/>
  <c r="N84" i="241" s="1"/>
  <c r="N86" i="241" s="1"/>
  <c r="M75" i="241"/>
  <c r="N75" i="241"/>
  <c r="M74" i="241"/>
  <c r="N74" i="241"/>
  <c r="M72" i="241"/>
  <c r="N72" i="241" s="1"/>
  <c r="M71" i="241"/>
  <c r="N71" i="241"/>
  <c r="M70" i="241"/>
  <c r="N70" i="241"/>
  <c r="N81" i="241" s="1"/>
  <c r="M69" i="241"/>
  <c r="N69" i="241" s="1"/>
  <c r="M63" i="241"/>
  <c r="N63" i="241"/>
  <c r="M62" i="241"/>
  <c r="N62" i="241"/>
  <c r="M61" i="241"/>
  <c r="N61" i="241" s="1"/>
  <c r="M60" i="241"/>
  <c r="N60" i="241"/>
  <c r="M59" i="241"/>
  <c r="N59" i="241"/>
  <c r="M58" i="241"/>
  <c r="N58" i="241" s="1"/>
  <c r="M57" i="241"/>
  <c r="M53" i="241"/>
  <c r="N53" i="241" s="1"/>
  <c r="M52" i="241"/>
  <c r="N52" i="241" s="1"/>
  <c r="N54" i="241" s="1"/>
  <c r="M47" i="241"/>
  <c r="N47" i="241"/>
  <c r="N48" i="241"/>
  <c r="M43" i="241"/>
  <c r="N43" i="241"/>
  <c r="L35" i="241"/>
  <c r="M32" i="241"/>
  <c r="N32" i="241"/>
  <c r="G35" i="241"/>
  <c r="M34" i="241"/>
  <c r="N34" i="241"/>
  <c r="M31" i="241"/>
  <c r="N31" i="241" s="1"/>
  <c r="M30" i="241"/>
  <c r="N30" i="241"/>
  <c r="M26" i="241"/>
  <c r="N26" i="241"/>
  <c r="M25" i="241"/>
  <c r="N25" i="241" s="1"/>
  <c r="M20" i="241"/>
  <c r="M22" i="241"/>
  <c r="M13" i="241"/>
  <c r="N13" i="241"/>
  <c r="M14" i="241"/>
  <c r="N14" i="241" s="1"/>
  <c r="M15" i="241"/>
  <c r="N15" i="241"/>
  <c r="M16" i="241"/>
  <c r="N16" i="241"/>
  <c r="M12" i="241"/>
  <c r="H17" i="241"/>
  <c r="F17" i="241"/>
  <c r="H34" i="245"/>
  <c r="I34" i="245"/>
  <c r="J34" i="245"/>
  <c r="K34" i="245"/>
  <c r="L34" i="245"/>
  <c r="M34" i="245"/>
  <c r="G34" i="245"/>
  <c r="C115" i="245"/>
  <c r="G63" i="245"/>
  <c r="H113" i="245"/>
  <c r="I113" i="245"/>
  <c r="J113" i="245"/>
  <c r="K113" i="245"/>
  <c r="L113" i="245"/>
  <c r="M113" i="245"/>
  <c r="G113" i="245"/>
  <c r="N112" i="245"/>
  <c r="O112" i="245"/>
  <c r="N111" i="245"/>
  <c r="O111" i="245" s="1"/>
  <c r="N110" i="245"/>
  <c r="O110" i="245" s="1"/>
  <c r="N109" i="245"/>
  <c r="O109" i="245"/>
  <c r="N108" i="245"/>
  <c r="O108" i="245" s="1"/>
  <c r="N107" i="245"/>
  <c r="O107" i="245" s="1"/>
  <c r="N106" i="245"/>
  <c r="O106" i="245"/>
  <c r="N105" i="245"/>
  <c r="O105" i="245" s="1"/>
  <c r="N104" i="245"/>
  <c r="O104" i="245" s="1"/>
  <c r="N103" i="245"/>
  <c r="O103" i="245" s="1"/>
  <c r="N102" i="245"/>
  <c r="O102" i="245" s="1"/>
  <c r="N101" i="245"/>
  <c r="O101" i="245" s="1"/>
  <c r="N100" i="245"/>
  <c r="O100" i="245"/>
  <c r="N99" i="245"/>
  <c r="O99" i="245"/>
  <c r="N98" i="245"/>
  <c r="O98" i="245" s="1"/>
  <c r="N79" i="245"/>
  <c r="N80" i="245"/>
  <c r="O79" i="245"/>
  <c r="O80" i="245"/>
  <c r="G80" i="245"/>
  <c r="K76" i="245"/>
  <c r="N75" i="245"/>
  <c r="O75" i="245"/>
  <c r="N74" i="245"/>
  <c r="O74" i="245"/>
  <c r="H76" i="245"/>
  <c r="I76" i="245"/>
  <c r="J76" i="245"/>
  <c r="L76" i="245"/>
  <c r="M76" i="245"/>
  <c r="G76" i="245"/>
  <c r="N73" i="245"/>
  <c r="O73" i="245" s="1"/>
  <c r="G30" i="245"/>
  <c r="J59" i="245"/>
  <c r="I59" i="245"/>
  <c r="G59" i="245"/>
  <c r="N58" i="245"/>
  <c r="O58" i="245" s="1"/>
  <c r="O59" i="245" s="1"/>
  <c r="N57" i="245"/>
  <c r="O57" i="245"/>
  <c r="N56" i="245"/>
  <c r="O56" i="245"/>
  <c r="H59" i="245"/>
  <c r="K59" i="245"/>
  <c r="L59" i="245"/>
  <c r="M59" i="245"/>
  <c r="N55" i="245"/>
  <c r="N59" i="245" s="1"/>
  <c r="O55" i="245"/>
  <c r="O51" i="245"/>
  <c r="M51" i="245"/>
  <c r="L51" i="245"/>
  <c r="K51" i="245"/>
  <c r="J51" i="245"/>
  <c r="I51" i="245"/>
  <c r="H51" i="245"/>
  <c r="G51" i="245"/>
  <c r="G47" i="245"/>
  <c r="O43" i="245"/>
  <c r="O47" i="245"/>
  <c r="M47" i="245"/>
  <c r="L47" i="245"/>
  <c r="K47" i="245"/>
  <c r="J47" i="245"/>
  <c r="I47" i="245"/>
  <c r="H47" i="245"/>
  <c r="G43" i="245"/>
  <c r="G115" i="245" s="1"/>
  <c r="M43" i="245"/>
  <c r="L43" i="245"/>
  <c r="K43" i="245"/>
  <c r="J43" i="245"/>
  <c r="I43" i="245"/>
  <c r="H43" i="245"/>
  <c r="H115" i="245" s="1"/>
  <c r="N42" i="245"/>
  <c r="N43" i="245" s="1"/>
  <c r="M38" i="245"/>
  <c r="L38" i="245"/>
  <c r="K38" i="245"/>
  <c r="J38" i="245"/>
  <c r="I38" i="245"/>
  <c r="H38" i="245"/>
  <c r="G38" i="245"/>
  <c r="N37" i="245"/>
  <c r="N38" i="245"/>
  <c r="N29" i="245"/>
  <c r="O29" i="245" s="1"/>
  <c r="N28" i="245"/>
  <c r="O28" i="245"/>
  <c r="H30" i="245"/>
  <c r="I30" i="245"/>
  <c r="J30" i="245"/>
  <c r="J115" i="245" s="1"/>
  <c r="K30" i="245"/>
  <c r="L30" i="245"/>
  <c r="M30" i="245"/>
  <c r="N97" i="245"/>
  <c r="O97" i="245"/>
  <c r="N96" i="245"/>
  <c r="O96" i="245" s="1"/>
  <c r="N95" i="245"/>
  <c r="O95" i="245"/>
  <c r="N94" i="245"/>
  <c r="O94" i="245"/>
  <c r="N93" i="245"/>
  <c r="O93" i="245" s="1"/>
  <c r="N92" i="245"/>
  <c r="O92" i="245"/>
  <c r="N91" i="245"/>
  <c r="O91" i="245"/>
  <c r="N90" i="245"/>
  <c r="O90" i="245" s="1"/>
  <c r="N89" i="245"/>
  <c r="O89" i="245"/>
  <c r="N88" i="245"/>
  <c r="O88" i="245"/>
  <c r="N87" i="245"/>
  <c r="O87" i="245" s="1"/>
  <c r="N86" i="245"/>
  <c r="O86" i="245"/>
  <c r="N85" i="245"/>
  <c r="N84" i="245"/>
  <c r="O84" i="245"/>
  <c r="O113" i="245" s="1"/>
  <c r="N72" i="245"/>
  <c r="O72" i="245"/>
  <c r="N71" i="245"/>
  <c r="N70" i="245"/>
  <c r="N76" i="245" s="1"/>
  <c r="O70" i="245"/>
  <c r="O76" i="245" s="1"/>
  <c r="N66" i="245"/>
  <c r="N62" i="245"/>
  <c r="N54" i="245"/>
  <c r="N50" i="245"/>
  <c r="N51" i="245"/>
  <c r="N46" i="245"/>
  <c r="N47" i="245" s="1"/>
  <c r="N33" i="245"/>
  <c r="N34" i="245"/>
  <c r="O33" i="245"/>
  <c r="O34" i="245"/>
  <c r="N23" i="245"/>
  <c r="N25" i="245" s="1"/>
  <c r="G25" i="245"/>
  <c r="M25" i="245"/>
  <c r="L25" i="245"/>
  <c r="K25" i="245"/>
  <c r="J25" i="245"/>
  <c r="I25" i="245"/>
  <c r="H25" i="245"/>
  <c r="N18" i="245"/>
  <c r="N20" i="245" s="1"/>
  <c r="N24" i="245"/>
  <c r="O24" i="245"/>
  <c r="G20" i="245"/>
  <c r="M20" i="245"/>
  <c r="M115" i="245" s="1"/>
  <c r="L20" i="245"/>
  <c r="K20" i="245"/>
  <c r="J20" i="245"/>
  <c r="I20" i="245"/>
  <c r="H20" i="245"/>
  <c r="N19" i="245"/>
  <c r="O19" i="245"/>
  <c r="N14" i="245"/>
  <c r="O14" i="245"/>
  <c r="O15" i="245"/>
  <c r="H15" i="245"/>
  <c r="I15" i="245"/>
  <c r="I115" i="245" s="1"/>
  <c r="J15" i="245"/>
  <c r="K15" i="245"/>
  <c r="K115" i="245" s="1"/>
  <c r="L15" i="245"/>
  <c r="L115" i="245"/>
  <c r="M15" i="245"/>
  <c r="G15" i="245"/>
  <c r="M80" i="245"/>
  <c r="L80" i="245"/>
  <c r="K80" i="245"/>
  <c r="J80" i="245"/>
  <c r="I80" i="245"/>
  <c r="H80" i="245"/>
  <c r="M63" i="245"/>
  <c r="L63" i="245"/>
  <c r="K63" i="245"/>
  <c r="J63" i="245"/>
  <c r="I63" i="245"/>
  <c r="H63" i="245"/>
  <c r="N16" i="244"/>
  <c r="N17" i="244"/>
  <c r="N18" i="244"/>
  <c r="N19" i="244"/>
  <c r="N20" i="244"/>
  <c r="N21" i="244"/>
  <c r="N22" i="244"/>
  <c r="N23" i="244"/>
  <c r="N24" i="244"/>
  <c r="N25" i="244"/>
  <c r="N26" i="244"/>
  <c r="N27" i="244"/>
  <c r="N28" i="244"/>
  <c r="N29" i="244"/>
  <c r="N30" i="244"/>
  <c r="N31" i="244"/>
  <c r="N32" i="244"/>
  <c r="N33" i="244"/>
  <c r="N15" i="244"/>
  <c r="H34" i="244"/>
  <c r="H35" i="244" s="1"/>
  <c r="I34" i="244"/>
  <c r="I35" i="244" s="1"/>
  <c r="J34" i="244"/>
  <c r="J35" i="244" s="1"/>
  <c r="K34" i="244"/>
  <c r="K35" i="244"/>
  <c r="L34" i="244"/>
  <c r="L35" i="244" s="1"/>
  <c r="M34" i="244"/>
  <c r="M35" i="244" s="1"/>
  <c r="G34" i="244"/>
  <c r="G35" i="244"/>
  <c r="K41" i="243"/>
  <c r="K42" i="243" s="1"/>
  <c r="K37" i="243"/>
  <c r="K38" i="243" s="1"/>
  <c r="K32" i="243"/>
  <c r="K33" i="243" s="1"/>
  <c r="L33" i="243" s="1"/>
  <c r="K28" i="243"/>
  <c r="K29" i="243" s="1"/>
  <c r="L29" i="243" s="1"/>
  <c r="K23" i="243"/>
  <c r="K24" i="243"/>
  <c r="K19" i="243"/>
  <c r="K20" i="243" s="1"/>
  <c r="L20" i="243" s="1"/>
  <c r="K15" i="243"/>
  <c r="L15" i="243"/>
  <c r="I42" i="243"/>
  <c r="J42" i="243"/>
  <c r="H42" i="243"/>
  <c r="H45" i="243" s="1"/>
  <c r="G42" i="243"/>
  <c r="F42" i="243"/>
  <c r="F45" i="243" s="1"/>
  <c r="E42" i="243"/>
  <c r="D42" i="243"/>
  <c r="J38" i="243"/>
  <c r="I38" i="243"/>
  <c r="H38" i="243"/>
  <c r="G38" i="243"/>
  <c r="F38" i="243"/>
  <c r="L38" i="243" s="1"/>
  <c r="E38" i="243"/>
  <c r="D38" i="243"/>
  <c r="J33" i="243"/>
  <c r="I33" i="243"/>
  <c r="H33" i="243"/>
  <c r="G33" i="243"/>
  <c r="G45" i="243" s="1"/>
  <c r="F33" i="243"/>
  <c r="E33" i="243"/>
  <c r="D33" i="243"/>
  <c r="J29" i="243"/>
  <c r="I29" i="243"/>
  <c r="H29" i="243"/>
  <c r="G29" i="243"/>
  <c r="F29" i="243"/>
  <c r="E29" i="243"/>
  <c r="D29" i="243"/>
  <c r="J24" i="243"/>
  <c r="I24" i="243"/>
  <c r="H24" i="243"/>
  <c r="G24" i="243"/>
  <c r="F24" i="243"/>
  <c r="L24" i="243" s="1"/>
  <c r="E24" i="243"/>
  <c r="D24" i="243"/>
  <c r="J20" i="243"/>
  <c r="J45" i="243" s="1"/>
  <c r="I20" i="243"/>
  <c r="H20" i="243"/>
  <c r="G20" i="243"/>
  <c r="F20" i="243"/>
  <c r="E20" i="243"/>
  <c r="D20" i="243"/>
  <c r="I16" i="243"/>
  <c r="E23" i="242"/>
  <c r="K20" i="242"/>
  <c r="J20" i="242"/>
  <c r="I20" i="242"/>
  <c r="H20" i="242"/>
  <c r="G20" i="242"/>
  <c r="G23" i="242" s="1"/>
  <c r="F20" i="242"/>
  <c r="F23" i="242" s="1"/>
  <c r="E20" i="242"/>
  <c r="D20" i="242"/>
  <c r="K16" i="242"/>
  <c r="K23" i="242" s="1"/>
  <c r="J16" i="242"/>
  <c r="J23" i="242" s="1"/>
  <c r="I16" i="242"/>
  <c r="I23" i="242" s="1"/>
  <c r="H16" i="242"/>
  <c r="H23" i="242" s="1"/>
  <c r="G16" i="242"/>
  <c r="F16" i="242"/>
  <c r="L16" i="242"/>
  <c r="E16" i="242"/>
  <c r="D16" i="242"/>
  <c r="D23" i="242" s="1"/>
  <c r="E16" i="243"/>
  <c r="F16" i="243"/>
  <c r="L16" i="243" s="1"/>
  <c r="G16" i="243"/>
  <c r="H16" i="243"/>
  <c r="J16" i="243"/>
  <c r="D16" i="243"/>
  <c r="D45" i="243" s="1"/>
  <c r="L166" i="241"/>
  <c r="K166" i="241"/>
  <c r="J166" i="241"/>
  <c r="I166" i="241"/>
  <c r="H166" i="241"/>
  <c r="G166" i="241"/>
  <c r="F166" i="241"/>
  <c r="L161" i="241"/>
  <c r="K161" i="241"/>
  <c r="J161" i="241"/>
  <c r="I161" i="241"/>
  <c r="H161" i="241"/>
  <c r="G161" i="241"/>
  <c r="F161" i="241"/>
  <c r="K150" i="241"/>
  <c r="J150" i="241"/>
  <c r="I150" i="241"/>
  <c r="H150" i="241"/>
  <c r="G150" i="241"/>
  <c r="F150" i="241"/>
  <c r="L146" i="241"/>
  <c r="K146" i="241"/>
  <c r="J146" i="241"/>
  <c r="I146" i="241"/>
  <c r="H146" i="241"/>
  <c r="G146" i="241"/>
  <c r="F146" i="241"/>
  <c r="L142" i="241"/>
  <c r="K142" i="241"/>
  <c r="J142" i="241"/>
  <c r="I142" i="241"/>
  <c r="G142" i="241"/>
  <c r="L119" i="241"/>
  <c r="K119" i="241"/>
  <c r="J119" i="241"/>
  <c r="I119" i="241"/>
  <c r="H119" i="241"/>
  <c r="G119" i="241"/>
  <c r="F119" i="241"/>
  <c r="L107" i="241"/>
  <c r="K107" i="241"/>
  <c r="J107" i="241"/>
  <c r="I107" i="241"/>
  <c r="H107" i="241"/>
  <c r="F107" i="241"/>
  <c r="L91" i="241"/>
  <c r="K91" i="241"/>
  <c r="J91" i="241"/>
  <c r="I91" i="241"/>
  <c r="H91" i="241"/>
  <c r="G91" i="241"/>
  <c r="F91" i="241"/>
  <c r="L86" i="241"/>
  <c r="K86" i="241"/>
  <c r="J86" i="241"/>
  <c r="I86" i="241"/>
  <c r="H86" i="241"/>
  <c r="G86" i="241"/>
  <c r="F86" i="241"/>
  <c r="L54" i="241"/>
  <c r="K54" i="241"/>
  <c r="J54" i="241"/>
  <c r="I54" i="241"/>
  <c r="H54" i="241"/>
  <c r="G54" i="241"/>
  <c r="F54" i="241"/>
  <c r="F211" i="241" s="1"/>
  <c r="L48" i="241"/>
  <c r="K48" i="241"/>
  <c r="J48" i="241"/>
  <c r="I48" i="241"/>
  <c r="H48" i="241"/>
  <c r="G48" i="241"/>
  <c r="F48" i="241"/>
  <c r="L44" i="241"/>
  <c r="K44" i="241"/>
  <c r="J44" i="241"/>
  <c r="I44" i="241"/>
  <c r="H44" i="241"/>
  <c r="G44" i="241"/>
  <c r="F44" i="241"/>
  <c r="L39" i="241"/>
  <c r="L211" i="241" s="1"/>
  <c r="K39" i="241"/>
  <c r="J39" i="241"/>
  <c r="I39" i="241"/>
  <c r="G39" i="241"/>
  <c r="F39" i="241"/>
  <c r="K35" i="241"/>
  <c r="J35" i="241"/>
  <c r="I35" i="241"/>
  <c r="H35" i="241"/>
  <c r="F35" i="241"/>
  <c r="L27" i="241"/>
  <c r="K27" i="241"/>
  <c r="J27" i="241"/>
  <c r="I27" i="241"/>
  <c r="H27" i="241"/>
  <c r="H211" i="241" s="1"/>
  <c r="G27" i="241"/>
  <c r="F27" i="241"/>
  <c r="J22" i="241"/>
  <c r="I22" i="241"/>
  <c r="H22" i="241"/>
  <c r="G22" i="241"/>
  <c r="F22" i="241"/>
  <c r="L17" i="241"/>
  <c r="K17" i="241"/>
  <c r="J17" i="241"/>
  <c r="I17" i="241"/>
  <c r="I211" i="241" s="1"/>
  <c r="G17" i="241"/>
  <c r="G211" i="241" s="1"/>
  <c r="K21" i="237"/>
  <c r="M197" i="236"/>
  <c r="N91" i="236"/>
  <c r="C204" i="231"/>
  <c r="C208" i="225"/>
  <c r="F28" i="239"/>
  <c r="E28" i="239"/>
  <c r="D28" i="239"/>
  <c r="O34" i="238"/>
  <c r="N34" i="238"/>
  <c r="N35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E170" i="231"/>
  <c r="J34" i="233"/>
  <c r="J35" i="233"/>
  <c r="N34" i="233"/>
  <c r="M34" i="233"/>
  <c r="M35" i="233" s="1"/>
  <c r="H34" i="233"/>
  <c r="F34" i="233"/>
  <c r="O82" i="232"/>
  <c r="I16" i="232"/>
  <c r="G16" i="232"/>
  <c r="E101" i="231"/>
  <c r="G96" i="231"/>
  <c r="J96" i="231"/>
  <c r="K96" i="231"/>
  <c r="L96" i="231"/>
  <c r="M96" i="231"/>
  <c r="E33" i="231"/>
  <c r="F28" i="234"/>
  <c r="E28" i="234"/>
  <c r="D28" i="234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H16" i="232"/>
  <c r="G197" i="231"/>
  <c r="E197" i="231"/>
  <c r="M170" i="231"/>
  <c r="L170" i="231"/>
  <c r="K170" i="231"/>
  <c r="J170" i="231"/>
  <c r="I170" i="231"/>
  <c r="H170" i="231"/>
  <c r="G170" i="231"/>
  <c r="F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H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41" i="227"/>
  <c r="F32" i="228"/>
  <c r="E32" i="228"/>
  <c r="D32" i="228"/>
  <c r="L42" i="227"/>
  <c r="K42" i="227"/>
  <c r="I42" i="227"/>
  <c r="G42" i="227"/>
  <c r="N41" i="227"/>
  <c r="H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K110" i="225"/>
  <c r="J110" i="225"/>
  <c r="I110" i="225"/>
  <c r="H110" i="225"/>
  <c r="G110" i="225"/>
  <c r="F110" i="225"/>
  <c r="E110" i="225"/>
  <c r="L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G27" i="224"/>
  <c r="E27" i="224"/>
  <c r="H131" i="224"/>
  <c r="E131" i="224"/>
  <c r="M34" i="224"/>
  <c r="G34" i="224"/>
  <c r="E34" i="224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G131" i="224"/>
  <c r="F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K110" i="224"/>
  <c r="J110" i="224"/>
  <c r="I110" i="224"/>
  <c r="H110" i="224"/>
  <c r="G110" i="224"/>
  <c r="F110" i="224"/>
  <c r="E110" i="224"/>
  <c r="L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L34" i="224"/>
  <c r="K34" i="224"/>
  <c r="J34" i="224"/>
  <c r="I34" i="224"/>
  <c r="H34" i="224"/>
  <c r="F34" i="224"/>
  <c r="M27" i="224"/>
  <c r="L27" i="224"/>
  <c r="K27" i="224"/>
  <c r="J27" i="224"/>
  <c r="I27" i="224"/>
  <c r="H27" i="224"/>
  <c r="F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N42" i="220"/>
  <c r="H42" i="220"/>
  <c r="F42" i="220"/>
  <c r="O83" i="219"/>
  <c r="L83" i="219"/>
  <c r="K83" i="219"/>
  <c r="I83" i="219"/>
  <c r="H83" i="219"/>
  <c r="G83" i="219"/>
  <c r="O21" i="219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E18" i="213"/>
  <c r="O47" i="214"/>
  <c r="E92" i="213"/>
  <c r="L22" i="217"/>
  <c r="K22" i="217"/>
  <c r="I22" i="217"/>
  <c r="H22" i="217"/>
  <c r="G22" i="217"/>
  <c r="F20" i="217"/>
  <c r="E20" i="217"/>
  <c r="D20" i="217"/>
  <c r="D22" i="217" s="1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L22" i="212"/>
  <c r="K22" i="212"/>
  <c r="I22" i="212"/>
  <c r="H22" i="212"/>
  <c r="G22" i="212"/>
  <c r="D22" i="212"/>
  <c r="F20" i="212"/>
  <c r="E20" i="212"/>
  <c r="D20" i="212"/>
  <c r="I30" i="209"/>
  <c r="J30" i="209"/>
  <c r="K30" i="209"/>
  <c r="L30" i="209"/>
  <c r="M30" i="209"/>
  <c r="N30" i="209"/>
  <c r="O30" i="209"/>
  <c r="G30" i="209"/>
  <c r="E94" i="208"/>
  <c r="J94" i="208"/>
  <c r="H94" i="208"/>
  <c r="G94" i="208"/>
  <c r="M62" i="208"/>
  <c r="L62" i="208"/>
  <c r="K62" i="208"/>
  <c r="J62" i="208"/>
  <c r="H62" i="208"/>
  <c r="G62" i="208"/>
  <c r="E62" i="208"/>
  <c r="G99" i="208"/>
  <c r="H99" i="208"/>
  <c r="I99" i="208"/>
  <c r="J99" i="208"/>
  <c r="K99" i="208"/>
  <c r="L99" i="208"/>
  <c r="M99" i="208"/>
  <c r="E99" i="208"/>
  <c r="I127" i="208"/>
  <c r="H127" i="208"/>
  <c r="G127" i="208"/>
  <c r="E127" i="208"/>
  <c r="J105" i="208"/>
  <c r="I105" i="208"/>
  <c r="H105" i="208"/>
  <c r="G105" i="208"/>
  <c r="E105" i="208"/>
  <c r="E18" i="208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H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F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F105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I62" i="208"/>
  <c r="F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O29" i="198"/>
  <c r="N29" i="198"/>
  <c r="M29" i="198"/>
  <c r="L29" i="198"/>
  <c r="K29" i="198"/>
  <c r="J29" i="198"/>
  <c r="I29" i="198"/>
  <c r="H29" i="198"/>
  <c r="G29" i="19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F33" i="203"/>
  <c r="L34" i="203"/>
  <c r="K34" i="203"/>
  <c r="I34" i="203"/>
  <c r="G34" i="203"/>
  <c r="L33" i="203"/>
  <c r="K33" i="203"/>
  <c r="I33" i="203"/>
  <c r="G33" i="203"/>
  <c r="M23" i="206"/>
  <c r="M18" i="206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J23" i="206"/>
  <c r="I23" i="206"/>
  <c r="H23" i="206"/>
  <c r="G23" i="206"/>
  <c r="F23" i="206"/>
  <c r="E23" i="206"/>
  <c r="L21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E18" i="200"/>
  <c r="G41" i="198"/>
  <c r="E124" i="197"/>
  <c r="G62" i="197"/>
  <c r="E53" i="197"/>
  <c r="E43" i="197"/>
  <c r="E116" i="197"/>
  <c r="E34" i="197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M116" i="197"/>
  <c r="L116" i="197"/>
  <c r="K116" i="197"/>
  <c r="J116" i="197"/>
  <c r="I116" i="197"/>
  <c r="H116" i="197"/>
  <c r="G116" i="197"/>
  <c r="F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F62" i="197"/>
  <c r="E62" i="197"/>
  <c r="M53" i="197"/>
  <c r="L53" i="197"/>
  <c r="K53" i="197"/>
  <c r="J53" i="197"/>
  <c r="I53" i="197"/>
  <c r="H53" i="197"/>
  <c r="G53" i="197"/>
  <c r="F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E53" i="194"/>
  <c r="E62" i="194"/>
  <c r="E73" i="194"/>
  <c r="E78" i="194"/>
  <c r="E93" i="194"/>
  <c r="E133" i="194"/>
  <c r="G32" i="196"/>
  <c r="I32" i="196"/>
  <c r="J32" i="196"/>
  <c r="K32" i="196"/>
  <c r="L32" i="196"/>
  <c r="M32" i="196"/>
  <c r="G33" i="196"/>
  <c r="I33" i="196"/>
  <c r="K33" i="196"/>
  <c r="L33" i="196"/>
  <c r="G16" i="195"/>
  <c r="H16" i="195"/>
  <c r="I16" i="195"/>
  <c r="J16" i="195"/>
  <c r="K16" i="195"/>
  <c r="L16" i="195"/>
  <c r="M16" i="195"/>
  <c r="N16" i="195"/>
  <c r="O16" i="195"/>
  <c r="G21" i="195"/>
  <c r="H21" i="195"/>
  <c r="I21" i="195"/>
  <c r="J21" i="195"/>
  <c r="K21" i="195"/>
  <c r="L21" i="195"/>
  <c r="M21" i="195"/>
  <c r="N21" i="195"/>
  <c r="O21" i="195"/>
  <c r="G25" i="195"/>
  <c r="G30" i="195"/>
  <c r="H30" i="195"/>
  <c r="I30" i="195"/>
  <c r="J30" i="195"/>
  <c r="K30" i="195"/>
  <c r="L30" i="195"/>
  <c r="M30" i="195"/>
  <c r="N30" i="195"/>
  <c r="O30" i="195"/>
  <c r="G43" i="195"/>
  <c r="H43" i="195"/>
  <c r="I43" i="195"/>
  <c r="J43" i="195"/>
  <c r="K43" i="195"/>
  <c r="L43" i="195"/>
  <c r="M43" i="195"/>
  <c r="N43" i="195"/>
  <c r="O43" i="195"/>
  <c r="G47" i="195"/>
  <c r="H47" i="195"/>
  <c r="I47" i="195"/>
  <c r="J47" i="195"/>
  <c r="K47" i="195"/>
  <c r="L47" i="195"/>
  <c r="M47" i="195"/>
  <c r="N47" i="195"/>
  <c r="O47" i="195"/>
  <c r="G58" i="195"/>
  <c r="H58" i="195"/>
  <c r="I58" i="195"/>
  <c r="J58" i="195"/>
  <c r="K58" i="195"/>
  <c r="L58" i="195"/>
  <c r="M58" i="195"/>
  <c r="N58" i="195"/>
  <c r="O58" i="195"/>
  <c r="G62" i="195"/>
  <c r="H62" i="195"/>
  <c r="I62" i="195"/>
  <c r="J62" i="195"/>
  <c r="K62" i="195"/>
  <c r="L62" i="195"/>
  <c r="M62" i="195"/>
  <c r="N62" i="195"/>
  <c r="O62" i="195"/>
  <c r="G78" i="195"/>
  <c r="I78" i="195"/>
  <c r="J78" i="195"/>
  <c r="K78" i="195"/>
  <c r="L78" i="195"/>
  <c r="M78" i="195"/>
  <c r="N78" i="195"/>
  <c r="O78" i="195"/>
  <c r="E18" i="194"/>
  <c r="F18" i="194"/>
  <c r="G18" i="194"/>
  <c r="H18" i="194"/>
  <c r="I18" i="194"/>
  <c r="J18" i="194"/>
  <c r="K18" i="194"/>
  <c r="L18" i="194"/>
  <c r="L21" i="194"/>
  <c r="E23" i="194"/>
  <c r="F23" i="194"/>
  <c r="G23" i="194"/>
  <c r="H23" i="194"/>
  <c r="I23" i="194"/>
  <c r="J23" i="194"/>
  <c r="E28" i="194"/>
  <c r="F28" i="194"/>
  <c r="G28" i="194"/>
  <c r="H28" i="194"/>
  <c r="I28" i="194"/>
  <c r="J28" i="194"/>
  <c r="K28" i="194"/>
  <c r="L28" i="194"/>
  <c r="M28" i="194"/>
  <c r="E34" i="194"/>
  <c r="F34" i="194"/>
  <c r="G34" i="194"/>
  <c r="H34" i="194"/>
  <c r="I34" i="194"/>
  <c r="J34" i="194"/>
  <c r="K34" i="194"/>
  <c r="L34" i="194"/>
  <c r="M34" i="194"/>
  <c r="E38" i="194"/>
  <c r="F38" i="194"/>
  <c r="G38" i="194"/>
  <c r="H38" i="194"/>
  <c r="I38" i="194"/>
  <c r="J38" i="194"/>
  <c r="K38" i="194"/>
  <c r="L38" i="194"/>
  <c r="M38" i="194"/>
  <c r="E43" i="194"/>
  <c r="F43" i="194"/>
  <c r="G43" i="194"/>
  <c r="H43" i="194"/>
  <c r="I43" i="194"/>
  <c r="J43" i="194"/>
  <c r="K43" i="194"/>
  <c r="L43" i="194"/>
  <c r="M43" i="194"/>
  <c r="E47" i="194"/>
  <c r="F47" i="194"/>
  <c r="G47" i="194"/>
  <c r="H47" i="194"/>
  <c r="I47" i="194"/>
  <c r="J47" i="194"/>
  <c r="K47" i="194"/>
  <c r="L47" i="194"/>
  <c r="M47" i="194"/>
  <c r="F53" i="194"/>
  <c r="G53" i="194"/>
  <c r="H53" i="194"/>
  <c r="I53" i="194"/>
  <c r="J53" i="194"/>
  <c r="K53" i="194"/>
  <c r="L53" i="194"/>
  <c r="M53" i="194"/>
  <c r="F62" i="194"/>
  <c r="G62" i="194"/>
  <c r="H62" i="194"/>
  <c r="I62" i="194"/>
  <c r="J62" i="194"/>
  <c r="K62" i="194"/>
  <c r="L62" i="194"/>
  <c r="M62" i="194"/>
  <c r="F73" i="194"/>
  <c r="G73" i="194"/>
  <c r="H73" i="194"/>
  <c r="I73" i="194"/>
  <c r="J73" i="194"/>
  <c r="K73" i="194"/>
  <c r="L73" i="194"/>
  <c r="F78" i="194"/>
  <c r="G78" i="194"/>
  <c r="H78" i="194"/>
  <c r="I78" i="194"/>
  <c r="J78" i="194"/>
  <c r="K78" i="194"/>
  <c r="L78" i="194"/>
  <c r="M78" i="194"/>
  <c r="E84" i="194"/>
  <c r="F84" i="194"/>
  <c r="G84" i="194"/>
  <c r="H84" i="194"/>
  <c r="I84" i="194"/>
  <c r="J84" i="194"/>
  <c r="K84" i="194"/>
  <c r="L84" i="194"/>
  <c r="M84" i="194"/>
  <c r="G93" i="194"/>
  <c r="H93" i="194"/>
  <c r="I93" i="194"/>
  <c r="J93" i="194"/>
  <c r="K93" i="194"/>
  <c r="L93" i="194"/>
  <c r="M93" i="194"/>
  <c r="E97" i="194"/>
  <c r="G97" i="194"/>
  <c r="H97" i="194"/>
  <c r="I97" i="194"/>
  <c r="J97" i="194"/>
  <c r="K97" i="194"/>
  <c r="L97" i="194"/>
  <c r="M97" i="194"/>
  <c r="E103" i="194"/>
  <c r="F103" i="194"/>
  <c r="G103" i="194"/>
  <c r="H103" i="194"/>
  <c r="I103" i="194"/>
  <c r="J103" i="194"/>
  <c r="K103" i="194"/>
  <c r="L103" i="194"/>
  <c r="M103" i="194"/>
  <c r="E107" i="194"/>
  <c r="F107" i="194"/>
  <c r="G107" i="194"/>
  <c r="H107" i="194"/>
  <c r="I107" i="194"/>
  <c r="J107" i="194"/>
  <c r="K107" i="194"/>
  <c r="L107" i="194"/>
  <c r="M107" i="194"/>
  <c r="E111" i="194"/>
  <c r="F111" i="194"/>
  <c r="G111" i="194"/>
  <c r="H111" i="194"/>
  <c r="I111" i="194"/>
  <c r="J111" i="194"/>
  <c r="K111" i="194"/>
  <c r="L111" i="194"/>
  <c r="M111" i="194"/>
  <c r="E116" i="194"/>
  <c r="F116" i="194"/>
  <c r="G116" i="194"/>
  <c r="H116" i="194"/>
  <c r="I116" i="194"/>
  <c r="J116" i="194"/>
  <c r="K116" i="194"/>
  <c r="L116" i="194"/>
  <c r="M116" i="194"/>
  <c r="E125" i="194"/>
  <c r="F125" i="194"/>
  <c r="G125" i="194"/>
  <c r="H125" i="194"/>
  <c r="I125" i="194"/>
  <c r="J125" i="194"/>
  <c r="K125" i="194"/>
  <c r="L125" i="194"/>
  <c r="M125" i="194"/>
  <c r="F133" i="194"/>
  <c r="G133" i="194"/>
  <c r="H133" i="194"/>
  <c r="I133" i="194"/>
  <c r="J133" i="194"/>
  <c r="K133" i="194"/>
  <c r="L133" i="194"/>
  <c r="M133" i="194"/>
  <c r="E137" i="194"/>
  <c r="F137" i="194"/>
  <c r="G137" i="194"/>
  <c r="H137" i="194"/>
  <c r="I137" i="194"/>
  <c r="J137" i="194"/>
  <c r="K137" i="194"/>
  <c r="L137" i="194"/>
  <c r="M137" i="194"/>
  <c r="E141" i="194"/>
  <c r="F141" i="194"/>
  <c r="G141" i="194"/>
  <c r="H141" i="194"/>
  <c r="I141" i="194"/>
  <c r="J141" i="194"/>
  <c r="K141" i="194"/>
  <c r="E147" i="194"/>
  <c r="F147" i="194"/>
  <c r="G147" i="194"/>
  <c r="H147" i="194"/>
  <c r="I147" i="194"/>
  <c r="J147" i="194"/>
  <c r="K147" i="194"/>
  <c r="L147" i="194"/>
  <c r="M147" i="194"/>
  <c r="E151" i="194"/>
  <c r="F151" i="194"/>
  <c r="G151" i="194"/>
  <c r="H151" i="194"/>
  <c r="I151" i="194"/>
  <c r="J151" i="194"/>
  <c r="K151" i="194"/>
  <c r="L151" i="194"/>
  <c r="M151" i="194"/>
  <c r="E156" i="194"/>
  <c r="F156" i="194"/>
  <c r="G156" i="194"/>
  <c r="H156" i="194"/>
  <c r="I156" i="194"/>
  <c r="J156" i="194"/>
  <c r="K156" i="194"/>
  <c r="L156" i="194"/>
  <c r="M156" i="194"/>
  <c r="E162" i="194"/>
  <c r="F162" i="194"/>
  <c r="G162" i="194"/>
  <c r="H162" i="194"/>
  <c r="I162" i="194"/>
  <c r="J162" i="194"/>
  <c r="K162" i="194"/>
  <c r="L162" i="194"/>
  <c r="M162" i="194"/>
  <c r="E171" i="194"/>
  <c r="F171" i="194"/>
  <c r="G171" i="194"/>
  <c r="H171" i="194"/>
  <c r="I171" i="194"/>
  <c r="J171" i="194"/>
  <c r="K171" i="194"/>
  <c r="L171" i="194"/>
  <c r="M171" i="194"/>
  <c r="G33" i="193"/>
  <c r="I33" i="193"/>
  <c r="J33" i="193"/>
  <c r="K33" i="193"/>
  <c r="L33" i="193"/>
  <c r="M33" i="193"/>
  <c r="G34" i="193"/>
  <c r="I34" i="193"/>
  <c r="K34" i="193"/>
  <c r="L34" i="193"/>
  <c r="G16" i="192"/>
  <c r="H16" i="192"/>
  <c r="I16" i="192"/>
  <c r="J16" i="192"/>
  <c r="K16" i="192"/>
  <c r="L16" i="192"/>
  <c r="M16" i="192"/>
  <c r="N16" i="192"/>
  <c r="O16" i="192"/>
  <c r="G21" i="192"/>
  <c r="H21" i="192"/>
  <c r="I21" i="192"/>
  <c r="J21" i="192"/>
  <c r="K21" i="192"/>
  <c r="L21" i="192"/>
  <c r="M21" i="192"/>
  <c r="N21" i="192"/>
  <c r="O21" i="192"/>
  <c r="G25" i="192"/>
  <c r="G30" i="192"/>
  <c r="H30" i="192"/>
  <c r="I30" i="192"/>
  <c r="J30" i="192"/>
  <c r="K30" i="192"/>
  <c r="L30" i="192"/>
  <c r="M30" i="192"/>
  <c r="N30" i="192"/>
  <c r="O30" i="192"/>
  <c r="G43" i="192"/>
  <c r="H43" i="192"/>
  <c r="I43" i="192"/>
  <c r="J43" i="192"/>
  <c r="K43" i="192"/>
  <c r="L43" i="192"/>
  <c r="M43" i="192"/>
  <c r="N43" i="192"/>
  <c r="O43" i="192"/>
  <c r="G47" i="192"/>
  <c r="H47" i="192"/>
  <c r="I47" i="192"/>
  <c r="J47" i="192"/>
  <c r="K47" i="192"/>
  <c r="L47" i="192"/>
  <c r="M47" i="192"/>
  <c r="N47" i="192"/>
  <c r="O47" i="192"/>
  <c r="G58" i="192"/>
  <c r="H58" i="192"/>
  <c r="I58" i="192"/>
  <c r="J58" i="192"/>
  <c r="K58" i="192"/>
  <c r="L58" i="192"/>
  <c r="M58" i="192"/>
  <c r="N58" i="192"/>
  <c r="O58" i="192"/>
  <c r="G62" i="192"/>
  <c r="H62" i="192"/>
  <c r="I62" i="192"/>
  <c r="J62" i="192"/>
  <c r="K62" i="192"/>
  <c r="L62" i="192"/>
  <c r="M62" i="192"/>
  <c r="N62" i="192"/>
  <c r="O62" i="192"/>
  <c r="G78" i="192"/>
  <c r="I78" i="192"/>
  <c r="J78" i="192"/>
  <c r="K78" i="192"/>
  <c r="L78" i="192"/>
  <c r="M78" i="192"/>
  <c r="N78" i="192"/>
  <c r="O78" i="192"/>
  <c r="E18" i="191"/>
  <c r="F18" i="191"/>
  <c r="G18" i="191"/>
  <c r="H18" i="191"/>
  <c r="I18" i="191"/>
  <c r="J18" i="191"/>
  <c r="K18" i="191"/>
  <c r="L18" i="191"/>
  <c r="L21" i="191"/>
  <c r="E23" i="191"/>
  <c r="F23" i="191"/>
  <c r="G23" i="191"/>
  <c r="H23" i="191"/>
  <c r="I23" i="191"/>
  <c r="J23" i="191"/>
  <c r="E28" i="191"/>
  <c r="F28" i="191"/>
  <c r="G28" i="191"/>
  <c r="H28" i="191"/>
  <c r="I28" i="191"/>
  <c r="J28" i="191"/>
  <c r="K28" i="191"/>
  <c r="L28" i="191"/>
  <c r="M28" i="191"/>
  <c r="E34" i="191"/>
  <c r="F34" i="191"/>
  <c r="G34" i="191"/>
  <c r="H34" i="191"/>
  <c r="I34" i="191"/>
  <c r="J34" i="191"/>
  <c r="K34" i="191"/>
  <c r="L34" i="191"/>
  <c r="M34" i="191"/>
  <c r="E38" i="191"/>
  <c r="F38" i="191"/>
  <c r="G38" i="191"/>
  <c r="H38" i="191"/>
  <c r="I38" i="191"/>
  <c r="J38" i="191"/>
  <c r="K38" i="191"/>
  <c r="L38" i="191"/>
  <c r="M38" i="191"/>
  <c r="E43" i="191"/>
  <c r="F43" i="191"/>
  <c r="G43" i="191"/>
  <c r="H43" i="191"/>
  <c r="I43" i="191"/>
  <c r="J43" i="191"/>
  <c r="K43" i="191"/>
  <c r="L43" i="191"/>
  <c r="M43" i="191"/>
  <c r="E47" i="191"/>
  <c r="F47" i="191"/>
  <c r="G47" i="191"/>
  <c r="H47" i="191"/>
  <c r="I47" i="191"/>
  <c r="J47" i="191"/>
  <c r="K47" i="191"/>
  <c r="L47" i="191"/>
  <c r="M47" i="191"/>
  <c r="E53" i="191"/>
  <c r="F53" i="191"/>
  <c r="G53" i="191"/>
  <c r="H53" i="191"/>
  <c r="I53" i="191"/>
  <c r="J53" i="191"/>
  <c r="K53" i="191"/>
  <c r="L53" i="191"/>
  <c r="M53" i="191"/>
  <c r="E62" i="191"/>
  <c r="F62" i="191"/>
  <c r="G62" i="191"/>
  <c r="H62" i="191"/>
  <c r="I62" i="191"/>
  <c r="J62" i="191"/>
  <c r="K62" i="191"/>
  <c r="L62" i="191"/>
  <c r="M62" i="191"/>
  <c r="E73" i="191"/>
  <c r="F73" i="191"/>
  <c r="G73" i="191"/>
  <c r="H73" i="191"/>
  <c r="I73" i="191"/>
  <c r="J73" i="191"/>
  <c r="K73" i="191"/>
  <c r="L73" i="191"/>
  <c r="M73" i="191"/>
  <c r="E78" i="191"/>
  <c r="F78" i="191"/>
  <c r="G78" i="191"/>
  <c r="H78" i="191"/>
  <c r="I78" i="191"/>
  <c r="J78" i="191"/>
  <c r="K78" i="191"/>
  <c r="L78" i="191"/>
  <c r="M78" i="191"/>
  <c r="E84" i="191"/>
  <c r="F84" i="191"/>
  <c r="G84" i="191"/>
  <c r="H84" i="191"/>
  <c r="I84" i="191"/>
  <c r="J84" i="191"/>
  <c r="K84" i="191"/>
  <c r="L84" i="191"/>
  <c r="M84" i="191"/>
  <c r="E93" i="191"/>
  <c r="G93" i="191"/>
  <c r="H93" i="191"/>
  <c r="I93" i="191"/>
  <c r="J93" i="191"/>
  <c r="K93" i="191"/>
  <c r="L93" i="191"/>
  <c r="M93" i="191"/>
  <c r="E97" i="191"/>
  <c r="G97" i="191"/>
  <c r="H97" i="191"/>
  <c r="I97" i="191"/>
  <c r="J97" i="191"/>
  <c r="K97" i="191"/>
  <c r="L97" i="191"/>
  <c r="M97" i="191"/>
  <c r="E103" i="191"/>
  <c r="F103" i="191"/>
  <c r="G103" i="191"/>
  <c r="H103" i="191"/>
  <c r="I103" i="191"/>
  <c r="J103" i="191"/>
  <c r="K103" i="191"/>
  <c r="L103" i="191"/>
  <c r="M103" i="191"/>
  <c r="E107" i="191"/>
  <c r="F107" i="191"/>
  <c r="G107" i="191"/>
  <c r="H107" i="191"/>
  <c r="I107" i="191"/>
  <c r="J107" i="191"/>
  <c r="K107" i="191"/>
  <c r="L107" i="191"/>
  <c r="M107" i="191"/>
  <c r="E111" i="191"/>
  <c r="F111" i="191"/>
  <c r="G111" i="191"/>
  <c r="H111" i="191"/>
  <c r="I111" i="191"/>
  <c r="J111" i="191"/>
  <c r="K111" i="191"/>
  <c r="L111" i="191"/>
  <c r="M111" i="191"/>
  <c r="E116" i="191"/>
  <c r="F116" i="191"/>
  <c r="G116" i="191"/>
  <c r="H116" i="191"/>
  <c r="I116" i="191"/>
  <c r="J116" i="191"/>
  <c r="K116" i="191"/>
  <c r="L116" i="191"/>
  <c r="M116" i="191"/>
  <c r="E124" i="191"/>
  <c r="F124" i="191"/>
  <c r="G124" i="191"/>
  <c r="H124" i="191"/>
  <c r="I124" i="191"/>
  <c r="J124" i="191"/>
  <c r="K124" i="191"/>
  <c r="L124" i="191"/>
  <c r="M124" i="191"/>
  <c r="E132" i="191"/>
  <c r="F132" i="191"/>
  <c r="G132" i="191"/>
  <c r="H132" i="191"/>
  <c r="I132" i="191"/>
  <c r="J132" i="191"/>
  <c r="K132" i="191"/>
  <c r="L132" i="191"/>
  <c r="M132" i="191"/>
  <c r="E136" i="191"/>
  <c r="F136" i="191"/>
  <c r="G136" i="191"/>
  <c r="H136" i="191"/>
  <c r="I136" i="191"/>
  <c r="J136" i="191"/>
  <c r="K136" i="191"/>
  <c r="L136" i="191"/>
  <c r="M136" i="191"/>
  <c r="E140" i="191"/>
  <c r="F140" i="191"/>
  <c r="G140" i="191"/>
  <c r="H140" i="191"/>
  <c r="I140" i="191"/>
  <c r="J140" i="191"/>
  <c r="K140" i="191"/>
  <c r="E146" i="191"/>
  <c r="F146" i="191"/>
  <c r="G146" i="191"/>
  <c r="H146" i="191"/>
  <c r="I146" i="191"/>
  <c r="J146" i="191"/>
  <c r="K146" i="191"/>
  <c r="L146" i="191"/>
  <c r="M146" i="191"/>
  <c r="E150" i="191"/>
  <c r="F150" i="191"/>
  <c r="G150" i="191"/>
  <c r="H150" i="191"/>
  <c r="I150" i="191"/>
  <c r="J150" i="191"/>
  <c r="K150" i="191"/>
  <c r="L150" i="191"/>
  <c r="M150" i="191"/>
  <c r="E155" i="191"/>
  <c r="F155" i="191"/>
  <c r="G155" i="191"/>
  <c r="H155" i="191"/>
  <c r="I155" i="191"/>
  <c r="J155" i="191"/>
  <c r="K155" i="191"/>
  <c r="L155" i="191"/>
  <c r="M155" i="191"/>
  <c r="E161" i="191"/>
  <c r="F161" i="191"/>
  <c r="G161" i="191"/>
  <c r="H161" i="191"/>
  <c r="I161" i="191"/>
  <c r="J161" i="191"/>
  <c r="K161" i="191"/>
  <c r="L161" i="191"/>
  <c r="M161" i="191"/>
  <c r="E170" i="191"/>
  <c r="F170" i="191"/>
  <c r="G170" i="191"/>
  <c r="H170" i="191"/>
  <c r="I170" i="191"/>
  <c r="J170" i="191"/>
  <c r="K170" i="191"/>
  <c r="L170" i="191"/>
  <c r="M170" i="191"/>
  <c r="G33" i="190"/>
  <c r="I33" i="190"/>
  <c r="J33" i="190"/>
  <c r="K33" i="190"/>
  <c r="L33" i="190"/>
  <c r="M33" i="190"/>
  <c r="G34" i="190"/>
  <c r="I34" i="190"/>
  <c r="K34" i="190"/>
  <c r="L34" i="190"/>
  <c r="G16" i="189"/>
  <c r="H16" i="189"/>
  <c r="I16" i="189"/>
  <c r="J16" i="189"/>
  <c r="K16" i="189"/>
  <c r="L16" i="189"/>
  <c r="M16" i="189"/>
  <c r="N16" i="189"/>
  <c r="O16" i="189"/>
  <c r="G21" i="189"/>
  <c r="H21" i="189"/>
  <c r="I21" i="189"/>
  <c r="J21" i="189"/>
  <c r="K21" i="189"/>
  <c r="L21" i="189"/>
  <c r="M21" i="189"/>
  <c r="N21" i="189"/>
  <c r="O21" i="189"/>
  <c r="G25" i="189"/>
  <c r="G30" i="189"/>
  <c r="H30" i="189"/>
  <c r="I30" i="189"/>
  <c r="J30" i="189"/>
  <c r="K30" i="189"/>
  <c r="L30" i="189"/>
  <c r="M30" i="189"/>
  <c r="N30" i="189"/>
  <c r="O30" i="189"/>
  <c r="G43" i="189"/>
  <c r="H43" i="189"/>
  <c r="I43" i="189"/>
  <c r="J43" i="189"/>
  <c r="K43" i="189"/>
  <c r="L43" i="189"/>
  <c r="M43" i="189"/>
  <c r="N43" i="189"/>
  <c r="O43" i="189"/>
  <c r="G47" i="189"/>
  <c r="H47" i="189"/>
  <c r="I47" i="189"/>
  <c r="J47" i="189"/>
  <c r="K47" i="189"/>
  <c r="L47" i="189"/>
  <c r="M47" i="189"/>
  <c r="N47" i="189"/>
  <c r="O47" i="189"/>
  <c r="G58" i="189"/>
  <c r="H58" i="189"/>
  <c r="I58" i="189"/>
  <c r="J58" i="189"/>
  <c r="K58" i="189"/>
  <c r="L58" i="189"/>
  <c r="M58" i="189"/>
  <c r="N58" i="189"/>
  <c r="O58" i="189"/>
  <c r="G62" i="189"/>
  <c r="H62" i="189"/>
  <c r="I62" i="189"/>
  <c r="J62" i="189"/>
  <c r="K62" i="189"/>
  <c r="L62" i="189"/>
  <c r="M62" i="189"/>
  <c r="N62" i="189"/>
  <c r="O62" i="189"/>
  <c r="G78" i="189"/>
  <c r="I78" i="189"/>
  <c r="J78" i="189"/>
  <c r="K78" i="189"/>
  <c r="L78" i="189"/>
  <c r="M78" i="189"/>
  <c r="N78" i="189"/>
  <c r="O78" i="189"/>
  <c r="E18" i="188"/>
  <c r="F18" i="188"/>
  <c r="G18" i="188"/>
  <c r="H18" i="188"/>
  <c r="I18" i="188"/>
  <c r="J18" i="188"/>
  <c r="K18" i="188"/>
  <c r="L18" i="188"/>
  <c r="L21" i="188"/>
  <c r="E23" i="188"/>
  <c r="F23" i="188"/>
  <c r="G23" i="188"/>
  <c r="H23" i="188"/>
  <c r="I23" i="188"/>
  <c r="J23" i="188"/>
  <c r="E28" i="188"/>
  <c r="F28" i="188"/>
  <c r="G28" i="188"/>
  <c r="H28" i="188"/>
  <c r="I28" i="188"/>
  <c r="J28" i="188"/>
  <c r="K28" i="188"/>
  <c r="L28" i="188"/>
  <c r="M28" i="188"/>
  <c r="E34" i="188"/>
  <c r="F34" i="188"/>
  <c r="G34" i="188"/>
  <c r="H34" i="188"/>
  <c r="I34" i="188"/>
  <c r="J34" i="188"/>
  <c r="K34" i="188"/>
  <c r="L34" i="188"/>
  <c r="M34" i="188"/>
  <c r="E38" i="188"/>
  <c r="F38" i="188"/>
  <c r="G38" i="188"/>
  <c r="H38" i="188"/>
  <c r="I38" i="188"/>
  <c r="J38" i="188"/>
  <c r="K38" i="188"/>
  <c r="L38" i="188"/>
  <c r="M38" i="188"/>
  <c r="E43" i="188"/>
  <c r="F43" i="188"/>
  <c r="G43" i="188"/>
  <c r="H43" i="188"/>
  <c r="I43" i="188"/>
  <c r="J43" i="188"/>
  <c r="K43" i="188"/>
  <c r="L43" i="188"/>
  <c r="M43" i="188"/>
  <c r="E47" i="188"/>
  <c r="F47" i="188"/>
  <c r="G47" i="188"/>
  <c r="H47" i="188"/>
  <c r="I47" i="188"/>
  <c r="J47" i="188"/>
  <c r="K47" i="188"/>
  <c r="L47" i="188"/>
  <c r="M47" i="188"/>
  <c r="E53" i="188"/>
  <c r="F53" i="188"/>
  <c r="G53" i="188"/>
  <c r="H53" i="188"/>
  <c r="I53" i="188"/>
  <c r="J53" i="188"/>
  <c r="K53" i="188"/>
  <c r="L53" i="188"/>
  <c r="M53" i="188"/>
  <c r="E62" i="188"/>
  <c r="F62" i="188"/>
  <c r="G62" i="188"/>
  <c r="H62" i="188"/>
  <c r="I62" i="188"/>
  <c r="J62" i="188"/>
  <c r="K62" i="188"/>
  <c r="L62" i="188"/>
  <c r="M62" i="188"/>
  <c r="E73" i="188"/>
  <c r="F73" i="188"/>
  <c r="G73" i="188"/>
  <c r="H73" i="188"/>
  <c r="I73" i="188"/>
  <c r="J73" i="188"/>
  <c r="K73" i="188"/>
  <c r="L73" i="188"/>
  <c r="M73" i="188"/>
  <c r="E78" i="188"/>
  <c r="F78" i="188"/>
  <c r="G78" i="188"/>
  <c r="H78" i="188"/>
  <c r="I78" i="188"/>
  <c r="J78" i="188"/>
  <c r="K78" i="188"/>
  <c r="L78" i="188"/>
  <c r="M78" i="188"/>
  <c r="E83" i="188"/>
  <c r="F83" i="188"/>
  <c r="G83" i="188"/>
  <c r="H83" i="188"/>
  <c r="I83" i="188"/>
  <c r="J83" i="188"/>
  <c r="K83" i="188"/>
  <c r="L83" i="188"/>
  <c r="M83" i="188"/>
  <c r="E92" i="188"/>
  <c r="G92" i="188"/>
  <c r="H92" i="188"/>
  <c r="I92" i="188"/>
  <c r="J92" i="188"/>
  <c r="K92" i="188"/>
  <c r="L92" i="188"/>
  <c r="M92" i="188"/>
  <c r="E96" i="188"/>
  <c r="G96" i="188"/>
  <c r="H96" i="188"/>
  <c r="I96" i="188"/>
  <c r="J96" i="188"/>
  <c r="K96" i="188"/>
  <c r="L96" i="188"/>
  <c r="M96" i="188"/>
  <c r="E102" i="188"/>
  <c r="F102" i="188"/>
  <c r="G102" i="188"/>
  <c r="H102" i="188"/>
  <c r="I102" i="188"/>
  <c r="J102" i="188"/>
  <c r="K102" i="188"/>
  <c r="L102" i="188"/>
  <c r="M102" i="188"/>
  <c r="E106" i="188"/>
  <c r="F106" i="188"/>
  <c r="G106" i="188"/>
  <c r="H106" i="188"/>
  <c r="I106" i="188"/>
  <c r="J106" i="188"/>
  <c r="K106" i="188"/>
  <c r="L106" i="188"/>
  <c r="M106" i="188"/>
  <c r="E110" i="188"/>
  <c r="F110" i="188"/>
  <c r="G110" i="188"/>
  <c r="H110" i="188"/>
  <c r="I110" i="188"/>
  <c r="J110" i="188"/>
  <c r="K110" i="188"/>
  <c r="L110" i="188"/>
  <c r="M110" i="188"/>
  <c r="E115" i="188"/>
  <c r="F115" i="188"/>
  <c r="G115" i="188"/>
  <c r="H115" i="188"/>
  <c r="I115" i="188"/>
  <c r="J115" i="188"/>
  <c r="K115" i="188"/>
  <c r="L115" i="188"/>
  <c r="M115" i="188"/>
  <c r="E123" i="188"/>
  <c r="F123" i="188"/>
  <c r="G123" i="188"/>
  <c r="H123" i="188"/>
  <c r="I123" i="188"/>
  <c r="J123" i="188"/>
  <c r="K123" i="188"/>
  <c r="L123" i="188"/>
  <c r="M123" i="188"/>
  <c r="E131" i="188"/>
  <c r="F131" i="188"/>
  <c r="G131" i="188"/>
  <c r="H131" i="188"/>
  <c r="I131" i="188"/>
  <c r="J131" i="188"/>
  <c r="K131" i="188"/>
  <c r="L131" i="188"/>
  <c r="M131" i="188"/>
  <c r="E135" i="188"/>
  <c r="F135" i="188"/>
  <c r="G135" i="188"/>
  <c r="H135" i="188"/>
  <c r="I135" i="188"/>
  <c r="J135" i="188"/>
  <c r="K135" i="188"/>
  <c r="L135" i="188"/>
  <c r="M135" i="188"/>
  <c r="E139" i="188"/>
  <c r="F139" i="188"/>
  <c r="G139" i="188"/>
  <c r="H139" i="188"/>
  <c r="I139" i="188"/>
  <c r="J139" i="188"/>
  <c r="K139" i="188"/>
  <c r="E145" i="188"/>
  <c r="F145" i="188"/>
  <c r="G145" i="188"/>
  <c r="H145" i="188"/>
  <c r="I145" i="188"/>
  <c r="J145" i="188"/>
  <c r="K145" i="188"/>
  <c r="L145" i="188"/>
  <c r="M145" i="188"/>
  <c r="E149" i="188"/>
  <c r="F149" i="188"/>
  <c r="G149" i="188"/>
  <c r="H149" i="188"/>
  <c r="I149" i="188"/>
  <c r="J149" i="188"/>
  <c r="K149" i="188"/>
  <c r="L149" i="188"/>
  <c r="M149" i="188"/>
  <c r="E154" i="188"/>
  <c r="F154" i="188"/>
  <c r="G154" i="188"/>
  <c r="H154" i="188"/>
  <c r="I154" i="188"/>
  <c r="J154" i="188"/>
  <c r="K154" i="188"/>
  <c r="L154" i="188"/>
  <c r="M154" i="188"/>
  <c r="E160" i="188"/>
  <c r="F160" i="188"/>
  <c r="G160" i="188"/>
  <c r="H160" i="188"/>
  <c r="I160" i="188"/>
  <c r="J160" i="188"/>
  <c r="K160" i="188"/>
  <c r="L160" i="188"/>
  <c r="M160" i="188"/>
  <c r="E169" i="188"/>
  <c r="F169" i="188"/>
  <c r="G169" i="188"/>
  <c r="H169" i="188"/>
  <c r="I169" i="188"/>
  <c r="J169" i="188"/>
  <c r="K169" i="188"/>
  <c r="L169" i="188"/>
  <c r="M169" i="188"/>
  <c r="G33" i="187"/>
  <c r="I33" i="187"/>
  <c r="J33" i="187"/>
  <c r="K33" i="187"/>
  <c r="L33" i="187"/>
  <c r="M33" i="187"/>
  <c r="G34" i="187"/>
  <c r="I34" i="187"/>
  <c r="K34" i="187"/>
  <c r="L34" i="187"/>
  <c r="G16" i="186"/>
  <c r="H16" i="186"/>
  <c r="I16" i="186"/>
  <c r="J16" i="186"/>
  <c r="K16" i="186"/>
  <c r="L16" i="186"/>
  <c r="M16" i="186"/>
  <c r="N16" i="186"/>
  <c r="O16" i="186"/>
  <c r="G21" i="186"/>
  <c r="H21" i="186"/>
  <c r="I21" i="186"/>
  <c r="J21" i="186"/>
  <c r="K21" i="186"/>
  <c r="L21" i="186"/>
  <c r="M21" i="186"/>
  <c r="N21" i="186"/>
  <c r="O21" i="186"/>
  <c r="G25" i="186"/>
  <c r="G29" i="186"/>
  <c r="H29" i="186"/>
  <c r="I29" i="186"/>
  <c r="J29" i="186"/>
  <c r="K29" i="186"/>
  <c r="L29" i="186"/>
  <c r="M29" i="186"/>
  <c r="N29" i="186"/>
  <c r="O29" i="186"/>
  <c r="G42" i="186"/>
  <c r="H42" i="186"/>
  <c r="I42" i="186"/>
  <c r="J42" i="186"/>
  <c r="K42" i="186"/>
  <c r="L42" i="186"/>
  <c r="M42" i="186"/>
  <c r="N42" i="186"/>
  <c r="O42" i="186"/>
  <c r="G46" i="186"/>
  <c r="H46" i="186"/>
  <c r="I46" i="186"/>
  <c r="J46" i="186"/>
  <c r="K46" i="186"/>
  <c r="L46" i="186"/>
  <c r="M46" i="186"/>
  <c r="N46" i="186"/>
  <c r="O46" i="186"/>
  <c r="G57" i="186"/>
  <c r="H57" i="186"/>
  <c r="I57" i="186"/>
  <c r="J57" i="186"/>
  <c r="K57" i="186"/>
  <c r="L57" i="186"/>
  <c r="M57" i="186"/>
  <c r="N57" i="186"/>
  <c r="O57" i="186"/>
  <c r="G61" i="186"/>
  <c r="H61" i="186"/>
  <c r="I61" i="186"/>
  <c r="J61" i="186"/>
  <c r="K61" i="186"/>
  <c r="L61" i="186"/>
  <c r="M61" i="186"/>
  <c r="N61" i="186"/>
  <c r="O61" i="186"/>
  <c r="G77" i="186"/>
  <c r="I77" i="186"/>
  <c r="J77" i="186"/>
  <c r="K77" i="186"/>
  <c r="L77" i="186"/>
  <c r="M77" i="186"/>
  <c r="N77" i="186"/>
  <c r="O77" i="186"/>
  <c r="E19" i="185"/>
  <c r="F19" i="185"/>
  <c r="G19" i="185"/>
  <c r="H19" i="185"/>
  <c r="I19" i="185"/>
  <c r="J19" i="185"/>
  <c r="K19" i="185"/>
  <c r="L19" i="185"/>
  <c r="L22" i="185"/>
  <c r="E24" i="185"/>
  <c r="F24" i="185"/>
  <c r="G24" i="185"/>
  <c r="H24" i="185"/>
  <c r="I24" i="185"/>
  <c r="J24" i="185"/>
  <c r="E29" i="185"/>
  <c r="F29" i="185"/>
  <c r="G29" i="185"/>
  <c r="H29" i="185"/>
  <c r="I29" i="185"/>
  <c r="J29" i="185"/>
  <c r="K29" i="185"/>
  <c r="L29" i="185"/>
  <c r="M29" i="185"/>
  <c r="E35" i="185"/>
  <c r="F35" i="185"/>
  <c r="G35" i="185"/>
  <c r="H35" i="185"/>
  <c r="I35" i="185"/>
  <c r="J35" i="185"/>
  <c r="K35" i="185"/>
  <c r="L35" i="185"/>
  <c r="M35" i="185"/>
  <c r="E39" i="185"/>
  <c r="F39" i="185"/>
  <c r="G39" i="185"/>
  <c r="H39" i="185"/>
  <c r="I39" i="185"/>
  <c r="J39" i="185"/>
  <c r="K39" i="185"/>
  <c r="L39" i="185"/>
  <c r="M39" i="185"/>
  <c r="E44" i="185"/>
  <c r="F44" i="185"/>
  <c r="G44" i="185"/>
  <c r="H44" i="185"/>
  <c r="I44" i="185"/>
  <c r="J44" i="185"/>
  <c r="K44" i="185"/>
  <c r="L44" i="185"/>
  <c r="M44" i="185"/>
  <c r="E48" i="185"/>
  <c r="F48" i="185"/>
  <c r="G48" i="185"/>
  <c r="H48" i="185"/>
  <c r="I48" i="185"/>
  <c r="J48" i="185"/>
  <c r="K48" i="185"/>
  <c r="L48" i="185"/>
  <c r="M48" i="185"/>
  <c r="E54" i="185"/>
  <c r="F54" i="185"/>
  <c r="G54" i="185"/>
  <c r="H54" i="185"/>
  <c r="I54" i="185"/>
  <c r="J54" i="185"/>
  <c r="K54" i="185"/>
  <c r="L54" i="185"/>
  <c r="M54" i="185"/>
  <c r="E63" i="185"/>
  <c r="F63" i="185"/>
  <c r="G63" i="185"/>
  <c r="H63" i="185"/>
  <c r="I63" i="185"/>
  <c r="J63" i="185"/>
  <c r="K63" i="185"/>
  <c r="L63" i="185"/>
  <c r="M63" i="185"/>
  <c r="E74" i="185"/>
  <c r="F74" i="185"/>
  <c r="G74" i="185"/>
  <c r="H74" i="185"/>
  <c r="I74" i="185"/>
  <c r="J74" i="185"/>
  <c r="K74" i="185"/>
  <c r="L74" i="185"/>
  <c r="M74" i="185"/>
  <c r="E79" i="185"/>
  <c r="F79" i="185"/>
  <c r="G79" i="185"/>
  <c r="H79" i="185"/>
  <c r="I79" i="185"/>
  <c r="J79" i="185"/>
  <c r="K79" i="185"/>
  <c r="L79" i="185"/>
  <c r="M79" i="185"/>
  <c r="E84" i="185"/>
  <c r="F84" i="185"/>
  <c r="G84" i="185"/>
  <c r="H84" i="185"/>
  <c r="I84" i="185"/>
  <c r="J84" i="185"/>
  <c r="K84" i="185"/>
  <c r="L84" i="185"/>
  <c r="M84" i="185"/>
  <c r="E93" i="185"/>
  <c r="G93" i="185"/>
  <c r="H93" i="185"/>
  <c r="I93" i="185"/>
  <c r="J93" i="185"/>
  <c r="K93" i="185"/>
  <c r="L93" i="185"/>
  <c r="M93" i="185"/>
  <c r="E97" i="185"/>
  <c r="G97" i="185"/>
  <c r="H97" i="185"/>
  <c r="I97" i="185"/>
  <c r="J97" i="185"/>
  <c r="K97" i="185"/>
  <c r="L97" i="185"/>
  <c r="M97" i="185"/>
  <c r="E103" i="185"/>
  <c r="F103" i="185"/>
  <c r="G103" i="185"/>
  <c r="H103" i="185"/>
  <c r="I103" i="185"/>
  <c r="J103" i="185"/>
  <c r="K103" i="185"/>
  <c r="L103" i="185"/>
  <c r="M103" i="185"/>
  <c r="E107" i="185"/>
  <c r="F107" i="185"/>
  <c r="G107" i="185"/>
  <c r="H107" i="185"/>
  <c r="I107" i="185"/>
  <c r="J107" i="185"/>
  <c r="K107" i="185"/>
  <c r="L107" i="185"/>
  <c r="M107" i="185"/>
  <c r="E111" i="185"/>
  <c r="F111" i="185"/>
  <c r="G111" i="185"/>
  <c r="H111" i="185"/>
  <c r="I111" i="185"/>
  <c r="J111" i="185"/>
  <c r="K111" i="185"/>
  <c r="L111" i="185"/>
  <c r="M111" i="185"/>
  <c r="E116" i="185"/>
  <c r="F116" i="185"/>
  <c r="G116" i="185"/>
  <c r="H116" i="185"/>
  <c r="I116" i="185"/>
  <c r="J116" i="185"/>
  <c r="K116" i="185"/>
  <c r="L116" i="185"/>
  <c r="M116" i="185"/>
  <c r="E124" i="185"/>
  <c r="F124" i="185"/>
  <c r="G124" i="185"/>
  <c r="H124" i="185"/>
  <c r="I124" i="185"/>
  <c r="J124" i="185"/>
  <c r="K124" i="185"/>
  <c r="L124" i="185"/>
  <c r="M124" i="185"/>
  <c r="E132" i="185"/>
  <c r="F132" i="185"/>
  <c r="G132" i="185"/>
  <c r="H132" i="185"/>
  <c r="I132" i="185"/>
  <c r="J132" i="185"/>
  <c r="K132" i="185"/>
  <c r="L132" i="185"/>
  <c r="M132" i="185"/>
  <c r="E136" i="185"/>
  <c r="F136" i="185"/>
  <c r="G136" i="185"/>
  <c r="H136" i="185"/>
  <c r="I136" i="185"/>
  <c r="J136" i="185"/>
  <c r="K136" i="185"/>
  <c r="L136" i="185"/>
  <c r="M136" i="185"/>
  <c r="E140" i="185"/>
  <c r="F140" i="185"/>
  <c r="G140" i="185"/>
  <c r="H140" i="185"/>
  <c r="I140" i="185"/>
  <c r="J140" i="185"/>
  <c r="K140" i="185"/>
  <c r="E146" i="185"/>
  <c r="F146" i="185"/>
  <c r="G146" i="185"/>
  <c r="H146" i="185"/>
  <c r="I146" i="185"/>
  <c r="J146" i="185"/>
  <c r="K146" i="185"/>
  <c r="L146" i="185"/>
  <c r="M146" i="185"/>
  <c r="E150" i="185"/>
  <c r="F150" i="185"/>
  <c r="G150" i="185"/>
  <c r="H150" i="185"/>
  <c r="I150" i="185"/>
  <c r="J150" i="185"/>
  <c r="K150" i="185"/>
  <c r="L150" i="185"/>
  <c r="M150" i="185"/>
  <c r="E155" i="185"/>
  <c r="F155" i="185"/>
  <c r="G155" i="185"/>
  <c r="H155" i="185"/>
  <c r="I155" i="185"/>
  <c r="J155" i="185"/>
  <c r="K155" i="185"/>
  <c r="L155" i="185"/>
  <c r="M155" i="185"/>
  <c r="E161" i="185"/>
  <c r="F161" i="185"/>
  <c r="G161" i="185"/>
  <c r="H161" i="185"/>
  <c r="I161" i="185"/>
  <c r="J161" i="185"/>
  <c r="K161" i="185"/>
  <c r="L161" i="185"/>
  <c r="M161" i="185"/>
  <c r="E170" i="185"/>
  <c r="F170" i="185"/>
  <c r="G170" i="185"/>
  <c r="H170" i="185"/>
  <c r="I170" i="185"/>
  <c r="J170" i="185"/>
  <c r="K170" i="185"/>
  <c r="L170" i="185"/>
  <c r="M170" i="185"/>
  <c r="H193" i="185"/>
  <c r="G33" i="184"/>
  <c r="I33" i="184"/>
  <c r="J33" i="184"/>
  <c r="K33" i="184"/>
  <c r="L33" i="184"/>
  <c r="M33" i="184"/>
  <c r="G34" i="184"/>
  <c r="I34" i="184"/>
  <c r="K34" i="184"/>
  <c r="L34" i="184"/>
  <c r="G16" i="183"/>
  <c r="H16" i="183"/>
  <c r="I16" i="183"/>
  <c r="J16" i="183"/>
  <c r="K16" i="183"/>
  <c r="L16" i="183"/>
  <c r="M16" i="183"/>
  <c r="N16" i="183"/>
  <c r="O16" i="183"/>
  <c r="G21" i="183"/>
  <c r="H21" i="183"/>
  <c r="I21" i="183"/>
  <c r="J21" i="183"/>
  <c r="K21" i="183"/>
  <c r="L21" i="183"/>
  <c r="M21" i="183"/>
  <c r="N21" i="183"/>
  <c r="O21" i="183"/>
  <c r="G25" i="183"/>
  <c r="G29" i="183"/>
  <c r="H29" i="183"/>
  <c r="I29" i="183"/>
  <c r="J29" i="183"/>
  <c r="K29" i="183"/>
  <c r="L29" i="183"/>
  <c r="M29" i="183"/>
  <c r="N29" i="183"/>
  <c r="O29" i="183"/>
  <c r="G42" i="183"/>
  <c r="H42" i="183"/>
  <c r="I42" i="183"/>
  <c r="J42" i="183"/>
  <c r="K42" i="183"/>
  <c r="L42" i="183"/>
  <c r="M42" i="183"/>
  <c r="N42" i="183"/>
  <c r="O42" i="183"/>
  <c r="G46" i="183"/>
  <c r="H46" i="183"/>
  <c r="I46" i="183"/>
  <c r="J46" i="183"/>
  <c r="K46" i="183"/>
  <c r="L46" i="183"/>
  <c r="M46" i="183"/>
  <c r="N46" i="183"/>
  <c r="O46" i="183"/>
  <c r="G50" i="183"/>
  <c r="H50" i="183"/>
  <c r="I50" i="183"/>
  <c r="J50" i="183"/>
  <c r="K50" i="183"/>
  <c r="L50" i="183"/>
  <c r="M50" i="183"/>
  <c r="N50" i="183"/>
  <c r="O50" i="183"/>
  <c r="G60" i="183"/>
  <c r="H60" i="183"/>
  <c r="I60" i="183"/>
  <c r="J60" i="183"/>
  <c r="K60" i="183"/>
  <c r="L60" i="183"/>
  <c r="M60" i="183"/>
  <c r="N60" i="183"/>
  <c r="O60" i="183"/>
  <c r="G64" i="183"/>
  <c r="H64" i="183"/>
  <c r="I64" i="183"/>
  <c r="J64" i="183"/>
  <c r="K64" i="183"/>
  <c r="L64" i="183"/>
  <c r="M64" i="183"/>
  <c r="N64" i="183"/>
  <c r="O64" i="183"/>
  <c r="G80" i="183"/>
  <c r="I80" i="183"/>
  <c r="J80" i="183"/>
  <c r="K80" i="183"/>
  <c r="L80" i="183"/>
  <c r="M80" i="183"/>
  <c r="N80" i="183"/>
  <c r="O80" i="183"/>
  <c r="E19" i="182"/>
  <c r="F19" i="182"/>
  <c r="G19" i="182"/>
  <c r="H19" i="182"/>
  <c r="I19" i="182"/>
  <c r="J19" i="182"/>
  <c r="K19" i="182"/>
  <c r="L19" i="182"/>
  <c r="M19" i="182"/>
  <c r="L22" i="182"/>
  <c r="E24" i="182"/>
  <c r="F24" i="182"/>
  <c r="G24" i="182"/>
  <c r="H24" i="182"/>
  <c r="I24" i="182"/>
  <c r="J24" i="182"/>
  <c r="E29" i="182"/>
  <c r="F29" i="182"/>
  <c r="G29" i="182"/>
  <c r="H29" i="182"/>
  <c r="I29" i="182"/>
  <c r="J29" i="182"/>
  <c r="K29" i="182"/>
  <c r="L29" i="182"/>
  <c r="M29" i="182"/>
  <c r="E35" i="182"/>
  <c r="F35" i="182"/>
  <c r="G35" i="182"/>
  <c r="H35" i="182"/>
  <c r="I35" i="182"/>
  <c r="J35" i="182"/>
  <c r="K35" i="182"/>
  <c r="L35" i="182"/>
  <c r="M35" i="182"/>
  <c r="E39" i="182"/>
  <c r="F39" i="182"/>
  <c r="G39" i="182"/>
  <c r="H39" i="182"/>
  <c r="I39" i="182"/>
  <c r="J39" i="182"/>
  <c r="K39" i="182"/>
  <c r="L39" i="182"/>
  <c r="M39" i="182"/>
  <c r="E44" i="182"/>
  <c r="F44" i="182"/>
  <c r="G44" i="182"/>
  <c r="H44" i="182"/>
  <c r="I44" i="182"/>
  <c r="J44" i="182"/>
  <c r="K44" i="182"/>
  <c r="L44" i="182"/>
  <c r="M44" i="182"/>
  <c r="E48" i="182"/>
  <c r="F48" i="182"/>
  <c r="G48" i="182"/>
  <c r="H48" i="182"/>
  <c r="I48" i="182"/>
  <c r="J48" i="182"/>
  <c r="K48" i="182"/>
  <c r="L48" i="182"/>
  <c r="M48" i="182"/>
  <c r="E54" i="182"/>
  <c r="F54" i="182"/>
  <c r="G54" i="182"/>
  <c r="H54" i="182"/>
  <c r="I54" i="182"/>
  <c r="J54" i="182"/>
  <c r="K54" i="182"/>
  <c r="L54" i="182"/>
  <c r="M54" i="182"/>
  <c r="E63" i="182"/>
  <c r="F63" i="182"/>
  <c r="G63" i="182"/>
  <c r="H63" i="182"/>
  <c r="I63" i="182"/>
  <c r="J63" i="182"/>
  <c r="K63" i="182"/>
  <c r="L63" i="182"/>
  <c r="M63" i="182"/>
  <c r="E74" i="182"/>
  <c r="F74" i="182"/>
  <c r="G74" i="182"/>
  <c r="H74" i="182"/>
  <c r="I74" i="182"/>
  <c r="J74" i="182"/>
  <c r="K74" i="182"/>
  <c r="L74" i="182"/>
  <c r="M74" i="182"/>
  <c r="E79" i="182"/>
  <c r="F79" i="182"/>
  <c r="G79" i="182"/>
  <c r="H79" i="182"/>
  <c r="I79" i="182"/>
  <c r="J79" i="182"/>
  <c r="K79" i="182"/>
  <c r="L79" i="182"/>
  <c r="M79" i="182"/>
  <c r="E84" i="182"/>
  <c r="F84" i="182"/>
  <c r="G84" i="182"/>
  <c r="H84" i="182"/>
  <c r="I84" i="182"/>
  <c r="J84" i="182"/>
  <c r="K84" i="182"/>
  <c r="L84" i="182"/>
  <c r="M84" i="182"/>
  <c r="E93" i="182"/>
  <c r="G93" i="182"/>
  <c r="H93" i="182"/>
  <c r="I93" i="182"/>
  <c r="J93" i="182"/>
  <c r="K93" i="182"/>
  <c r="L93" i="182"/>
  <c r="M93" i="182"/>
  <c r="E97" i="182"/>
  <c r="G97" i="182"/>
  <c r="H97" i="182"/>
  <c r="I97" i="182"/>
  <c r="J97" i="182"/>
  <c r="K97" i="182"/>
  <c r="L97" i="182"/>
  <c r="M97" i="182"/>
  <c r="E103" i="182"/>
  <c r="F103" i="182"/>
  <c r="G103" i="182"/>
  <c r="H103" i="182"/>
  <c r="I103" i="182"/>
  <c r="J103" i="182"/>
  <c r="K103" i="182"/>
  <c r="L103" i="182"/>
  <c r="M103" i="182"/>
  <c r="E107" i="182"/>
  <c r="F107" i="182"/>
  <c r="G107" i="182"/>
  <c r="H107" i="182"/>
  <c r="I107" i="182"/>
  <c r="J107" i="182"/>
  <c r="K107" i="182"/>
  <c r="L107" i="182"/>
  <c r="M107" i="182"/>
  <c r="E111" i="182"/>
  <c r="F111" i="182"/>
  <c r="G111" i="182"/>
  <c r="H111" i="182"/>
  <c r="I111" i="182"/>
  <c r="J111" i="182"/>
  <c r="K111" i="182"/>
  <c r="L111" i="182"/>
  <c r="M111" i="182"/>
  <c r="E116" i="182"/>
  <c r="F116" i="182"/>
  <c r="G116" i="182"/>
  <c r="H116" i="182"/>
  <c r="I116" i="182"/>
  <c r="J116" i="182"/>
  <c r="K116" i="182"/>
  <c r="L116" i="182"/>
  <c r="M116" i="182"/>
  <c r="E124" i="182"/>
  <c r="F124" i="182"/>
  <c r="G124" i="182"/>
  <c r="H124" i="182"/>
  <c r="I124" i="182"/>
  <c r="J124" i="182"/>
  <c r="K124" i="182"/>
  <c r="L124" i="182"/>
  <c r="M124" i="182"/>
  <c r="E132" i="182"/>
  <c r="F132" i="182"/>
  <c r="G132" i="182"/>
  <c r="H132" i="182"/>
  <c r="I132" i="182"/>
  <c r="J132" i="182"/>
  <c r="K132" i="182"/>
  <c r="L132" i="182"/>
  <c r="M132" i="182"/>
  <c r="E136" i="182"/>
  <c r="F136" i="182"/>
  <c r="G136" i="182"/>
  <c r="H136" i="182"/>
  <c r="I136" i="182"/>
  <c r="J136" i="182"/>
  <c r="K136" i="182"/>
  <c r="L136" i="182"/>
  <c r="M136" i="182"/>
  <c r="E140" i="182"/>
  <c r="F140" i="182"/>
  <c r="G140" i="182"/>
  <c r="H140" i="182"/>
  <c r="I140" i="182"/>
  <c r="J140" i="182"/>
  <c r="K140" i="182"/>
  <c r="E146" i="182"/>
  <c r="F146" i="182"/>
  <c r="G146" i="182"/>
  <c r="H146" i="182"/>
  <c r="I146" i="182"/>
  <c r="J146" i="182"/>
  <c r="K146" i="182"/>
  <c r="L146" i="182"/>
  <c r="M146" i="182"/>
  <c r="E150" i="182"/>
  <c r="F150" i="182"/>
  <c r="G150" i="182"/>
  <c r="H150" i="182"/>
  <c r="I150" i="182"/>
  <c r="J150" i="182"/>
  <c r="K150" i="182"/>
  <c r="L150" i="182"/>
  <c r="M150" i="182"/>
  <c r="E155" i="182"/>
  <c r="F155" i="182"/>
  <c r="G155" i="182"/>
  <c r="H155" i="182"/>
  <c r="I155" i="182"/>
  <c r="J155" i="182"/>
  <c r="K155" i="182"/>
  <c r="L155" i="182"/>
  <c r="M155" i="182"/>
  <c r="E161" i="182"/>
  <c r="F161" i="182"/>
  <c r="G161" i="182"/>
  <c r="H161" i="182"/>
  <c r="I161" i="182"/>
  <c r="J161" i="182"/>
  <c r="K161" i="182"/>
  <c r="L161" i="182"/>
  <c r="M161" i="182"/>
  <c r="E170" i="182"/>
  <c r="F170" i="182"/>
  <c r="G170" i="182"/>
  <c r="H170" i="182"/>
  <c r="I170" i="182"/>
  <c r="J170" i="182"/>
  <c r="K170" i="182"/>
  <c r="L170" i="182"/>
  <c r="M170" i="182"/>
  <c r="H193" i="182"/>
  <c r="G33" i="181"/>
  <c r="I33" i="181"/>
  <c r="J33" i="181"/>
  <c r="K33" i="181"/>
  <c r="L33" i="181"/>
  <c r="M33" i="181"/>
  <c r="G34" i="181"/>
  <c r="I34" i="181"/>
  <c r="K34" i="181"/>
  <c r="L34" i="181"/>
  <c r="G16" i="179"/>
  <c r="H16" i="179"/>
  <c r="I16" i="179"/>
  <c r="J16" i="179"/>
  <c r="K16" i="179"/>
  <c r="L16" i="179"/>
  <c r="M16" i="179"/>
  <c r="N16" i="179"/>
  <c r="O16" i="179"/>
  <c r="G21" i="179"/>
  <c r="H21" i="179"/>
  <c r="I21" i="179"/>
  <c r="J21" i="179"/>
  <c r="K21" i="179"/>
  <c r="L21" i="179"/>
  <c r="M21" i="179"/>
  <c r="N21" i="179"/>
  <c r="O21" i="179"/>
  <c r="G25" i="179"/>
  <c r="G29" i="179"/>
  <c r="H29" i="179"/>
  <c r="I29" i="179"/>
  <c r="J29" i="179"/>
  <c r="K29" i="179"/>
  <c r="L29" i="179"/>
  <c r="M29" i="179"/>
  <c r="N29" i="179"/>
  <c r="O29" i="179"/>
  <c r="G42" i="179"/>
  <c r="H42" i="179"/>
  <c r="I42" i="179"/>
  <c r="J42" i="179"/>
  <c r="K42" i="179"/>
  <c r="L42" i="179"/>
  <c r="M42" i="179"/>
  <c r="N42" i="179"/>
  <c r="O42" i="179"/>
  <c r="G46" i="179"/>
  <c r="H46" i="179"/>
  <c r="I46" i="179"/>
  <c r="J46" i="179"/>
  <c r="K46" i="179"/>
  <c r="L46" i="179"/>
  <c r="M46" i="179"/>
  <c r="N46" i="179"/>
  <c r="O46" i="179"/>
  <c r="G50" i="179"/>
  <c r="H50" i="179"/>
  <c r="I50" i="179"/>
  <c r="J50" i="179"/>
  <c r="K50" i="179"/>
  <c r="L50" i="179"/>
  <c r="M50" i="179"/>
  <c r="N50" i="179"/>
  <c r="O50" i="179"/>
  <c r="G60" i="179"/>
  <c r="H60" i="179"/>
  <c r="I60" i="179"/>
  <c r="J60" i="179"/>
  <c r="K60" i="179"/>
  <c r="L60" i="179"/>
  <c r="M60" i="179"/>
  <c r="N60" i="179"/>
  <c r="O60" i="179"/>
  <c r="G64" i="179"/>
  <c r="H64" i="179"/>
  <c r="I64" i="179"/>
  <c r="J64" i="179"/>
  <c r="K64" i="179"/>
  <c r="L64" i="179"/>
  <c r="M64" i="179"/>
  <c r="N64" i="179"/>
  <c r="O64" i="179"/>
  <c r="G80" i="179"/>
  <c r="I80" i="179"/>
  <c r="J80" i="179"/>
  <c r="K80" i="179"/>
  <c r="L80" i="179"/>
  <c r="M80" i="179"/>
  <c r="N80" i="179"/>
  <c r="O80" i="179"/>
  <c r="E19" i="178"/>
  <c r="F19" i="178"/>
  <c r="G19" i="178"/>
  <c r="H19" i="178"/>
  <c r="I19" i="178"/>
  <c r="J19" i="178"/>
  <c r="K19" i="178"/>
  <c r="L19" i="178"/>
  <c r="M19" i="178"/>
  <c r="L22" i="178"/>
  <c r="E24" i="178"/>
  <c r="F24" i="178"/>
  <c r="G24" i="178"/>
  <c r="H24" i="178"/>
  <c r="I24" i="178"/>
  <c r="J24" i="178"/>
  <c r="K24" i="178"/>
  <c r="L24" i="178"/>
  <c r="M24" i="178"/>
  <c r="E29" i="178"/>
  <c r="F29" i="178"/>
  <c r="G29" i="178"/>
  <c r="H29" i="178"/>
  <c r="I29" i="178"/>
  <c r="J29" i="178"/>
  <c r="K29" i="178"/>
  <c r="L29" i="178"/>
  <c r="M29" i="178"/>
  <c r="E35" i="178"/>
  <c r="F35" i="178"/>
  <c r="G35" i="178"/>
  <c r="H35" i="178"/>
  <c r="I35" i="178"/>
  <c r="J35" i="178"/>
  <c r="K35" i="178"/>
  <c r="L35" i="178"/>
  <c r="M35" i="178"/>
  <c r="E39" i="178"/>
  <c r="F39" i="178"/>
  <c r="G39" i="178"/>
  <c r="H39" i="178"/>
  <c r="I39" i="178"/>
  <c r="J39" i="178"/>
  <c r="K39" i="178"/>
  <c r="L39" i="178"/>
  <c r="M39" i="178"/>
  <c r="E44" i="178"/>
  <c r="F44" i="178"/>
  <c r="G44" i="178"/>
  <c r="H44" i="178"/>
  <c r="I44" i="178"/>
  <c r="J44" i="178"/>
  <c r="K44" i="178"/>
  <c r="L44" i="178"/>
  <c r="M44" i="178"/>
  <c r="E48" i="178"/>
  <c r="F48" i="178"/>
  <c r="G48" i="178"/>
  <c r="H48" i="178"/>
  <c r="I48" i="178"/>
  <c r="J48" i="178"/>
  <c r="K48" i="178"/>
  <c r="L48" i="178"/>
  <c r="M48" i="178"/>
  <c r="E54" i="178"/>
  <c r="F54" i="178"/>
  <c r="G54" i="178"/>
  <c r="H54" i="178"/>
  <c r="I54" i="178"/>
  <c r="J54" i="178"/>
  <c r="K54" i="178"/>
  <c r="L54" i="178"/>
  <c r="M54" i="178"/>
  <c r="E63" i="178"/>
  <c r="F63" i="178"/>
  <c r="G63" i="178"/>
  <c r="H63" i="178"/>
  <c r="I63" i="178"/>
  <c r="J63" i="178"/>
  <c r="K63" i="178"/>
  <c r="L63" i="178"/>
  <c r="M63" i="178"/>
  <c r="E75" i="178"/>
  <c r="F75" i="178"/>
  <c r="G75" i="178"/>
  <c r="H75" i="178"/>
  <c r="I75" i="178"/>
  <c r="J75" i="178"/>
  <c r="K75" i="178"/>
  <c r="L75" i="178"/>
  <c r="M75" i="178"/>
  <c r="E80" i="178"/>
  <c r="F80" i="178"/>
  <c r="G80" i="178"/>
  <c r="H80" i="178"/>
  <c r="I80" i="178"/>
  <c r="J80" i="178"/>
  <c r="K80" i="178"/>
  <c r="L80" i="178"/>
  <c r="M80" i="178"/>
  <c r="E85" i="178"/>
  <c r="F85" i="178"/>
  <c r="G85" i="178"/>
  <c r="H85" i="178"/>
  <c r="I85" i="178"/>
  <c r="J85" i="178"/>
  <c r="K85" i="178"/>
  <c r="L85" i="178"/>
  <c r="M85" i="178"/>
  <c r="E94" i="178"/>
  <c r="G94" i="178"/>
  <c r="H94" i="178"/>
  <c r="I94" i="178"/>
  <c r="J94" i="178"/>
  <c r="K94" i="178"/>
  <c r="L94" i="178"/>
  <c r="M94" i="178"/>
  <c r="E98" i="178"/>
  <c r="G98" i="178"/>
  <c r="H98" i="178"/>
  <c r="I98" i="178"/>
  <c r="J98" i="178"/>
  <c r="K98" i="178"/>
  <c r="L98" i="178"/>
  <c r="M98" i="178"/>
  <c r="E104" i="178"/>
  <c r="F104" i="178"/>
  <c r="G104" i="178"/>
  <c r="H104" i="178"/>
  <c r="I104" i="178"/>
  <c r="J104" i="178"/>
  <c r="K104" i="178"/>
  <c r="L104" i="178"/>
  <c r="M104" i="178"/>
  <c r="E108" i="178"/>
  <c r="F108" i="178"/>
  <c r="G108" i="178"/>
  <c r="H108" i="178"/>
  <c r="I108" i="178"/>
  <c r="J108" i="178"/>
  <c r="K108" i="178"/>
  <c r="L108" i="178"/>
  <c r="M108" i="178"/>
  <c r="E112" i="178"/>
  <c r="F112" i="178"/>
  <c r="G112" i="178"/>
  <c r="H112" i="178"/>
  <c r="I112" i="178"/>
  <c r="J112" i="178"/>
  <c r="K112" i="178"/>
  <c r="L112" i="178"/>
  <c r="M112" i="178"/>
  <c r="E117" i="178"/>
  <c r="F117" i="178"/>
  <c r="G117" i="178"/>
  <c r="H117" i="178"/>
  <c r="I117" i="178"/>
  <c r="J117" i="178"/>
  <c r="K117" i="178"/>
  <c r="L117" i="178"/>
  <c r="M117" i="178"/>
  <c r="E125" i="178"/>
  <c r="F125" i="178"/>
  <c r="G125" i="178"/>
  <c r="H125" i="178"/>
  <c r="I125" i="178"/>
  <c r="J125" i="178"/>
  <c r="K125" i="178"/>
  <c r="L125" i="178"/>
  <c r="M125" i="178"/>
  <c r="E133" i="178"/>
  <c r="F133" i="178"/>
  <c r="G133" i="178"/>
  <c r="H133" i="178"/>
  <c r="I133" i="178"/>
  <c r="J133" i="178"/>
  <c r="K133" i="178"/>
  <c r="L133" i="178"/>
  <c r="M133" i="178"/>
  <c r="E137" i="178"/>
  <c r="F137" i="178"/>
  <c r="G137" i="178"/>
  <c r="H137" i="178"/>
  <c r="I137" i="178"/>
  <c r="J137" i="178"/>
  <c r="K137" i="178"/>
  <c r="L137" i="178"/>
  <c r="M137" i="178"/>
  <c r="E141" i="178"/>
  <c r="F141" i="178"/>
  <c r="G141" i="178"/>
  <c r="H141" i="178"/>
  <c r="I141" i="178"/>
  <c r="J141" i="178"/>
  <c r="K141" i="178"/>
  <c r="E147" i="178"/>
  <c r="F147" i="178"/>
  <c r="G147" i="178"/>
  <c r="H147" i="178"/>
  <c r="I147" i="178"/>
  <c r="J147" i="178"/>
  <c r="K147" i="178"/>
  <c r="L147" i="178"/>
  <c r="M147" i="178"/>
  <c r="E151" i="178"/>
  <c r="F151" i="178"/>
  <c r="G151" i="178"/>
  <c r="H151" i="178"/>
  <c r="I151" i="178"/>
  <c r="J151" i="178"/>
  <c r="K151" i="178"/>
  <c r="L151" i="178"/>
  <c r="M151" i="178"/>
  <c r="E156" i="178"/>
  <c r="F156" i="178"/>
  <c r="G156" i="178"/>
  <c r="H156" i="178"/>
  <c r="I156" i="178"/>
  <c r="J156" i="178"/>
  <c r="K156" i="178"/>
  <c r="L156" i="178"/>
  <c r="M156" i="178"/>
  <c r="E163" i="178"/>
  <c r="F163" i="178"/>
  <c r="G163" i="178"/>
  <c r="H163" i="178"/>
  <c r="I163" i="178"/>
  <c r="J163" i="178"/>
  <c r="K163" i="178"/>
  <c r="L163" i="178"/>
  <c r="M163" i="178"/>
  <c r="E172" i="178"/>
  <c r="F172" i="178"/>
  <c r="G172" i="178"/>
  <c r="H172" i="178"/>
  <c r="I172" i="178"/>
  <c r="J172" i="178"/>
  <c r="K172" i="178"/>
  <c r="L172" i="178"/>
  <c r="M172" i="178"/>
  <c r="H195" i="178"/>
  <c r="G39" i="177"/>
  <c r="I39" i="177"/>
  <c r="J39" i="177"/>
  <c r="K39" i="177"/>
  <c r="L39" i="177"/>
  <c r="M39" i="177"/>
  <c r="G16" i="175"/>
  <c r="H16" i="175"/>
  <c r="I16" i="175"/>
  <c r="J16" i="175"/>
  <c r="K16" i="175"/>
  <c r="L16" i="175"/>
  <c r="M16" i="175"/>
  <c r="N16" i="175"/>
  <c r="O16" i="175"/>
  <c r="G21" i="175"/>
  <c r="H21" i="175"/>
  <c r="I21" i="175"/>
  <c r="J21" i="175"/>
  <c r="K21" i="175"/>
  <c r="L21" i="175"/>
  <c r="M21" i="175"/>
  <c r="N21" i="175"/>
  <c r="O21" i="175"/>
  <c r="G25" i="175"/>
  <c r="G29" i="175"/>
  <c r="H29" i="175"/>
  <c r="I29" i="175"/>
  <c r="J29" i="175"/>
  <c r="K29" i="175"/>
  <c r="L29" i="175"/>
  <c r="M29" i="175"/>
  <c r="N29" i="175"/>
  <c r="O29" i="175"/>
  <c r="G42" i="175"/>
  <c r="H42" i="175"/>
  <c r="I42" i="175"/>
  <c r="J42" i="175"/>
  <c r="K42" i="175"/>
  <c r="L42" i="175"/>
  <c r="M42" i="175"/>
  <c r="N42" i="175"/>
  <c r="O42" i="175"/>
  <c r="G46" i="175"/>
  <c r="H46" i="175"/>
  <c r="I46" i="175"/>
  <c r="J46" i="175"/>
  <c r="K46" i="175"/>
  <c r="L46" i="175"/>
  <c r="M46" i="175"/>
  <c r="N46" i="175"/>
  <c r="O46" i="175"/>
  <c r="G50" i="175"/>
  <c r="H50" i="175"/>
  <c r="I50" i="175"/>
  <c r="J50" i="175"/>
  <c r="K50" i="175"/>
  <c r="L50" i="175"/>
  <c r="M50" i="175"/>
  <c r="N50" i="175"/>
  <c r="O50" i="175"/>
  <c r="G60" i="175"/>
  <c r="H60" i="175"/>
  <c r="I60" i="175"/>
  <c r="J60" i="175"/>
  <c r="K60" i="175"/>
  <c r="L60" i="175"/>
  <c r="M60" i="175"/>
  <c r="N60" i="175"/>
  <c r="O60" i="175"/>
  <c r="G64" i="175"/>
  <c r="H64" i="175"/>
  <c r="I64" i="175"/>
  <c r="J64" i="175"/>
  <c r="K64" i="175"/>
  <c r="L64" i="175"/>
  <c r="M64" i="175"/>
  <c r="N64" i="175"/>
  <c r="O64" i="175"/>
  <c r="G80" i="175"/>
  <c r="I80" i="175"/>
  <c r="J80" i="175"/>
  <c r="K80" i="175"/>
  <c r="L80" i="175"/>
  <c r="M80" i="175"/>
  <c r="N80" i="175"/>
  <c r="O80" i="175"/>
  <c r="E19" i="174"/>
  <c r="F19" i="174"/>
  <c r="G19" i="174"/>
  <c r="H19" i="174"/>
  <c r="I19" i="174"/>
  <c r="J19" i="174"/>
  <c r="K19" i="174"/>
  <c r="L19" i="174"/>
  <c r="M19" i="174"/>
  <c r="L22" i="174"/>
  <c r="L24" i="174" s="1"/>
  <c r="E24" i="174"/>
  <c r="F24" i="174"/>
  <c r="G24" i="174"/>
  <c r="H24" i="174"/>
  <c r="I24" i="174"/>
  <c r="J24" i="174"/>
  <c r="K24" i="174"/>
  <c r="M24" i="174"/>
  <c r="E29" i="174"/>
  <c r="F29" i="174"/>
  <c r="G29" i="174"/>
  <c r="H29" i="174"/>
  <c r="I29" i="174"/>
  <c r="J29" i="174"/>
  <c r="K29" i="174"/>
  <c r="L29" i="174"/>
  <c r="M29" i="174"/>
  <c r="E35" i="174"/>
  <c r="F35" i="174"/>
  <c r="G35" i="174"/>
  <c r="H35" i="174"/>
  <c r="I35" i="174"/>
  <c r="J35" i="174"/>
  <c r="K35" i="174"/>
  <c r="L35" i="174"/>
  <c r="M35" i="174"/>
  <c r="E39" i="174"/>
  <c r="F39" i="174"/>
  <c r="G39" i="174"/>
  <c r="H39" i="174"/>
  <c r="I39" i="174"/>
  <c r="J39" i="174"/>
  <c r="K39" i="174"/>
  <c r="L39" i="174"/>
  <c r="M39" i="174"/>
  <c r="E44" i="174"/>
  <c r="F44" i="174"/>
  <c r="G44" i="174"/>
  <c r="H44" i="174"/>
  <c r="I44" i="174"/>
  <c r="J44" i="174"/>
  <c r="K44" i="174"/>
  <c r="L44" i="174"/>
  <c r="M44" i="174"/>
  <c r="E48" i="174"/>
  <c r="F48" i="174"/>
  <c r="G48" i="174"/>
  <c r="H48" i="174"/>
  <c r="I48" i="174"/>
  <c r="J48" i="174"/>
  <c r="K48" i="174"/>
  <c r="L48" i="174"/>
  <c r="M48" i="174"/>
  <c r="E54" i="174"/>
  <c r="F54" i="174"/>
  <c r="G54" i="174"/>
  <c r="H54" i="174"/>
  <c r="I54" i="174"/>
  <c r="J54" i="174"/>
  <c r="K54" i="174"/>
  <c r="L54" i="174"/>
  <c r="M54" i="174"/>
  <c r="E63" i="174"/>
  <c r="F63" i="174"/>
  <c r="G63" i="174"/>
  <c r="H63" i="174"/>
  <c r="I63" i="174"/>
  <c r="J63" i="174"/>
  <c r="K63" i="174"/>
  <c r="L63" i="174"/>
  <c r="M63" i="174"/>
  <c r="E75" i="174"/>
  <c r="G75" i="174"/>
  <c r="H75" i="174"/>
  <c r="J75" i="174"/>
  <c r="E81" i="174"/>
  <c r="F81" i="174"/>
  <c r="G81" i="174"/>
  <c r="H81" i="174"/>
  <c r="I81" i="174"/>
  <c r="J81" i="174"/>
  <c r="K81" i="174"/>
  <c r="L81" i="174"/>
  <c r="M81" i="174"/>
  <c r="E85" i="174"/>
  <c r="F85" i="174"/>
  <c r="G85" i="174"/>
  <c r="H85" i="174"/>
  <c r="I85" i="174"/>
  <c r="J85" i="174"/>
  <c r="K85" i="174"/>
  <c r="L85" i="174"/>
  <c r="M85" i="174"/>
  <c r="E94" i="174"/>
  <c r="G94" i="174"/>
  <c r="H94" i="174"/>
  <c r="I94" i="174"/>
  <c r="J94" i="174"/>
  <c r="K94" i="174"/>
  <c r="L94" i="174"/>
  <c r="M94" i="174"/>
  <c r="E98" i="174"/>
  <c r="G98" i="174"/>
  <c r="H98" i="174"/>
  <c r="I98" i="174"/>
  <c r="J98" i="174"/>
  <c r="K98" i="174"/>
  <c r="L98" i="174"/>
  <c r="M98" i="174"/>
  <c r="E105" i="174"/>
  <c r="F105" i="174"/>
  <c r="G105" i="174"/>
  <c r="H105" i="174"/>
  <c r="I105" i="174"/>
  <c r="J105" i="174"/>
  <c r="K105" i="174"/>
  <c r="L105" i="174"/>
  <c r="M105" i="174"/>
  <c r="E109" i="174"/>
  <c r="F109" i="174"/>
  <c r="G109" i="174"/>
  <c r="H109" i="174"/>
  <c r="I109" i="174"/>
  <c r="J109" i="174"/>
  <c r="K109" i="174"/>
  <c r="L109" i="174"/>
  <c r="M109" i="174"/>
  <c r="E114" i="174"/>
  <c r="F114" i="174"/>
  <c r="G114" i="174"/>
  <c r="H114" i="174"/>
  <c r="I114" i="174"/>
  <c r="J114" i="174"/>
  <c r="K114" i="174"/>
  <c r="L114" i="174"/>
  <c r="M114" i="174"/>
  <c r="E122" i="174"/>
  <c r="F122" i="174"/>
  <c r="G122" i="174"/>
  <c r="H122" i="174"/>
  <c r="I122" i="174"/>
  <c r="J122" i="174"/>
  <c r="K122" i="174"/>
  <c r="L122" i="174"/>
  <c r="M122" i="174"/>
  <c r="E130" i="174"/>
  <c r="F130" i="174"/>
  <c r="G130" i="174"/>
  <c r="H130" i="174"/>
  <c r="I130" i="174"/>
  <c r="J130" i="174"/>
  <c r="K130" i="174"/>
  <c r="L130" i="174"/>
  <c r="M130" i="174"/>
  <c r="E134" i="174"/>
  <c r="F134" i="174"/>
  <c r="G134" i="174"/>
  <c r="H134" i="174"/>
  <c r="I134" i="174"/>
  <c r="J134" i="174"/>
  <c r="K134" i="174"/>
  <c r="L134" i="174"/>
  <c r="M134" i="174"/>
  <c r="E138" i="174"/>
  <c r="F138" i="174"/>
  <c r="G138" i="174"/>
  <c r="H138" i="174"/>
  <c r="I138" i="174"/>
  <c r="J138" i="174"/>
  <c r="K138" i="174"/>
  <c r="E144" i="174"/>
  <c r="F144" i="174"/>
  <c r="G144" i="174"/>
  <c r="H144" i="174"/>
  <c r="I144" i="174"/>
  <c r="J144" i="174"/>
  <c r="K144" i="174"/>
  <c r="L144" i="174"/>
  <c r="M144" i="174"/>
  <c r="E148" i="174"/>
  <c r="F148" i="174"/>
  <c r="G148" i="174"/>
  <c r="H148" i="174"/>
  <c r="I148" i="174"/>
  <c r="J148" i="174"/>
  <c r="K148" i="174"/>
  <c r="L148" i="174"/>
  <c r="M148" i="174"/>
  <c r="E153" i="174"/>
  <c r="F153" i="174"/>
  <c r="G153" i="174"/>
  <c r="H153" i="174"/>
  <c r="I153" i="174"/>
  <c r="J153" i="174"/>
  <c r="K153" i="174"/>
  <c r="L153" i="174"/>
  <c r="M153" i="174"/>
  <c r="E160" i="174"/>
  <c r="F160" i="174"/>
  <c r="G160" i="174"/>
  <c r="H160" i="174"/>
  <c r="I160" i="174"/>
  <c r="J160" i="174"/>
  <c r="K160" i="174"/>
  <c r="L160" i="174"/>
  <c r="M160" i="174"/>
  <c r="E169" i="174"/>
  <c r="F169" i="174"/>
  <c r="G169" i="174"/>
  <c r="H169" i="174"/>
  <c r="I169" i="174"/>
  <c r="J169" i="174"/>
  <c r="K169" i="174"/>
  <c r="L169" i="174"/>
  <c r="M169" i="174"/>
  <c r="H192" i="174"/>
  <c r="D19" i="173"/>
  <c r="E19" i="173"/>
  <c r="F19" i="173"/>
  <c r="G19" i="173"/>
  <c r="H19" i="173"/>
  <c r="I19" i="173"/>
  <c r="J19" i="173"/>
  <c r="K19" i="173"/>
  <c r="L19" i="173"/>
  <c r="D24" i="173"/>
  <c r="E24" i="173"/>
  <c r="F24" i="173"/>
  <c r="G24" i="173"/>
  <c r="H24" i="173"/>
  <c r="I24" i="173"/>
  <c r="J24" i="173"/>
  <c r="K24" i="173"/>
  <c r="L24" i="173"/>
  <c r="D29" i="173"/>
  <c r="E29" i="173"/>
  <c r="F29" i="173"/>
  <c r="G29" i="173"/>
  <c r="H29" i="173"/>
  <c r="I29" i="173"/>
  <c r="J29" i="173"/>
  <c r="K29" i="173"/>
  <c r="L29" i="173"/>
  <c r="D35" i="173"/>
  <c r="E35" i="173"/>
  <c r="F35" i="173"/>
  <c r="G35" i="173"/>
  <c r="H35" i="173"/>
  <c r="I35" i="173"/>
  <c r="J35" i="173"/>
  <c r="K35" i="173"/>
  <c r="L35" i="173"/>
  <c r="D39" i="173"/>
  <c r="E39" i="173"/>
  <c r="F39" i="173"/>
  <c r="G39" i="173"/>
  <c r="H39" i="173"/>
  <c r="I39" i="173"/>
  <c r="J39" i="173"/>
  <c r="K39" i="173"/>
  <c r="L39" i="173"/>
  <c r="D44" i="173"/>
  <c r="E44" i="173"/>
  <c r="F44" i="173"/>
  <c r="G44" i="173"/>
  <c r="H44" i="173"/>
  <c r="I44" i="173"/>
  <c r="J44" i="173"/>
  <c r="K44" i="173"/>
  <c r="L44" i="173"/>
  <c r="D48" i="173"/>
  <c r="E48" i="173"/>
  <c r="F48" i="173"/>
  <c r="G48" i="173"/>
  <c r="H48" i="173"/>
  <c r="I48" i="173"/>
  <c r="J48" i="173"/>
  <c r="K48" i="173"/>
  <c r="L48" i="173"/>
  <c r="D54" i="173"/>
  <c r="E54" i="173"/>
  <c r="F54" i="173"/>
  <c r="G54" i="173"/>
  <c r="H54" i="173"/>
  <c r="I54" i="173"/>
  <c r="J54" i="173"/>
  <c r="K54" i="173"/>
  <c r="L54" i="173"/>
  <c r="D63" i="173"/>
  <c r="E63" i="173"/>
  <c r="F63" i="173"/>
  <c r="G63" i="173"/>
  <c r="H63" i="173"/>
  <c r="I63" i="173"/>
  <c r="J63" i="173"/>
  <c r="K63" i="173"/>
  <c r="L63" i="173"/>
  <c r="D75" i="173"/>
  <c r="F75" i="173"/>
  <c r="G75" i="173"/>
  <c r="I75" i="173"/>
  <c r="J75" i="173"/>
  <c r="K75" i="173"/>
  <c r="L75" i="173"/>
  <c r="D81" i="173"/>
  <c r="E81" i="173"/>
  <c r="F81" i="173"/>
  <c r="G81" i="173"/>
  <c r="H81" i="173"/>
  <c r="I81" i="173"/>
  <c r="J81" i="173"/>
  <c r="K81" i="173"/>
  <c r="L81" i="173"/>
  <c r="D85" i="173"/>
  <c r="E85" i="173"/>
  <c r="F85" i="173"/>
  <c r="G85" i="173"/>
  <c r="H85" i="173"/>
  <c r="I85" i="173"/>
  <c r="J85" i="173"/>
  <c r="K85" i="173"/>
  <c r="L85" i="173"/>
  <c r="D94" i="173"/>
  <c r="F94" i="173"/>
  <c r="G94" i="173"/>
  <c r="H94" i="173"/>
  <c r="I94" i="173"/>
  <c r="J94" i="173"/>
  <c r="K94" i="173"/>
  <c r="L94" i="173"/>
  <c r="D98" i="173"/>
  <c r="F98" i="173"/>
  <c r="G98" i="173"/>
  <c r="H98" i="173"/>
  <c r="I98" i="173"/>
  <c r="J98" i="173"/>
  <c r="K98" i="173"/>
  <c r="L98" i="173"/>
  <c r="D105" i="173"/>
  <c r="E105" i="173"/>
  <c r="F105" i="173"/>
  <c r="G105" i="173"/>
  <c r="H105" i="173"/>
  <c r="I105" i="173"/>
  <c r="J105" i="173"/>
  <c r="K105" i="173"/>
  <c r="L105" i="173"/>
  <c r="D109" i="173"/>
  <c r="E109" i="173"/>
  <c r="F109" i="173"/>
  <c r="G109" i="173"/>
  <c r="H109" i="173"/>
  <c r="I109" i="173"/>
  <c r="J109" i="173"/>
  <c r="K109" i="173"/>
  <c r="L109" i="173"/>
  <c r="D114" i="173"/>
  <c r="E114" i="173"/>
  <c r="F114" i="173"/>
  <c r="G114" i="173"/>
  <c r="H114" i="173"/>
  <c r="I114" i="173"/>
  <c r="J114" i="173"/>
  <c r="K114" i="173"/>
  <c r="L114" i="173"/>
  <c r="D122" i="173"/>
  <c r="E122" i="173"/>
  <c r="F122" i="173"/>
  <c r="G122" i="173"/>
  <c r="H122" i="173"/>
  <c r="I122" i="173"/>
  <c r="J122" i="173"/>
  <c r="K122" i="173"/>
  <c r="L122" i="173"/>
  <c r="D130" i="173"/>
  <c r="E130" i="173"/>
  <c r="F130" i="173"/>
  <c r="G130" i="173"/>
  <c r="H130" i="173"/>
  <c r="I130" i="173"/>
  <c r="J130" i="173"/>
  <c r="K130" i="173"/>
  <c r="L130" i="173"/>
  <c r="D134" i="173"/>
  <c r="E134" i="173"/>
  <c r="F134" i="173"/>
  <c r="G134" i="173"/>
  <c r="H134" i="173"/>
  <c r="I134" i="173"/>
  <c r="J134" i="173"/>
  <c r="K134" i="173"/>
  <c r="L134" i="173"/>
  <c r="D138" i="173"/>
  <c r="E138" i="173"/>
  <c r="F138" i="173"/>
  <c r="G138" i="173"/>
  <c r="H138" i="173"/>
  <c r="I138" i="173"/>
  <c r="J138" i="173"/>
  <c r="D144" i="173"/>
  <c r="E144" i="173"/>
  <c r="F144" i="173"/>
  <c r="G144" i="173"/>
  <c r="H144" i="173"/>
  <c r="I144" i="173"/>
  <c r="J144" i="173"/>
  <c r="K144" i="173"/>
  <c r="L144" i="173"/>
  <c r="D148" i="173"/>
  <c r="E148" i="173"/>
  <c r="F148" i="173"/>
  <c r="G148" i="173"/>
  <c r="H148" i="173"/>
  <c r="I148" i="173"/>
  <c r="J148" i="173"/>
  <c r="K148" i="173"/>
  <c r="L148" i="173"/>
  <c r="D153" i="173"/>
  <c r="E153" i="173"/>
  <c r="F153" i="173"/>
  <c r="G153" i="173"/>
  <c r="H153" i="173"/>
  <c r="I153" i="173"/>
  <c r="J153" i="173"/>
  <c r="K153" i="173"/>
  <c r="L153" i="173"/>
  <c r="D160" i="173"/>
  <c r="E160" i="173"/>
  <c r="F160" i="173"/>
  <c r="G160" i="173"/>
  <c r="H160" i="173"/>
  <c r="I160" i="173"/>
  <c r="J160" i="173"/>
  <c r="K160" i="173"/>
  <c r="L160" i="173"/>
  <c r="D169" i="173"/>
  <c r="E169" i="173"/>
  <c r="F169" i="173"/>
  <c r="G169" i="173"/>
  <c r="H169" i="173"/>
  <c r="I169" i="173"/>
  <c r="J169" i="173"/>
  <c r="K169" i="173"/>
  <c r="L169" i="173"/>
  <c r="D192" i="173"/>
  <c r="F192" i="173"/>
  <c r="G192" i="173"/>
  <c r="H192" i="173"/>
  <c r="I192" i="173"/>
  <c r="J192" i="173"/>
  <c r="K192" i="173"/>
  <c r="L192" i="173"/>
  <c r="G39" i="172"/>
  <c r="I39" i="172"/>
  <c r="J39" i="172"/>
  <c r="K39" i="172"/>
  <c r="L39" i="172"/>
  <c r="M39" i="172"/>
  <c r="E16" i="171"/>
  <c r="F16" i="171"/>
  <c r="G16" i="171"/>
  <c r="H16" i="171"/>
  <c r="I16" i="171"/>
  <c r="J16" i="171"/>
  <c r="K16" i="171"/>
  <c r="L16" i="171"/>
  <c r="M16" i="171"/>
  <c r="E21" i="171"/>
  <c r="F21" i="171"/>
  <c r="G21" i="171"/>
  <c r="H21" i="171"/>
  <c r="I21" i="171"/>
  <c r="J21" i="171"/>
  <c r="K21" i="171"/>
  <c r="L21" i="171"/>
  <c r="M21" i="171"/>
  <c r="E25" i="171"/>
  <c r="E29" i="171"/>
  <c r="F29" i="171"/>
  <c r="G29" i="171"/>
  <c r="H29" i="171"/>
  <c r="I29" i="171"/>
  <c r="J29" i="171"/>
  <c r="K29" i="171"/>
  <c r="L29" i="171"/>
  <c r="M29" i="171"/>
  <c r="E42" i="171"/>
  <c r="F42" i="171"/>
  <c r="G42" i="171"/>
  <c r="H42" i="171"/>
  <c r="I42" i="171"/>
  <c r="J42" i="171"/>
  <c r="K42" i="171"/>
  <c r="L42" i="171"/>
  <c r="M42" i="171"/>
  <c r="E46" i="171"/>
  <c r="F46" i="171"/>
  <c r="G46" i="171"/>
  <c r="H46" i="171"/>
  <c r="I46" i="171"/>
  <c r="J46" i="171"/>
  <c r="K46" i="171"/>
  <c r="L46" i="171"/>
  <c r="M46" i="171"/>
  <c r="E50" i="171"/>
  <c r="F50" i="171"/>
  <c r="G50" i="171"/>
  <c r="H50" i="171"/>
  <c r="I50" i="171"/>
  <c r="J50" i="171"/>
  <c r="K50" i="171"/>
  <c r="L50" i="171"/>
  <c r="M50" i="171"/>
  <c r="E60" i="171"/>
  <c r="F60" i="171"/>
  <c r="G60" i="171"/>
  <c r="H60" i="171"/>
  <c r="I60" i="171"/>
  <c r="J60" i="171"/>
  <c r="K60" i="171"/>
  <c r="L60" i="171"/>
  <c r="M60" i="171"/>
  <c r="E64" i="171"/>
  <c r="F64" i="171"/>
  <c r="G64" i="171"/>
  <c r="H64" i="171"/>
  <c r="I64" i="171"/>
  <c r="J64" i="171"/>
  <c r="K64" i="171"/>
  <c r="L64" i="171"/>
  <c r="M64" i="171"/>
  <c r="E80" i="171"/>
  <c r="F80" i="171"/>
  <c r="G80" i="171"/>
  <c r="H80" i="171"/>
  <c r="I80" i="171"/>
  <c r="J80" i="171"/>
  <c r="K80" i="171"/>
  <c r="L80" i="171"/>
  <c r="M80" i="171"/>
  <c r="F32" i="170"/>
  <c r="G32" i="170"/>
  <c r="H32" i="170"/>
  <c r="I32" i="170"/>
  <c r="J32" i="170"/>
  <c r="K32" i="170"/>
  <c r="L32" i="170"/>
  <c r="M32" i="170"/>
  <c r="N32" i="170"/>
  <c r="E16" i="169"/>
  <c r="F16" i="169"/>
  <c r="G16" i="169"/>
  <c r="H16" i="169"/>
  <c r="I16" i="169"/>
  <c r="J16" i="169"/>
  <c r="K16" i="169"/>
  <c r="L16" i="169"/>
  <c r="M16" i="169"/>
  <c r="E21" i="169"/>
  <c r="F21" i="169"/>
  <c r="G21" i="169"/>
  <c r="H21" i="169"/>
  <c r="I21" i="169"/>
  <c r="J21" i="169"/>
  <c r="K21" i="169"/>
  <c r="L21" i="169"/>
  <c r="M21" i="169"/>
  <c r="E25" i="169"/>
  <c r="E29" i="169"/>
  <c r="F29" i="169"/>
  <c r="G29" i="169"/>
  <c r="H29" i="169"/>
  <c r="I29" i="169"/>
  <c r="J29" i="169"/>
  <c r="K29" i="169"/>
  <c r="L29" i="169"/>
  <c r="M29" i="169"/>
  <c r="E42" i="169"/>
  <c r="F42" i="169"/>
  <c r="G42" i="169"/>
  <c r="H42" i="169"/>
  <c r="I42" i="169"/>
  <c r="J42" i="169"/>
  <c r="K42" i="169"/>
  <c r="L42" i="169"/>
  <c r="M42" i="169"/>
  <c r="E46" i="169"/>
  <c r="F46" i="169"/>
  <c r="G46" i="169"/>
  <c r="H46" i="169"/>
  <c r="I46" i="169"/>
  <c r="J46" i="169"/>
  <c r="K46" i="169"/>
  <c r="L46" i="169"/>
  <c r="M46" i="169"/>
  <c r="E50" i="169"/>
  <c r="F50" i="169"/>
  <c r="G50" i="169"/>
  <c r="H50" i="169"/>
  <c r="I50" i="169"/>
  <c r="J50" i="169"/>
  <c r="K50" i="169"/>
  <c r="L50" i="169"/>
  <c r="M50" i="169"/>
  <c r="E57" i="169"/>
  <c r="F57" i="169"/>
  <c r="G57" i="169"/>
  <c r="H57" i="169"/>
  <c r="I57" i="169"/>
  <c r="J57" i="169"/>
  <c r="K57" i="169"/>
  <c r="L57" i="169"/>
  <c r="M57" i="169"/>
  <c r="E63" i="169"/>
  <c r="F63" i="169"/>
  <c r="G63" i="169"/>
  <c r="H63" i="169"/>
  <c r="I63" i="169"/>
  <c r="J63" i="169"/>
  <c r="K63" i="169"/>
  <c r="L63" i="169"/>
  <c r="M63" i="169"/>
  <c r="E67" i="169"/>
  <c r="F67" i="169"/>
  <c r="G67" i="169"/>
  <c r="H67" i="169"/>
  <c r="I67" i="169"/>
  <c r="J67" i="169"/>
  <c r="K67" i="169"/>
  <c r="L67" i="169"/>
  <c r="M67" i="169"/>
  <c r="E80" i="169"/>
  <c r="F80" i="169"/>
  <c r="G80" i="169"/>
  <c r="H80" i="169"/>
  <c r="I80" i="169"/>
  <c r="J80" i="169"/>
  <c r="K80" i="169"/>
  <c r="L80" i="169"/>
  <c r="M80" i="169"/>
  <c r="D21" i="168"/>
  <c r="E21" i="168"/>
  <c r="F21" i="168"/>
  <c r="G21" i="168"/>
  <c r="H21" i="168"/>
  <c r="I21" i="168"/>
  <c r="J21" i="168"/>
  <c r="K21" i="168"/>
  <c r="L21" i="168"/>
  <c r="D26" i="168"/>
  <c r="E26" i="168"/>
  <c r="F26" i="168"/>
  <c r="G26" i="168"/>
  <c r="H26" i="168"/>
  <c r="I26" i="168"/>
  <c r="J26" i="168"/>
  <c r="K26" i="168"/>
  <c r="L26" i="168"/>
  <c r="D31" i="168"/>
  <c r="E31" i="168"/>
  <c r="F31" i="168"/>
  <c r="G31" i="168"/>
  <c r="H31" i="168"/>
  <c r="I31" i="168"/>
  <c r="J31" i="168"/>
  <c r="K31" i="168"/>
  <c r="L31" i="168"/>
  <c r="D37" i="168"/>
  <c r="E37" i="168"/>
  <c r="F37" i="168"/>
  <c r="G37" i="168"/>
  <c r="H37" i="168"/>
  <c r="I37" i="168"/>
  <c r="J37" i="168"/>
  <c r="K37" i="168"/>
  <c r="L37" i="168"/>
  <c r="D41" i="168"/>
  <c r="E41" i="168"/>
  <c r="F41" i="168"/>
  <c r="G41" i="168"/>
  <c r="H41" i="168"/>
  <c r="I41" i="168"/>
  <c r="J41" i="168"/>
  <c r="K41" i="168"/>
  <c r="L41" i="168"/>
  <c r="D45" i="168"/>
  <c r="E45" i="168"/>
  <c r="F45" i="168"/>
  <c r="G45" i="168"/>
  <c r="H45" i="168"/>
  <c r="I45" i="168"/>
  <c r="J45" i="168"/>
  <c r="K45" i="168"/>
  <c r="L45" i="168"/>
  <c r="D49" i="168"/>
  <c r="E49" i="168"/>
  <c r="F49" i="168"/>
  <c r="G49" i="168"/>
  <c r="H49" i="168"/>
  <c r="I49" i="168"/>
  <c r="J49" i="168"/>
  <c r="K49" i="168"/>
  <c r="L49" i="168"/>
  <c r="D55" i="168"/>
  <c r="E55" i="168"/>
  <c r="F55" i="168"/>
  <c r="G55" i="168"/>
  <c r="I55" i="168"/>
  <c r="J55" i="168"/>
  <c r="K55" i="168"/>
  <c r="L55" i="168"/>
  <c r="D64" i="168"/>
  <c r="E64" i="168"/>
  <c r="F64" i="168"/>
  <c r="G64" i="168"/>
  <c r="H64" i="168"/>
  <c r="I64" i="168"/>
  <c r="J64" i="168"/>
  <c r="K64" i="168"/>
  <c r="L64" i="168"/>
  <c r="D76" i="168"/>
  <c r="E76" i="168"/>
  <c r="F76" i="168"/>
  <c r="G76" i="168"/>
  <c r="H76" i="168"/>
  <c r="I76" i="168"/>
  <c r="J76" i="168"/>
  <c r="K76" i="168"/>
  <c r="L76" i="168"/>
  <c r="D82" i="168"/>
  <c r="E82" i="168"/>
  <c r="F82" i="168"/>
  <c r="G82" i="168"/>
  <c r="H82" i="168"/>
  <c r="I82" i="168"/>
  <c r="J82" i="168"/>
  <c r="K82" i="168"/>
  <c r="L82" i="168"/>
  <c r="D87" i="168"/>
  <c r="E87" i="168"/>
  <c r="F87" i="168"/>
  <c r="G87" i="168"/>
  <c r="H87" i="168"/>
  <c r="I87" i="168"/>
  <c r="J87" i="168"/>
  <c r="K87" i="168"/>
  <c r="L87" i="168"/>
  <c r="D96" i="168"/>
  <c r="F96" i="168"/>
  <c r="G96" i="168"/>
  <c r="H96" i="168"/>
  <c r="I96" i="168"/>
  <c r="J96" i="168"/>
  <c r="K96" i="168"/>
  <c r="L96" i="168"/>
  <c r="D100" i="168"/>
  <c r="F100" i="168"/>
  <c r="G100" i="168"/>
  <c r="H100" i="168"/>
  <c r="I100" i="168"/>
  <c r="J100" i="168"/>
  <c r="K100" i="168"/>
  <c r="L100" i="168"/>
  <c r="D107" i="168"/>
  <c r="E107" i="168"/>
  <c r="F107" i="168"/>
  <c r="G107" i="168"/>
  <c r="H107" i="168"/>
  <c r="I107" i="168"/>
  <c r="J107" i="168"/>
  <c r="K107" i="168"/>
  <c r="L107" i="168"/>
  <c r="D111" i="168"/>
  <c r="E111" i="168"/>
  <c r="F111" i="168"/>
  <c r="G111" i="168"/>
  <c r="H111" i="168"/>
  <c r="I111" i="168"/>
  <c r="J111" i="168"/>
  <c r="K111" i="168"/>
  <c r="L111" i="168"/>
  <c r="D116" i="168"/>
  <c r="E116" i="168"/>
  <c r="F116" i="168"/>
  <c r="G116" i="168"/>
  <c r="H116" i="168"/>
  <c r="I116" i="168"/>
  <c r="J116" i="168"/>
  <c r="K116" i="168"/>
  <c r="L116" i="168"/>
  <c r="D124" i="168"/>
  <c r="E124" i="168"/>
  <c r="F124" i="168"/>
  <c r="G124" i="168"/>
  <c r="H124" i="168"/>
  <c r="I124" i="168"/>
  <c r="J124" i="168"/>
  <c r="K124" i="168"/>
  <c r="L124" i="168"/>
  <c r="D131" i="168"/>
  <c r="E131" i="168"/>
  <c r="F131" i="168"/>
  <c r="G131" i="168"/>
  <c r="H131" i="168"/>
  <c r="I131" i="168"/>
  <c r="J131" i="168"/>
  <c r="K131" i="168"/>
  <c r="L131" i="168"/>
  <c r="D135" i="168"/>
  <c r="E135" i="168"/>
  <c r="F135" i="168"/>
  <c r="G135" i="168"/>
  <c r="H135" i="168"/>
  <c r="I135" i="168"/>
  <c r="J135" i="168"/>
  <c r="K135" i="168"/>
  <c r="L135" i="168"/>
  <c r="D139" i="168"/>
  <c r="E139" i="168"/>
  <c r="F139" i="168"/>
  <c r="G139" i="168"/>
  <c r="I139" i="168"/>
  <c r="J139" i="168"/>
  <c r="K139" i="168"/>
  <c r="L139" i="168"/>
  <c r="D145" i="168"/>
  <c r="E145" i="168"/>
  <c r="F145" i="168"/>
  <c r="G145" i="168"/>
  <c r="H145" i="168"/>
  <c r="I145" i="168"/>
  <c r="J145" i="168"/>
  <c r="K145" i="168"/>
  <c r="L145" i="168"/>
  <c r="D149" i="168"/>
  <c r="E149" i="168"/>
  <c r="F149" i="168"/>
  <c r="G149" i="168"/>
  <c r="H149" i="168"/>
  <c r="I149" i="168"/>
  <c r="J149" i="168"/>
  <c r="K149" i="168"/>
  <c r="L149" i="168"/>
  <c r="D154" i="168"/>
  <c r="E154" i="168"/>
  <c r="F154" i="168"/>
  <c r="G154" i="168"/>
  <c r="H154" i="168"/>
  <c r="I154" i="168"/>
  <c r="J154" i="168"/>
  <c r="K154" i="168"/>
  <c r="L154" i="168"/>
  <c r="D161" i="168"/>
  <c r="E161" i="168"/>
  <c r="F161" i="168"/>
  <c r="G161" i="168"/>
  <c r="H161" i="168"/>
  <c r="I161" i="168"/>
  <c r="J161" i="168"/>
  <c r="K161" i="168"/>
  <c r="L161" i="168"/>
  <c r="D170" i="168"/>
  <c r="E170" i="168"/>
  <c r="F170" i="168"/>
  <c r="G170" i="168"/>
  <c r="H170" i="168"/>
  <c r="I170" i="168"/>
  <c r="J170" i="168"/>
  <c r="K170" i="168"/>
  <c r="L170" i="168"/>
  <c r="D189" i="168"/>
  <c r="E189" i="168"/>
  <c r="F189" i="168"/>
  <c r="G189" i="168"/>
  <c r="H189" i="168"/>
  <c r="I189" i="168"/>
  <c r="J189" i="168"/>
  <c r="K189" i="168"/>
  <c r="L189" i="168"/>
  <c r="F32" i="167"/>
  <c r="G32" i="167"/>
  <c r="H32" i="167"/>
  <c r="I32" i="167"/>
  <c r="J32" i="167"/>
  <c r="K32" i="167"/>
  <c r="L32" i="167"/>
  <c r="M32" i="167"/>
  <c r="N32" i="167"/>
  <c r="E19" i="166"/>
  <c r="F19" i="166"/>
  <c r="G19" i="166"/>
  <c r="H19" i="166"/>
  <c r="I19" i="166"/>
  <c r="J19" i="166"/>
  <c r="K19" i="166"/>
  <c r="L19" i="166"/>
  <c r="M19" i="166"/>
  <c r="E24" i="166"/>
  <c r="F24" i="166"/>
  <c r="G24" i="166"/>
  <c r="H24" i="166"/>
  <c r="I24" i="166"/>
  <c r="J24" i="166"/>
  <c r="K24" i="166"/>
  <c r="L24" i="166"/>
  <c r="M24" i="166"/>
  <c r="E28" i="166"/>
  <c r="E32" i="166"/>
  <c r="F32" i="166"/>
  <c r="G32" i="166"/>
  <c r="H32" i="166"/>
  <c r="I32" i="166"/>
  <c r="J32" i="166"/>
  <c r="K32" i="166"/>
  <c r="L32" i="166"/>
  <c r="M32" i="166"/>
  <c r="E42" i="166"/>
  <c r="F42" i="166"/>
  <c r="G42" i="166"/>
  <c r="H42" i="166"/>
  <c r="I42" i="166"/>
  <c r="J42" i="166"/>
  <c r="K42" i="166"/>
  <c r="L42" i="166"/>
  <c r="M42" i="166"/>
  <c r="E46" i="166"/>
  <c r="F46" i="166"/>
  <c r="G46" i="166"/>
  <c r="H46" i="166"/>
  <c r="I46" i="166"/>
  <c r="J46" i="166"/>
  <c r="K46" i="166"/>
  <c r="L46" i="166"/>
  <c r="M46" i="166"/>
  <c r="E50" i="166"/>
  <c r="F50" i="166"/>
  <c r="G50" i="166"/>
  <c r="H50" i="166"/>
  <c r="I50" i="166"/>
  <c r="J50" i="166"/>
  <c r="K50" i="166"/>
  <c r="L50" i="166"/>
  <c r="M50" i="166"/>
  <c r="E57" i="166"/>
  <c r="F57" i="166"/>
  <c r="G57" i="166"/>
  <c r="H57" i="166"/>
  <c r="I57" i="166"/>
  <c r="J57" i="166"/>
  <c r="K57" i="166"/>
  <c r="L57" i="166"/>
  <c r="M57" i="166"/>
  <c r="E63" i="166"/>
  <c r="F63" i="166"/>
  <c r="G63" i="166"/>
  <c r="H63" i="166"/>
  <c r="I63" i="166"/>
  <c r="J63" i="166"/>
  <c r="K63" i="166"/>
  <c r="L63" i="166"/>
  <c r="M63" i="166"/>
  <c r="E67" i="166"/>
  <c r="F67" i="166"/>
  <c r="G67" i="166"/>
  <c r="H67" i="166"/>
  <c r="I67" i="166"/>
  <c r="J67" i="166"/>
  <c r="K67" i="166"/>
  <c r="L67" i="166"/>
  <c r="M67" i="166"/>
  <c r="E79" i="166"/>
  <c r="F79" i="166"/>
  <c r="G79" i="166"/>
  <c r="H79" i="166"/>
  <c r="I79" i="166"/>
  <c r="J79" i="166"/>
  <c r="K79" i="166"/>
  <c r="L79" i="166"/>
  <c r="M79" i="166"/>
  <c r="D21" i="165"/>
  <c r="E21" i="165"/>
  <c r="F21" i="165"/>
  <c r="G21" i="165"/>
  <c r="H21" i="165"/>
  <c r="I21" i="165"/>
  <c r="J21" i="165"/>
  <c r="K21" i="165"/>
  <c r="L21" i="165"/>
  <c r="D26" i="165"/>
  <c r="E26" i="165"/>
  <c r="F26" i="165"/>
  <c r="G26" i="165"/>
  <c r="H26" i="165"/>
  <c r="I26" i="165"/>
  <c r="J26" i="165"/>
  <c r="K26" i="165"/>
  <c r="L26" i="165"/>
  <c r="D31" i="165"/>
  <c r="E31" i="165"/>
  <c r="F31" i="165"/>
  <c r="G31" i="165"/>
  <c r="H31" i="165"/>
  <c r="I31" i="165"/>
  <c r="J31" i="165"/>
  <c r="K31" i="165"/>
  <c r="L31" i="165"/>
  <c r="D36" i="165"/>
  <c r="E36" i="165"/>
  <c r="F36" i="165"/>
  <c r="G36" i="165"/>
  <c r="H36" i="165"/>
  <c r="I36" i="165"/>
  <c r="J36" i="165"/>
  <c r="K36" i="165"/>
  <c r="L36" i="165"/>
  <c r="D40" i="165"/>
  <c r="E40" i="165"/>
  <c r="F40" i="165"/>
  <c r="G40" i="165"/>
  <c r="H40" i="165"/>
  <c r="I40" i="165"/>
  <c r="J40" i="165"/>
  <c r="K40" i="165"/>
  <c r="L40" i="165"/>
  <c r="D44" i="165"/>
  <c r="E44" i="165"/>
  <c r="F44" i="165"/>
  <c r="G44" i="165"/>
  <c r="H44" i="165"/>
  <c r="I44" i="165"/>
  <c r="J44" i="165"/>
  <c r="K44" i="165"/>
  <c r="L44" i="165"/>
  <c r="D48" i="165"/>
  <c r="E48" i="165"/>
  <c r="F48" i="165"/>
  <c r="G48" i="165"/>
  <c r="H48" i="165"/>
  <c r="I48" i="165"/>
  <c r="J48" i="165"/>
  <c r="K48" i="165"/>
  <c r="L48" i="165"/>
  <c r="D54" i="165"/>
  <c r="E54" i="165"/>
  <c r="F54" i="165"/>
  <c r="G54" i="165"/>
  <c r="I54" i="165"/>
  <c r="J54" i="165"/>
  <c r="K54" i="165"/>
  <c r="L54" i="165"/>
  <c r="D63" i="165"/>
  <c r="E63" i="165"/>
  <c r="F63" i="165"/>
  <c r="G63" i="165"/>
  <c r="H63" i="165"/>
  <c r="I63" i="165"/>
  <c r="J63" i="165"/>
  <c r="K63" i="165"/>
  <c r="L63" i="165"/>
  <c r="D75" i="165"/>
  <c r="E75" i="165"/>
  <c r="F75" i="165"/>
  <c r="G75" i="165"/>
  <c r="H75" i="165"/>
  <c r="I75" i="165"/>
  <c r="J75" i="165"/>
  <c r="K75" i="165"/>
  <c r="L75" i="165"/>
  <c r="D81" i="165"/>
  <c r="E81" i="165"/>
  <c r="F81" i="165"/>
  <c r="G81" i="165"/>
  <c r="H81" i="165"/>
  <c r="I81" i="165"/>
  <c r="J81" i="165"/>
  <c r="K81" i="165"/>
  <c r="L81" i="165"/>
  <c r="D86" i="165"/>
  <c r="E86" i="165"/>
  <c r="F86" i="165"/>
  <c r="G86" i="165"/>
  <c r="H86" i="165"/>
  <c r="I86" i="165"/>
  <c r="J86" i="165"/>
  <c r="K86" i="165"/>
  <c r="L86" i="165"/>
  <c r="D95" i="165"/>
  <c r="F95" i="165"/>
  <c r="G95" i="165"/>
  <c r="H95" i="165"/>
  <c r="I95" i="165"/>
  <c r="J95" i="165"/>
  <c r="K95" i="165"/>
  <c r="L95" i="165"/>
  <c r="D99" i="165"/>
  <c r="F99" i="165"/>
  <c r="G99" i="165"/>
  <c r="H99" i="165"/>
  <c r="I99" i="165"/>
  <c r="J99" i="165"/>
  <c r="K99" i="165"/>
  <c r="L99" i="165"/>
  <c r="D106" i="165"/>
  <c r="E106" i="165"/>
  <c r="F106" i="165"/>
  <c r="G106" i="165"/>
  <c r="H106" i="165"/>
  <c r="I106" i="165"/>
  <c r="J106" i="165"/>
  <c r="K106" i="165"/>
  <c r="L106" i="165"/>
  <c r="D110" i="165"/>
  <c r="E110" i="165"/>
  <c r="F110" i="165"/>
  <c r="G110" i="165"/>
  <c r="H110" i="165"/>
  <c r="I110" i="165"/>
  <c r="J110" i="165"/>
  <c r="K110" i="165"/>
  <c r="L110" i="165"/>
  <c r="D115" i="165"/>
  <c r="E115" i="165"/>
  <c r="F115" i="165"/>
  <c r="G115" i="165"/>
  <c r="H115" i="165"/>
  <c r="I115" i="165"/>
  <c r="J115" i="165"/>
  <c r="K115" i="165"/>
  <c r="L115" i="165"/>
  <c r="D123" i="165"/>
  <c r="E123" i="165"/>
  <c r="F123" i="165"/>
  <c r="G123" i="165"/>
  <c r="H123" i="165"/>
  <c r="I123" i="165"/>
  <c r="J123" i="165"/>
  <c r="K123" i="165"/>
  <c r="L123" i="165"/>
  <c r="D130" i="165"/>
  <c r="E130" i="165"/>
  <c r="F130" i="165"/>
  <c r="G130" i="165"/>
  <c r="H130" i="165"/>
  <c r="I130" i="165"/>
  <c r="J130" i="165"/>
  <c r="K130" i="165"/>
  <c r="L130" i="165"/>
  <c r="D134" i="165"/>
  <c r="E134" i="165"/>
  <c r="F134" i="165"/>
  <c r="G134" i="165"/>
  <c r="H134" i="165"/>
  <c r="I134" i="165"/>
  <c r="J134" i="165"/>
  <c r="K134" i="165"/>
  <c r="L134" i="165"/>
  <c r="D138" i="165"/>
  <c r="E138" i="165"/>
  <c r="F138" i="165"/>
  <c r="G138" i="165"/>
  <c r="I138" i="165"/>
  <c r="J138" i="165"/>
  <c r="K138" i="165"/>
  <c r="L138" i="165"/>
  <c r="D144" i="165"/>
  <c r="E144" i="165"/>
  <c r="F144" i="165"/>
  <c r="G144" i="165"/>
  <c r="H144" i="165"/>
  <c r="I144" i="165"/>
  <c r="J144" i="165"/>
  <c r="K144" i="165"/>
  <c r="L144" i="165"/>
  <c r="D148" i="165"/>
  <c r="E148" i="165"/>
  <c r="F148" i="165"/>
  <c r="G148" i="165"/>
  <c r="H148" i="165"/>
  <c r="I148" i="165"/>
  <c r="J148" i="165"/>
  <c r="K148" i="165"/>
  <c r="L148" i="165"/>
  <c r="D153" i="165"/>
  <c r="E153" i="165"/>
  <c r="F153" i="165"/>
  <c r="G153" i="165"/>
  <c r="H153" i="165"/>
  <c r="I153" i="165"/>
  <c r="J153" i="165"/>
  <c r="K153" i="165"/>
  <c r="L153" i="165"/>
  <c r="D160" i="165"/>
  <c r="E160" i="165"/>
  <c r="F160" i="165"/>
  <c r="G160" i="165"/>
  <c r="H160" i="165"/>
  <c r="I160" i="165"/>
  <c r="J160" i="165"/>
  <c r="K160" i="165"/>
  <c r="L160" i="165"/>
  <c r="D169" i="165"/>
  <c r="E169" i="165"/>
  <c r="F169" i="165"/>
  <c r="G169" i="165"/>
  <c r="H169" i="165"/>
  <c r="I169" i="165"/>
  <c r="J169" i="165"/>
  <c r="K169" i="165"/>
  <c r="L169" i="165"/>
  <c r="D188" i="165"/>
  <c r="E188" i="165"/>
  <c r="F188" i="165"/>
  <c r="G188" i="165"/>
  <c r="H188" i="165"/>
  <c r="I188" i="165"/>
  <c r="J188" i="165"/>
  <c r="K188" i="165"/>
  <c r="L188" i="165"/>
  <c r="F32" i="164"/>
  <c r="G32" i="164"/>
  <c r="H32" i="164"/>
  <c r="I32" i="164"/>
  <c r="J32" i="164"/>
  <c r="K32" i="164"/>
  <c r="L32" i="164"/>
  <c r="M32" i="164"/>
  <c r="N32" i="164"/>
  <c r="E19" i="163"/>
  <c r="F19" i="163"/>
  <c r="G19" i="163"/>
  <c r="H19" i="163"/>
  <c r="I19" i="163"/>
  <c r="J19" i="163"/>
  <c r="K19" i="163"/>
  <c r="L19" i="163"/>
  <c r="M19" i="163"/>
  <c r="E24" i="163"/>
  <c r="F24" i="163"/>
  <c r="G24" i="163"/>
  <c r="H24" i="163"/>
  <c r="I24" i="163"/>
  <c r="J24" i="163"/>
  <c r="K24" i="163"/>
  <c r="L24" i="163"/>
  <c r="M24" i="163"/>
  <c r="E28" i="163"/>
  <c r="E32" i="163"/>
  <c r="F32" i="163"/>
  <c r="G32" i="163"/>
  <c r="H32" i="163"/>
  <c r="I32" i="163"/>
  <c r="J32" i="163"/>
  <c r="K32" i="163"/>
  <c r="L32" i="163"/>
  <c r="M32" i="163"/>
  <c r="E42" i="163"/>
  <c r="F42" i="163"/>
  <c r="G42" i="163"/>
  <c r="H42" i="163"/>
  <c r="I42" i="163"/>
  <c r="J42" i="163"/>
  <c r="K42" i="163"/>
  <c r="L42" i="163"/>
  <c r="M42" i="163"/>
  <c r="E46" i="163"/>
  <c r="F46" i="163"/>
  <c r="G46" i="163"/>
  <c r="H46" i="163"/>
  <c r="I46" i="163"/>
  <c r="J46" i="163"/>
  <c r="K46" i="163"/>
  <c r="L46" i="163"/>
  <c r="M46" i="163"/>
  <c r="E50" i="163"/>
  <c r="F50" i="163"/>
  <c r="G50" i="163"/>
  <c r="H50" i="163"/>
  <c r="I50" i="163"/>
  <c r="J50" i="163"/>
  <c r="K50" i="163"/>
  <c r="L50" i="163"/>
  <c r="M50" i="163"/>
  <c r="E57" i="163"/>
  <c r="F57" i="163"/>
  <c r="G57" i="163"/>
  <c r="H57" i="163"/>
  <c r="I57" i="163"/>
  <c r="J57" i="163"/>
  <c r="K57" i="163"/>
  <c r="L57" i="163"/>
  <c r="M57" i="163"/>
  <c r="E64" i="163"/>
  <c r="F64" i="163"/>
  <c r="G64" i="163"/>
  <c r="H64" i="163"/>
  <c r="I64" i="163"/>
  <c r="J64" i="163"/>
  <c r="K64" i="163"/>
  <c r="L64" i="163"/>
  <c r="M64" i="163"/>
  <c r="E68" i="163"/>
  <c r="F68" i="163"/>
  <c r="G68" i="163"/>
  <c r="H68" i="163"/>
  <c r="I68" i="163"/>
  <c r="J68" i="163"/>
  <c r="K68" i="163"/>
  <c r="L68" i="163"/>
  <c r="M68" i="163"/>
  <c r="E79" i="163"/>
  <c r="F79" i="163"/>
  <c r="G79" i="163"/>
  <c r="H79" i="163"/>
  <c r="I79" i="163"/>
  <c r="J79" i="163"/>
  <c r="K79" i="163"/>
  <c r="L79" i="163"/>
  <c r="M79" i="163"/>
  <c r="D22" i="162"/>
  <c r="E22" i="162"/>
  <c r="F22" i="162"/>
  <c r="G22" i="162"/>
  <c r="H22" i="162"/>
  <c r="I22" i="162"/>
  <c r="J22" i="162"/>
  <c r="K22" i="162"/>
  <c r="L22" i="162"/>
  <c r="D27" i="162"/>
  <c r="E27" i="162"/>
  <c r="F27" i="162"/>
  <c r="G27" i="162"/>
  <c r="H27" i="162"/>
  <c r="I27" i="162"/>
  <c r="J27" i="162"/>
  <c r="K27" i="162"/>
  <c r="L27" i="162"/>
  <c r="D32" i="162"/>
  <c r="E32" i="162"/>
  <c r="F32" i="162"/>
  <c r="G32" i="162"/>
  <c r="H32" i="162"/>
  <c r="I32" i="162"/>
  <c r="J32" i="162"/>
  <c r="K32" i="162"/>
  <c r="L32" i="162"/>
  <c r="D37" i="162"/>
  <c r="E37" i="162"/>
  <c r="F37" i="162"/>
  <c r="G37" i="162"/>
  <c r="H37" i="162"/>
  <c r="I37" i="162"/>
  <c r="J37" i="162"/>
  <c r="K37" i="162"/>
  <c r="L37" i="162"/>
  <c r="D41" i="162"/>
  <c r="E41" i="162"/>
  <c r="F41" i="162"/>
  <c r="G41" i="162"/>
  <c r="H41" i="162"/>
  <c r="I41" i="162"/>
  <c r="J41" i="162"/>
  <c r="K41" i="162"/>
  <c r="L41" i="162"/>
  <c r="D45" i="162"/>
  <c r="E45" i="162"/>
  <c r="F45" i="162"/>
  <c r="G45" i="162"/>
  <c r="H45" i="162"/>
  <c r="I45" i="162"/>
  <c r="J45" i="162"/>
  <c r="K45" i="162"/>
  <c r="L45" i="162"/>
  <c r="D49" i="162"/>
  <c r="E49" i="162"/>
  <c r="F49" i="162"/>
  <c r="G49" i="162"/>
  <c r="H49" i="162"/>
  <c r="I49" i="162"/>
  <c r="J49" i="162"/>
  <c r="K49" i="162"/>
  <c r="L49" i="162"/>
  <c r="D55" i="162"/>
  <c r="E55" i="162"/>
  <c r="F55" i="162"/>
  <c r="G55" i="162"/>
  <c r="I55" i="162"/>
  <c r="J55" i="162"/>
  <c r="K55" i="162"/>
  <c r="L55" i="162"/>
  <c r="D64" i="162"/>
  <c r="E64" i="162"/>
  <c r="F64" i="162"/>
  <c r="G64" i="162"/>
  <c r="H64" i="162"/>
  <c r="I64" i="162"/>
  <c r="J64" i="162"/>
  <c r="K64" i="162"/>
  <c r="L64" i="162"/>
  <c r="D76" i="162"/>
  <c r="E76" i="162"/>
  <c r="F76" i="162"/>
  <c r="G76" i="162"/>
  <c r="H76" i="162"/>
  <c r="I76" i="162"/>
  <c r="J76" i="162"/>
  <c r="K76" i="162"/>
  <c r="L76" i="162"/>
  <c r="D82" i="162"/>
  <c r="E82" i="162"/>
  <c r="F82" i="162"/>
  <c r="G82" i="162"/>
  <c r="H82" i="162"/>
  <c r="I82" i="162"/>
  <c r="J82" i="162"/>
  <c r="K82" i="162"/>
  <c r="L82" i="162"/>
  <c r="D87" i="162"/>
  <c r="E87" i="162"/>
  <c r="F87" i="162"/>
  <c r="G87" i="162"/>
  <c r="H87" i="162"/>
  <c r="I87" i="162"/>
  <c r="J87" i="162"/>
  <c r="K87" i="162"/>
  <c r="L87" i="162"/>
  <c r="D95" i="162"/>
  <c r="E95" i="162"/>
  <c r="F95" i="162"/>
  <c r="G95" i="162"/>
  <c r="H95" i="162"/>
  <c r="I95" i="162"/>
  <c r="J95" i="162"/>
  <c r="K95" i="162"/>
  <c r="L95" i="162"/>
  <c r="D99" i="162"/>
  <c r="F99" i="162"/>
  <c r="G99" i="162"/>
  <c r="H99" i="162"/>
  <c r="I99" i="162"/>
  <c r="J99" i="162"/>
  <c r="K99" i="162"/>
  <c r="L99" i="162"/>
  <c r="D106" i="162"/>
  <c r="E106" i="162"/>
  <c r="F106" i="162"/>
  <c r="G106" i="162"/>
  <c r="H106" i="162"/>
  <c r="I106" i="162"/>
  <c r="J106" i="162"/>
  <c r="K106" i="162"/>
  <c r="L106" i="162"/>
  <c r="D110" i="162"/>
  <c r="E110" i="162"/>
  <c r="F110" i="162"/>
  <c r="G110" i="162"/>
  <c r="H110" i="162"/>
  <c r="I110" i="162"/>
  <c r="J110" i="162"/>
  <c r="K110" i="162"/>
  <c r="L110" i="162"/>
  <c r="D115" i="162"/>
  <c r="E115" i="162"/>
  <c r="F115" i="162"/>
  <c r="G115" i="162"/>
  <c r="H115" i="162"/>
  <c r="I115" i="162"/>
  <c r="J115" i="162"/>
  <c r="K115" i="162"/>
  <c r="L115" i="162"/>
  <c r="D123" i="162"/>
  <c r="E123" i="162"/>
  <c r="F123" i="162"/>
  <c r="G123" i="162"/>
  <c r="H123" i="162"/>
  <c r="I123" i="162"/>
  <c r="J123" i="162"/>
  <c r="K123" i="162"/>
  <c r="L123" i="162"/>
  <c r="D130" i="162"/>
  <c r="E130" i="162"/>
  <c r="F130" i="162"/>
  <c r="G130" i="162"/>
  <c r="H130" i="162"/>
  <c r="I130" i="162"/>
  <c r="J130" i="162"/>
  <c r="K130" i="162"/>
  <c r="L130" i="162"/>
  <c r="D134" i="162"/>
  <c r="E134" i="162"/>
  <c r="F134" i="162"/>
  <c r="G134" i="162"/>
  <c r="H134" i="162"/>
  <c r="I134" i="162"/>
  <c r="J134" i="162"/>
  <c r="K134" i="162"/>
  <c r="L134" i="162"/>
  <c r="D139" i="162"/>
  <c r="E139" i="162"/>
  <c r="F139" i="162"/>
  <c r="G139" i="162"/>
  <c r="H139" i="162"/>
  <c r="I139" i="162"/>
  <c r="J139" i="162"/>
  <c r="K139" i="162"/>
  <c r="L139" i="162"/>
  <c r="D145" i="162"/>
  <c r="E145" i="162"/>
  <c r="F145" i="162"/>
  <c r="G145" i="162"/>
  <c r="H145" i="162"/>
  <c r="I145" i="162"/>
  <c r="J145" i="162"/>
  <c r="K145" i="162"/>
  <c r="L145" i="162"/>
  <c r="D149" i="162"/>
  <c r="E149" i="162"/>
  <c r="F149" i="162"/>
  <c r="G149" i="162"/>
  <c r="H149" i="162"/>
  <c r="I149" i="162"/>
  <c r="J149" i="162"/>
  <c r="K149" i="162"/>
  <c r="L149" i="162"/>
  <c r="D154" i="162"/>
  <c r="E154" i="162"/>
  <c r="F154" i="162"/>
  <c r="G154" i="162"/>
  <c r="H154" i="162"/>
  <c r="I154" i="162"/>
  <c r="J154" i="162"/>
  <c r="K154" i="162"/>
  <c r="L154" i="162"/>
  <c r="D161" i="162"/>
  <c r="E161" i="162"/>
  <c r="F161" i="162"/>
  <c r="G161" i="162"/>
  <c r="H161" i="162"/>
  <c r="I161" i="162"/>
  <c r="J161" i="162"/>
  <c r="K161" i="162"/>
  <c r="L161" i="162"/>
  <c r="D171" i="162"/>
  <c r="E171" i="162"/>
  <c r="F171" i="162"/>
  <c r="G171" i="162"/>
  <c r="H171" i="162"/>
  <c r="I171" i="162"/>
  <c r="J171" i="162"/>
  <c r="K171" i="162"/>
  <c r="L171" i="162"/>
  <c r="D190" i="162"/>
  <c r="E190" i="162"/>
  <c r="F190" i="162"/>
  <c r="G190" i="162"/>
  <c r="H190" i="162"/>
  <c r="I190" i="162"/>
  <c r="J190" i="162"/>
  <c r="K190" i="162"/>
  <c r="L190" i="162"/>
  <c r="F32" i="161"/>
  <c r="G32" i="161"/>
  <c r="H32" i="161"/>
  <c r="I32" i="161"/>
  <c r="J32" i="161"/>
  <c r="K32" i="161"/>
  <c r="L32" i="161"/>
  <c r="M32" i="161"/>
  <c r="N32" i="161"/>
  <c r="E19" i="160"/>
  <c r="F19" i="160"/>
  <c r="G19" i="160"/>
  <c r="H19" i="160"/>
  <c r="I19" i="160"/>
  <c r="J19" i="160"/>
  <c r="K19" i="160"/>
  <c r="L19" i="160"/>
  <c r="M19" i="160"/>
  <c r="E24" i="160"/>
  <c r="F24" i="160"/>
  <c r="G24" i="160"/>
  <c r="H24" i="160"/>
  <c r="I24" i="160"/>
  <c r="J24" i="160"/>
  <c r="K24" i="160"/>
  <c r="L24" i="160"/>
  <c r="M24" i="160"/>
  <c r="E28" i="160"/>
  <c r="E32" i="160"/>
  <c r="F32" i="160"/>
  <c r="G32" i="160"/>
  <c r="H32" i="160"/>
  <c r="I32" i="160"/>
  <c r="J32" i="160"/>
  <c r="K32" i="160"/>
  <c r="L32" i="160"/>
  <c r="M32" i="160"/>
  <c r="E42" i="160"/>
  <c r="F42" i="160"/>
  <c r="G42" i="160"/>
  <c r="H42" i="160"/>
  <c r="I42" i="160"/>
  <c r="J42" i="160"/>
  <c r="K42" i="160"/>
  <c r="L42" i="160"/>
  <c r="M42" i="160"/>
  <c r="E46" i="160"/>
  <c r="F46" i="160"/>
  <c r="G46" i="160"/>
  <c r="H46" i="160"/>
  <c r="I46" i="160"/>
  <c r="J46" i="160"/>
  <c r="K46" i="160"/>
  <c r="L46" i="160"/>
  <c r="M46" i="160"/>
  <c r="E54" i="160"/>
  <c r="F54" i="160"/>
  <c r="G54" i="160"/>
  <c r="H54" i="160"/>
  <c r="I54" i="160"/>
  <c r="J54" i="160"/>
  <c r="K54" i="160"/>
  <c r="L54" i="160"/>
  <c r="M54" i="160"/>
  <c r="E61" i="160"/>
  <c r="F61" i="160"/>
  <c r="G61" i="160"/>
  <c r="H61" i="160"/>
  <c r="I61" i="160"/>
  <c r="J61" i="160"/>
  <c r="K61" i="160"/>
  <c r="L61" i="160"/>
  <c r="M61" i="160"/>
  <c r="E65" i="160"/>
  <c r="F65" i="160"/>
  <c r="G65" i="160"/>
  <c r="H65" i="160"/>
  <c r="I65" i="160"/>
  <c r="J65" i="160"/>
  <c r="K65" i="160"/>
  <c r="L65" i="160"/>
  <c r="M65" i="160"/>
  <c r="E77" i="160"/>
  <c r="F77" i="160"/>
  <c r="G77" i="160"/>
  <c r="H77" i="160"/>
  <c r="I77" i="160"/>
  <c r="J77" i="160"/>
  <c r="K77" i="160"/>
  <c r="L77" i="160"/>
  <c r="M77" i="160"/>
  <c r="D23" i="159"/>
  <c r="E23" i="159"/>
  <c r="F23" i="159"/>
  <c r="G23" i="159"/>
  <c r="H23" i="159"/>
  <c r="I23" i="159"/>
  <c r="J23" i="159"/>
  <c r="K23" i="159"/>
  <c r="L23" i="159"/>
  <c r="D28" i="159"/>
  <c r="E28" i="159"/>
  <c r="F28" i="159"/>
  <c r="G28" i="159"/>
  <c r="H28" i="159"/>
  <c r="I28" i="159"/>
  <c r="J28" i="159"/>
  <c r="K28" i="159"/>
  <c r="L28" i="159"/>
  <c r="D33" i="159"/>
  <c r="E33" i="159"/>
  <c r="F33" i="159"/>
  <c r="G33" i="159"/>
  <c r="H33" i="159"/>
  <c r="I33" i="159"/>
  <c r="J33" i="159"/>
  <c r="K33" i="159"/>
  <c r="L33" i="159"/>
  <c r="D39" i="159"/>
  <c r="E39" i="159"/>
  <c r="F39" i="159"/>
  <c r="G39" i="159"/>
  <c r="H39" i="159"/>
  <c r="I39" i="159"/>
  <c r="J39" i="159"/>
  <c r="K39" i="159"/>
  <c r="L39" i="159"/>
  <c r="D43" i="159"/>
  <c r="E43" i="159"/>
  <c r="F43" i="159"/>
  <c r="G43" i="159"/>
  <c r="H43" i="159"/>
  <c r="I43" i="159"/>
  <c r="J43" i="159"/>
  <c r="K43" i="159"/>
  <c r="L43" i="159"/>
  <c r="D47" i="159"/>
  <c r="E47" i="159"/>
  <c r="F47" i="159"/>
  <c r="G47" i="159"/>
  <c r="H47" i="159"/>
  <c r="I47" i="159"/>
  <c r="J47" i="159"/>
  <c r="K47" i="159"/>
  <c r="L47" i="159"/>
  <c r="D51" i="159"/>
  <c r="E51" i="159"/>
  <c r="F51" i="159"/>
  <c r="G51" i="159"/>
  <c r="H51" i="159"/>
  <c r="I51" i="159"/>
  <c r="J51" i="159"/>
  <c r="K51" i="159"/>
  <c r="L51" i="159"/>
  <c r="D57" i="159"/>
  <c r="E57" i="159"/>
  <c r="F57" i="159"/>
  <c r="G57" i="159"/>
  <c r="I57" i="159"/>
  <c r="J57" i="159"/>
  <c r="K57" i="159"/>
  <c r="L57" i="159"/>
  <c r="D66" i="159"/>
  <c r="E66" i="159"/>
  <c r="F66" i="159"/>
  <c r="G66" i="159"/>
  <c r="H66" i="159"/>
  <c r="I66" i="159"/>
  <c r="J66" i="159"/>
  <c r="K66" i="159"/>
  <c r="L66" i="159"/>
  <c r="D78" i="159"/>
  <c r="E78" i="159"/>
  <c r="F78" i="159"/>
  <c r="G78" i="159"/>
  <c r="H78" i="159"/>
  <c r="I78" i="159"/>
  <c r="J78" i="159"/>
  <c r="K78" i="159"/>
  <c r="L78" i="159"/>
  <c r="D84" i="159"/>
  <c r="E84" i="159"/>
  <c r="F84" i="159"/>
  <c r="G84" i="159"/>
  <c r="H84" i="159"/>
  <c r="I84" i="159"/>
  <c r="J84" i="159"/>
  <c r="K84" i="159"/>
  <c r="L84" i="159"/>
  <c r="D89" i="159"/>
  <c r="E89" i="159"/>
  <c r="F89" i="159"/>
  <c r="G89" i="159"/>
  <c r="H89" i="159"/>
  <c r="I89" i="159"/>
  <c r="J89" i="159"/>
  <c r="K89" i="159"/>
  <c r="L89" i="159"/>
  <c r="D97" i="159"/>
  <c r="E97" i="159"/>
  <c r="F97" i="159"/>
  <c r="G97" i="159"/>
  <c r="H97" i="159"/>
  <c r="I97" i="159"/>
  <c r="J97" i="159"/>
  <c r="K97" i="159"/>
  <c r="L97" i="159"/>
  <c r="D101" i="159"/>
  <c r="F101" i="159"/>
  <c r="G101" i="159"/>
  <c r="H101" i="159"/>
  <c r="I101" i="159"/>
  <c r="J101" i="159"/>
  <c r="K101" i="159"/>
  <c r="L101" i="159"/>
  <c r="D108" i="159"/>
  <c r="E108" i="159"/>
  <c r="F108" i="159"/>
  <c r="G108" i="159"/>
  <c r="H108" i="159"/>
  <c r="I108" i="159"/>
  <c r="J108" i="159"/>
  <c r="K108" i="159"/>
  <c r="L108" i="159"/>
  <c r="D112" i="159"/>
  <c r="E112" i="159"/>
  <c r="F112" i="159"/>
  <c r="G112" i="159"/>
  <c r="H112" i="159"/>
  <c r="I112" i="159"/>
  <c r="J112" i="159"/>
  <c r="K112" i="159"/>
  <c r="L112" i="159"/>
  <c r="D117" i="159"/>
  <c r="E117" i="159"/>
  <c r="F117" i="159"/>
  <c r="G117" i="159"/>
  <c r="H117" i="159"/>
  <c r="I117" i="159"/>
  <c r="J117" i="159"/>
  <c r="K117" i="159"/>
  <c r="L117" i="159"/>
  <c r="D125" i="159"/>
  <c r="E125" i="159"/>
  <c r="F125" i="159"/>
  <c r="G125" i="159"/>
  <c r="H125" i="159"/>
  <c r="I125" i="159"/>
  <c r="J125" i="159"/>
  <c r="K125" i="159"/>
  <c r="L125" i="159"/>
  <c r="D132" i="159"/>
  <c r="E132" i="159"/>
  <c r="F132" i="159"/>
  <c r="G132" i="159"/>
  <c r="H132" i="159"/>
  <c r="I132" i="159"/>
  <c r="J132" i="159"/>
  <c r="K132" i="159"/>
  <c r="L132" i="159"/>
  <c r="D136" i="159"/>
  <c r="E136" i="159"/>
  <c r="F136" i="159"/>
  <c r="G136" i="159"/>
  <c r="H136" i="159"/>
  <c r="I136" i="159"/>
  <c r="J136" i="159"/>
  <c r="K136" i="159"/>
  <c r="L136" i="159"/>
  <c r="D141" i="159"/>
  <c r="E141" i="159"/>
  <c r="F141" i="159"/>
  <c r="G141" i="159"/>
  <c r="H141" i="159"/>
  <c r="I141" i="159"/>
  <c r="J141" i="159"/>
  <c r="K141" i="159"/>
  <c r="L141" i="159"/>
  <c r="D147" i="159"/>
  <c r="E147" i="159"/>
  <c r="F147" i="159"/>
  <c r="G147" i="159"/>
  <c r="H147" i="159"/>
  <c r="I147" i="159"/>
  <c r="J147" i="159"/>
  <c r="K147" i="159"/>
  <c r="L147" i="159"/>
  <c r="D151" i="159"/>
  <c r="E151" i="159"/>
  <c r="F151" i="159"/>
  <c r="G151" i="159"/>
  <c r="H151" i="159"/>
  <c r="I151" i="159"/>
  <c r="J151" i="159"/>
  <c r="K151" i="159"/>
  <c r="L151" i="159"/>
  <c r="D156" i="159"/>
  <c r="E156" i="159"/>
  <c r="F156" i="159"/>
  <c r="G156" i="159"/>
  <c r="H156" i="159"/>
  <c r="I156" i="159"/>
  <c r="J156" i="159"/>
  <c r="K156" i="159"/>
  <c r="L156" i="159"/>
  <c r="D163" i="159"/>
  <c r="E163" i="159"/>
  <c r="F163" i="159"/>
  <c r="G163" i="159"/>
  <c r="H163" i="159"/>
  <c r="I163" i="159"/>
  <c r="J163" i="159"/>
  <c r="K163" i="159"/>
  <c r="L163" i="159"/>
  <c r="D172" i="159"/>
  <c r="E172" i="159"/>
  <c r="F172" i="159"/>
  <c r="G172" i="159"/>
  <c r="H172" i="159"/>
  <c r="I172" i="159"/>
  <c r="J172" i="159"/>
  <c r="K172" i="159"/>
  <c r="L172" i="159"/>
  <c r="D191" i="159"/>
  <c r="E191" i="159"/>
  <c r="F191" i="159"/>
  <c r="G191" i="159"/>
  <c r="H191" i="159"/>
  <c r="I191" i="159"/>
  <c r="J191" i="159"/>
  <c r="K191" i="159"/>
  <c r="L191" i="159"/>
  <c r="F32" i="158"/>
  <c r="G32" i="158"/>
  <c r="H32" i="158"/>
  <c r="I32" i="158"/>
  <c r="J32" i="158"/>
  <c r="K32" i="158"/>
  <c r="L32" i="158"/>
  <c r="M32" i="158"/>
  <c r="N32" i="158"/>
  <c r="E19" i="157"/>
  <c r="F19" i="157"/>
  <c r="G19" i="157"/>
  <c r="H19" i="157"/>
  <c r="I19" i="157"/>
  <c r="J19" i="157"/>
  <c r="K19" i="157"/>
  <c r="L19" i="157"/>
  <c r="M19" i="157"/>
  <c r="E24" i="157"/>
  <c r="F24" i="157"/>
  <c r="G24" i="157"/>
  <c r="H24" i="157"/>
  <c r="I24" i="157"/>
  <c r="J24" i="157"/>
  <c r="K24" i="157"/>
  <c r="L24" i="157"/>
  <c r="M24" i="157"/>
  <c r="E28" i="157"/>
  <c r="E33" i="157"/>
  <c r="F33" i="157"/>
  <c r="G33" i="157"/>
  <c r="H33" i="157"/>
  <c r="I33" i="157"/>
  <c r="J33" i="157"/>
  <c r="K33" i="157"/>
  <c r="L33" i="157"/>
  <c r="M33" i="157"/>
  <c r="E43" i="157"/>
  <c r="F43" i="157"/>
  <c r="G43" i="157"/>
  <c r="H43" i="157"/>
  <c r="I43" i="157"/>
  <c r="J43" i="157"/>
  <c r="K43" i="157"/>
  <c r="L43" i="157"/>
  <c r="M43" i="157"/>
  <c r="E47" i="157"/>
  <c r="F47" i="157"/>
  <c r="G47" i="157"/>
  <c r="H47" i="157"/>
  <c r="I47" i="157"/>
  <c r="J47" i="157"/>
  <c r="K47" i="157"/>
  <c r="L47" i="157"/>
  <c r="M47" i="157"/>
  <c r="E55" i="157"/>
  <c r="F55" i="157"/>
  <c r="G55" i="157"/>
  <c r="H55" i="157"/>
  <c r="I55" i="157"/>
  <c r="J55" i="157"/>
  <c r="K55" i="157"/>
  <c r="L55" i="157"/>
  <c r="M55" i="157"/>
  <c r="E62" i="157"/>
  <c r="F62" i="157"/>
  <c r="G62" i="157"/>
  <c r="H62" i="157"/>
  <c r="I62" i="157"/>
  <c r="J62" i="157"/>
  <c r="K62" i="157"/>
  <c r="L62" i="157"/>
  <c r="M62" i="157"/>
  <c r="E66" i="157"/>
  <c r="F66" i="157"/>
  <c r="G66" i="157"/>
  <c r="H66" i="157"/>
  <c r="I66" i="157"/>
  <c r="J66" i="157"/>
  <c r="K66" i="157"/>
  <c r="L66" i="157"/>
  <c r="M66" i="157"/>
  <c r="E78" i="157"/>
  <c r="F78" i="157"/>
  <c r="G78" i="157"/>
  <c r="H78" i="157"/>
  <c r="I78" i="157"/>
  <c r="J78" i="157"/>
  <c r="K78" i="157"/>
  <c r="L78" i="157"/>
  <c r="M78" i="157"/>
  <c r="D23" i="156"/>
  <c r="E23" i="156"/>
  <c r="F23" i="156"/>
  <c r="G23" i="156"/>
  <c r="H23" i="156"/>
  <c r="I23" i="156"/>
  <c r="J23" i="156"/>
  <c r="K23" i="156"/>
  <c r="L23" i="156"/>
  <c r="D28" i="156"/>
  <c r="E28" i="156"/>
  <c r="F28" i="156"/>
  <c r="G28" i="156"/>
  <c r="H28" i="156"/>
  <c r="I28" i="156"/>
  <c r="J28" i="156"/>
  <c r="K28" i="156"/>
  <c r="L28" i="156"/>
  <c r="D33" i="156"/>
  <c r="E33" i="156"/>
  <c r="F33" i="156"/>
  <c r="G33" i="156"/>
  <c r="H33" i="156"/>
  <c r="I33" i="156"/>
  <c r="J33" i="156"/>
  <c r="K33" i="156"/>
  <c r="L33" i="156"/>
  <c r="D39" i="156"/>
  <c r="E39" i="156"/>
  <c r="F39" i="156"/>
  <c r="G39" i="156"/>
  <c r="H39" i="156"/>
  <c r="I39" i="156"/>
  <c r="J39" i="156"/>
  <c r="K39" i="156"/>
  <c r="L39" i="156"/>
  <c r="D43" i="156"/>
  <c r="E43" i="156"/>
  <c r="F43" i="156"/>
  <c r="G43" i="156"/>
  <c r="H43" i="156"/>
  <c r="I43" i="156"/>
  <c r="J43" i="156"/>
  <c r="K43" i="156"/>
  <c r="L43" i="156"/>
  <c r="D47" i="156"/>
  <c r="E47" i="156"/>
  <c r="F47" i="156"/>
  <c r="G47" i="156"/>
  <c r="H47" i="156"/>
  <c r="I47" i="156"/>
  <c r="J47" i="156"/>
  <c r="K47" i="156"/>
  <c r="L47" i="156"/>
  <c r="D53" i="156"/>
  <c r="E53" i="156"/>
  <c r="F53" i="156"/>
  <c r="G53" i="156"/>
  <c r="I53" i="156"/>
  <c r="J53" i="156"/>
  <c r="K53" i="156"/>
  <c r="L53" i="156"/>
  <c r="D62" i="156"/>
  <c r="E62" i="156"/>
  <c r="F62" i="156"/>
  <c r="G62" i="156"/>
  <c r="H62" i="156"/>
  <c r="I62" i="156"/>
  <c r="J62" i="156"/>
  <c r="K62" i="156"/>
  <c r="L62" i="156"/>
  <c r="D74" i="156"/>
  <c r="E74" i="156"/>
  <c r="F74" i="156"/>
  <c r="G74" i="156"/>
  <c r="H74" i="156"/>
  <c r="I74" i="156"/>
  <c r="J74" i="156"/>
  <c r="K74" i="156"/>
  <c r="L74" i="156"/>
  <c r="D80" i="156"/>
  <c r="E80" i="156"/>
  <c r="F80" i="156"/>
  <c r="G80" i="156"/>
  <c r="H80" i="156"/>
  <c r="I80" i="156"/>
  <c r="J80" i="156"/>
  <c r="K80" i="156"/>
  <c r="L80" i="156"/>
  <c r="D85" i="156"/>
  <c r="E85" i="156"/>
  <c r="F85" i="156"/>
  <c r="G85" i="156"/>
  <c r="H85" i="156"/>
  <c r="I85" i="156"/>
  <c r="J85" i="156"/>
  <c r="K85" i="156"/>
  <c r="L85" i="156"/>
  <c r="D93" i="156"/>
  <c r="E93" i="156"/>
  <c r="F93" i="156"/>
  <c r="G93" i="156"/>
  <c r="H93" i="156"/>
  <c r="I93" i="156"/>
  <c r="J93" i="156"/>
  <c r="K93" i="156"/>
  <c r="L93" i="156"/>
  <c r="D97" i="156"/>
  <c r="F97" i="156"/>
  <c r="G97" i="156"/>
  <c r="H97" i="156"/>
  <c r="I97" i="156"/>
  <c r="J97" i="156"/>
  <c r="K97" i="156"/>
  <c r="L97" i="156"/>
  <c r="D105" i="156"/>
  <c r="E105" i="156"/>
  <c r="F105" i="156"/>
  <c r="G105" i="156"/>
  <c r="H105" i="156"/>
  <c r="I105" i="156"/>
  <c r="J105" i="156"/>
  <c r="K105" i="156"/>
  <c r="L105" i="156"/>
  <c r="D109" i="156"/>
  <c r="E109" i="156"/>
  <c r="F109" i="156"/>
  <c r="G109" i="156"/>
  <c r="H109" i="156"/>
  <c r="I109" i="156"/>
  <c r="J109" i="156"/>
  <c r="K109" i="156"/>
  <c r="L109" i="156"/>
  <c r="D114" i="156"/>
  <c r="E114" i="156"/>
  <c r="F114" i="156"/>
  <c r="G114" i="156"/>
  <c r="H114" i="156"/>
  <c r="I114" i="156"/>
  <c r="J114" i="156"/>
  <c r="K114" i="156"/>
  <c r="L114" i="156"/>
  <c r="D122" i="156"/>
  <c r="E122" i="156"/>
  <c r="F122" i="156"/>
  <c r="G122" i="156"/>
  <c r="H122" i="156"/>
  <c r="I122" i="156"/>
  <c r="J122" i="156"/>
  <c r="K122" i="156"/>
  <c r="L122" i="156"/>
  <c r="D129" i="156"/>
  <c r="E129" i="156"/>
  <c r="F129" i="156"/>
  <c r="G129" i="156"/>
  <c r="H129" i="156"/>
  <c r="I129" i="156"/>
  <c r="J129" i="156"/>
  <c r="K129" i="156"/>
  <c r="L129" i="156"/>
  <c r="D133" i="156"/>
  <c r="E133" i="156"/>
  <c r="F133" i="156"/>
  <c r="G133" i="156"/>
  <c r="H133" i="156"/>
  <c r="I133" i="156"/>
  <c r="J133" i="156"/>
  <c r="K133" i="156"/>
  <c r="L133" i="156"/>
  <c r="D138" i="156"/>
  <c r="E138" i="156"/>
  <c r="F138" i="156"/>
  <c r="G138" i="156"/>
  <c r="H138" i="156"/>
  <c r="I138" i="156"/>
  <c r="J138" i="156"/>
  <c r="K138" i="156"/>
  <c r="L138" i="156"/>
  <c r="D144" i="156"/>
  <c r="E144" i="156"/>
  <c r="F144" i="156"/>
  <c r="G144" i="156"/>
  <c r="H144" i="156"/>
  <c r="I144" i="156"/>
  <c r="J144" i="156"/>
  <c r="K144" i="156"/>
  <c r="L144" i="156"/>
  <c r="D148" i="156"/>
  <c r="E148" i="156"/>
  <c r="F148" i="156"/>
  <c r="G148" i="156"/>
  <c r="H148" i="156"/>
  <c r="I148" i="156"/>
  <c r="J148" i="156"/>
  <c r="K148" i="156"/>
  <c r="L148" i="156"/>
  <c r="D153" i="156"/>
  <c r="E153" i="156"/>
  <c r="F153" i="156"/>
  <c r="G153" i="156"/>
  <c r="H153" i="156"/>
  <c r="I153" i="156"/>
  <c r="J153" i="156"/>
  <c r="K153" i="156"/>
  <c r="L153" i="156"/>
  <c r="D161" i="156"/>
  <c r="E161" i="156"/>
  <c r="F161" i="156"/>
  <c r="G161" i="156"/>
  <c r="H161" i="156"/>
  <c r="I161" i="156"/>
  <c r="J161" i="156"/>
  <c r="K161" i="156"/>
  <c r="L161" i="156"/>
  <c r="D170" i="156"/>
  <c r="E170" i="156"/>
  <c r="F170" i="156"/>
  <c r="G170" i="156"/>
  <c r="H170" i="156"/>
  <c r="I170" i="156"/>
  <c r="J170" i="156"/>
  <c r="K170" i="156"/>
  <c r="L170" i="156"/>
  <c r="D189" i="156"/>
  <c r="E189" i="156"/>
  <c r="F189" i="156"/>
  <c r="G189" i="156"/>
  <c r="H189" i="156"/>
  <c r="I189" i="156"/>
  <c r="J189" i="156"/>
  <c r="K189" i="156"/>
  <c r="L189" i="156"/>
  <c r="D17" i="155"/>
  <c r="E17" i="155"/>
  <c r="F17" i="155"/>
  <c r="G17" i="155"/>
  <c r="H17" i="155"/>
  <c r="I17" i="155"/>
  <c r="J17" i="155"/>
  <c r="K17" i="155"/>
  <c r="L17" i="155"/>
  <c r="D21" i="155"/>
  <c r="E21" i="155"/>
  <c r="F21" i="155"/>
  <c r="G21" i="155"/>
  <c r="H21" i="155"/>
  <c r="I21" i="155"/>
  <c r="J21" i="155"/>
  <c r="K21" i="155"/>
  <c r="L21" i="155"/>
  <c r="F32" i="154"/>
  <c r="G32" i="154"/>
  <c r="H32" i="154"/>
  <c r="I32" i="154"/>
  <c r="J32" i="154"/>
  <c r="K32" i="154"/>
  <c r="L32" i="154"/>
  <c r="M32" i="154"/>
  <c r="N32" i="154"/>
  <c r="E19" i="153"/>
  <c r="F19" i="153"/>
  <c r="G19" i="153"/>
  <c r="H19" i="153"/>
  <c r="I19" i="153"/>
  <c r="J19" i="153"/>
  <c r="K19" i="153"/>
  <c r="L19" i="153"/>
  <c r="M19" i="153"/>
  <c r="E24" i="153"/>
  <c r="F24" i="153"/>
  <c r="G24" i="153"/>
  <c r="H24" i="153"/>
  <c r="I24" i="153"/>
  <c r="J24" i="153"/>
  <c r="K24" i="153"/>
  <c r="L24" i="153"/>
  <c r="M24" i="153"/>
  <c r="E28" i="153"/>
  <c r="E33" i="153"/>
  <c r="F33" i="153"/>
  <c r="G33" i="153"/>
  <c r="H33" i="153"/>
  <c r="I33" i="153"/>
  <c r="J33" i="153"/>
  <c r="K33" i="153"/>
  <c r="L33" i="153"/>
  <c r="M33" i="153"/>
  <c r="E43" i="153"/>
  <c r="F43" i="153"/>
  <c r="G43" i="153"/>
  <c r="H43" i="153"/>
  <c r="I43" i="153"/>
  <c r="J43" i="153"/>
  <c r="K43" i="153"/>
  <c r="L43" i="153"/>
  <c r="M43" i="153"/>
  <c r="E47" i="153"/>
  <c r="F47" i="153"/>
  <c r="G47" i="153"/>
  <c r="H47" i="153"/>
  <c r="I47" i="153"/>
  <c r="J47" i="153"/>
  <c r="K47" i="153"/>
  <c r="L47" i="153"/>
  <c r="M47" i="153"/>
  <c r="E55" i="153"/>
  <c r="F55" i="153"/>
  <c r="G55" i="153"/>
  <c r="H55" i="153"/>
  <c r="I55" i="153"/>
  <c r="J55" i="153"/>
  <c r="K55" i="153"/>
  <c r="L55" i="153"/>
  <c r="M55" i="153"/>
  <c r="E62" i="153"/>
  <c r="F62" i="153"/>
  <c r="G62" i="153"/>
  <c r="H62" i="153"/>
  <c r="I62" i="153"/>
  <c r="J62" i="153"/>
  <c r="K62" i="153"/>
  <c r="L62" i="153"/>
  <c r="M62" i="153"/>
  <c r="E66" i="153"/>
  <c r="F66" i="153"/>
  <c r="G66" i="153"/>
  <c r="H66" i="153"/>
  <c r="I66" i="153"/>
  <c r="J66" i="153"/>
  <c r="K66" i="153"/>
  <c r="L66" i="153"/>
  <c r="M66" i="153"/>
  <c r="E78" i="153"/>
  <c r="F78" i="153"/>
  <c r="G78" i="153"/>
  <c r="H78" i="153"/>
  <c r="I78" i="153"/>
  <c r="J78" i="153"/>
  <c r="K78" i="153"/>
  <c r="L78" i="153"/>
  <c r="M78" i="153"/>
  <c r="D24" i="152"/>
  <c r="E24" i="152"/>
  <c r="F24" i="152"/>
  <c r="G24" i="152"/>
  <c r="H24" i="152"/>
  <c r="I24" i="152"/>
  <c r="J24" i="152"/>
  <c r="K24" i="152"/>
  <c r="L24" i="152"/>
  <c r="D29" i="152"/>
  <c r="E29" i="152"/>
  <c r="F29" i="152"/>
  <c r="G29" i="152"/>
  <c r="H29" i="152"/>
  <c r="I29" i="152"/>
  <c r="J29" i="152"/>
  <c r="K29" i="152"/>
  <c r="L29" i="152"/>
  <c r="D34" i="152"/>
  <c r="E34" i="152"/>
  <c r="F34" i="152"/>
  <c r="G34" i="152"/>
  <c r="H34" i="152"/>
  <c r="I34" i="152"/>
  <c r="J34" i="152"/>
  <c r="K34" i="152"/>
  <c r="L34" i="152"/>
  <c r="D39" i="152"/>
  <c r="E39" i="152"/>
  <c r="F39" i="152"/>
  <c r="G39" i="152"/>
  <c r="H39" i="152"/>
  <c r="I39" i="152"/>
  <c r="J39" i="152"/>
  <c r="K39" i="152"/>
  <c r="L39" i="152"/>
  <c r="D43" i="152"/>
  <c r="E43" i="152"/>
  <c r="F43" i="152"/>
  <c r="G43" i="152"/>
  <c r="H43" i="152"/>
  <c r="I43" i="152"/>
  <c r="J43" i="152"/>
  <c r="K43" i="152"/>
  <c r="L43" i="152"/>
  <c r="D48" i="152"/>
  <c r="E48" i="152"/>
  <c r="F48" i="152"/>
  <c r="G48" i="152"/>
  <c r="H48" i="152"/>
  <c r="I48" i="152"/>
  <c r="J48" i="152"/>
  <c r="K48" i="152"/>
  <c r="L48" i="152"/>
  <c r="D54" i="152"/>
  <c r="E54" i="152"/>
  <c r="F54" i="152"/>
  <c r="G54" i="152"/>
  <c r="I54" i="152"/>
  <c r="J54" i="152"/>
  <c r="K54" i="152"/>
  <c r="L54" i="152"/>
  <c r="E64" i="152"/>
  <c r="H64" i="152"/>
  <c r="I64" i="152"/>
  <c r="J64" i="152"/>
  <c r="K64" i="152"/>
  <c r="L64" i="152"/>
  <c r="D76" i="152"/>
  <c r="E76" i="152"/>
  <c r="F76" i="152"/>
  <c r="G76" i="152"/>
  <c r="H76" i="152"/>
  <c r="I76" i="152"/>
  <c r="J76" i="152"/>
  <c r="K76" i="152"/>
  <c r="L76" i="152"/>
  <c r="D82" i="152"/>
  <c r="E82" i="152"/>
  <c r="F82" i="152"/>
  <c r="G82" i="152"/>
  <c r="H82" i="152"/>
  <c r="I82" i="152"/>
  <c r="J82" i="152"/>
  <c r="K82" i="152"/>
  <c r="L82" i="152"/>
  <c r="D87" i="152"/>
  <c r="E87" i="152"/>
  <c r="F87" i="152"/>
  <c r="G87" i="152"/>
  <c r="H87" i="152"/>
  <c r="I87" i="152"/>
  <c r="J87" i="152"/>
  <c r="K87" i="152"/>
  <c r="L87" i="152"/>
  <c r="D94" i="152"/>
  <c r="E94" i="152"/>
  <c r="F94" i="152"/>
  <c r="G94" i="152"/>
  <c r="H94" i="152"/>
  <c r="I94" i="152"/>
  <c r="J94" i="152"/>
  <c r="K94" i="152"/>
  <c r="L94" i="152"/>
  <c r="D98" i="152"/>
  <c r="F98" i="152"/>
  <c r="G98" i="152"/>
  <c r="H98" i="152"/>
  <c r="I98" i="152"/>
  <c r="J98" i="152"/>
  <c r="K98" i="152"/>
  <c r="L98" i="152"/>
  <c r="D106" i="152"/>
  <c r="E106" i="152"/>
  <c r="F106" i="152"/>
  <c r="G106" i="152"/>
  <c r="H106" i="152"/>
  <c r="I106" i="152"/>
  <c r="J106" i="152"/>
  <c r="K106" i="152"/>
  <c r="L106" i="152"/>
  <c r="D110" i="152"/>
  <c r="E110" i="152"/>
  <c r="F110" i="152"/>
  <c r="G110" i="152"/>
  <c r="H110" i="152"/>
  <c r="I110" i="152"/>
  <c r="J110" i="152"/>
  <c r="K110" i="152"/>
  <c r="L110" i="152"/>
  <c r="D115" i="152"/>
  <c r="E115" i="152"/>
  <c r="F115" i="152"/>
  <c r="G115" i="152"/>
  <c r="H115" i="152"/>
  <c r="I115" i="152"/>
  <c r="J115" i="152"/>
  <c r="K115" i="152"/>
  <c r="L115" i="152"/>
  <c r="D123" i="152"/>
  <c r="E123" i="152"/>
  <c r="F123" i="152"/>
  <c r="G123" i="152"/>
  <c r="H123" i="152"/>
  <c r="I123" i="152"/>
  <c r="J123" i="152"/>
  <c r="K123" i="152"/>
  <c r="L123" i="152"/>
  <c r="D129" i="152"/>
  <c r="E129" i="152"/>
  <c r="F129" i="152"/>
  <c r="G129" i="152"/>
  <c r="H129" i="152"/>
  <c r="I129" i="152"/>
  <c r="J129" i="152"/>
  <c r="K129" i="152"/>
  <c r="L129" i="152"/>
  <c r="D134" i="152"/>
  <c r="E134" i="152"/>
  <c r="F134" i="152"/>
  <c r="G134" i="152"/>
  <c r="H134" i="152"/>
  <c r="I134" i="152"/>
  <c r="J134" i="152"/>
  <c r="K134" i="152"/>
  <c r="L134" i="152"/>
  <c r="D140" i="152"/>
  <c r="E140" i="152"/>
  <c r="F140" i="152"/>
  <c r="G140" i="152"/>
  <c r="H140" i="152"/>
  <c r="I140" i="152"/>
  <c r="J140" i="152"/>
  <c r="K140" i="152"/>
  <c r="L140" i="152"/>
  <c r="D144" i="152"/>
  <c r="E144" i="152"/>
  <c r="F144" i="152"/>
  <c r="G144" i="152"/>
  <c r="H144" i="152"/>
  <c r="I144" i="152"/>
  <c r="J144" i="152"/>
  <c r="K144" i="152"/>
  <c r="L144" i="152"/>
  <c r="D149" i="152"/>
  <c r="E149" i="152"/>
  <c r="F149" i="152"/>
  <c r="G149" i="152"/>
  <c r="H149" i="152"/>
  <c r="I149" i="152"/>
  <c r="J149" i="152"/>
  <c r="K149" i="152"/>
  <c r="L149" i="152"/>
  <c r="D157" i="152"/>
  <c r="E157" i="152"/>
  <c r="F157" i="152"/>
  <c r="G157" i="152"/>
  <c r="H157" i="152"/>
  <c r="I157" i="152"/>
  <c r="J157" i="152"/>
  <c r="K157" i="152"/>
  <c r="L157" i="152"/>
  <c r="D166" i="152"/>
  <c r="E166" i="152"/>
  <c r="F166" i="152"/>
  <c r="G166" i="152"/>
  <c r="H166" i="152"/>
  <c r="I166" i="152"/>
  <c r="J166" i="152"/>
  <c r="K166" i="152"/>
  <c r="L166" i="152"/>
  <c r="D185" i="152"/>
  <c r="E185" i="152"/>
  <c r="F185" i="152"/>
  <c r="G185" i="152"/>
  <c r="H185" i="152"/>
  <c r="I185" i="152"/>
  <c r="J185" i="152"/>
  <c r="K185" i="152"/>
  <c r="L185" i="152"/>
  <c r="E17" i="151"/>
  <c r="F17" i="151"/>
  <c r="G17" i="151"/>
  <c r="H17" i="151"/>
  <c r="I17" i="151"/>
  <c r="J17" i="151"/>
  <c r="K17" i="151"/>
  <c r="L17" i="151"/>
  <c r="M17" i="151"/>
  <c r="E21" i="151"/>
  <c r="F21" i="151"/>
  <c r="G21" i="151"/>
  <c r="H21" i="151"/>
  <c r="I21" i="151"/>
  <c r="J21" i="151"/>
  <c r="K21" i="151"/>
  <c r="L21" i="151"/>
  <c r="M21" i="151"/>
  <c r="D16" i="150"/>
  <c r="E16" i="150"/>
  <c r="F16" i="150"/>
  <c r="J18" i="150"/>
  <c r="F32" i="149"/>
  <c r="G32" i="149"/>
  <c r="H32" i="149"/>
  <c r="I32" i="149"/>
  <c r="J32" i="149"/>
  <c r="K32" i="149"/>
  <c r="L32" i="149"/>
  <c r="M32" i="149"/>
  <c r="N32" i="149"/>
  <c r="E19" i="148"/>
  <c r="F19" i="148"/>
  <c r="G19" i="148"/>
  <c r="H19" i="148"/>
  <c r="I19" i="148"/>
  <c r="J19" i="148"/>
  <c r="K19" i="148"/>
  <c r="L19" i="148"/>
  <c r="M19" i="148"/>
  <c r="E24" i="148"/>
  <c r="F24" i="148"/>
  <c r="G24" i="148"/>
  <c r="H24" i="148"/>
  <c r="I24" i="148"/>
  <c r="J24" i="148"/>
  <c r="K24" i="148"/>
  <c r="L24" i="148"/>
  <c r="M24" i="148"/>
  <c r="E29" i="148"/>
  <c r="F29" i="148"/>
  <c r="G29" i="148"/>
  <c r="H29" i="148"/>
  <c r="I29" i="148"/>
  <c r="J29" i="148"/>
  <c r="K29" i="148"/>
  <c r="L29" i="148"/>
  <c r="M29" i="148"/>
  <c r="E39" i="148"/>
  <c r="F39" i="148"/>
  <c r="G39" i="148"/>
  <c r="H39" i="148"/>
  <c r="I39" i="148"/>
  <c r="J39" i="148"/>
  <c r="K39" i="148"/>
  <c r="L39" i="148"/>
  <c r="M39" i="148"/>
  <c r="E43" i="148"/>
  <c r="F43" i="148"/>
  <c r="G43" i="148"/>
  <c r="H43" i="148"/>
  <c r="I43" i="148"/>
  <c r="J43" i="148"/>
  <c r="K43" i="148"/>
  <c r="L43" i="148"/>
  <c r="M43" i="148"/>
  <c r="E51" i="148"/>
  <c r="F51" i="148"/>
  <c r="G51" i="148"/>
  <c r="H51" i="148"/>
  <c r="I51" i="148"/>
  <c r="J51" i="148"/>
  <c r="K51" i="148"/>
  <c r="L51" i="148"/>
  <c r="M51" i="148"/>
  <c r="E58" i="148"/>
  <c r="F58" i="148"/>
  <c r="G58" i="148"/>
  <c r="H58" i="148"/>
  <c r="I58" i="148"/>
  <c r="J58" i="148"/>
  <c r="K58" i="148"/>
  <c r="L58" i="148"/>
  <c r="M58" i="148"/>
  <c r="E62" i="148"/>
  <c r="F62" i="148"/>
  <c r="G62" i="148"/>
  <c r="H62" i="148"/>
  <c r="I62" i="148"/>
  <c r="J62" i="148"/>
  <c r="K62" i="148"/>
  <c r="L62" i="148"/>
  <c r="M62" i="148"/>
  <c r="E74" i="148"/>
  <c r="F74" i="148"/>
  <c r="G74" i="148"/>
  <c r="H74" i="148"/>
  <c r="I74" i="148"/>
  <c r="J74" i="148"/>
  <c r="K74" i="148"/>
  <c r="L74" i="148"/>
  <c r="M74" i="148"/>
  <c r="D24" i="147"/>
  <c r="E24" i="147"/>
  <c r="F24" i="147"/>
  <c r="G24" i="147"/>
  <c r="H24" i="147"/>
  <c r="I24" i="147"/>
  <c r="J24" i="147"/>
  <c r="K24" i="147"/>
  <c r="L24" i="147"/>
  <c r="D29" i="147"/>
  <c r="E29" i="147"/>
  <c r="F29" i="147"/>
  <c r="G29" i="147"/>
  <c r="H29" i="147"/>
  <c r="I29" i="147"/>
  <c r="J29" i="147"/>
  <c r="K29" i="147"/>
  <c r="L29" i="147"/>
  <c r="D34" i="147"/>
  <c r="E34" i="147"/>
  <c r="F34" i="147"/>
  <c r="G34" i="147"/>
  <c r="H34" i="147"/>
  <c r="I34" i="147"/>
  <c r="J34" i="147"/>
  <c r="K34" i="147"/>
  <c r="L34" i="147"/>
  <c r="D39" i="147"/>
  <c r="E39" i="147"/>
  <c r="F39" i="147"/>
  <c r="G39" i="147"/>
  <c r="H39" i="147"/>
  <c r="I39" i="147"/>
  <c r="J39" i="147"/>
  <c r="K39" i="147"/>
  <c r="L39" i="147"/>
  <c r="D43" i="147"/>
  <c r="E43" i="147"/>
  <c r="F43" i="147"/>
  <c r="G43" i="147"/>
  <c r="H43" i="147"/>
  <c r="I43" i="147"/>
  <c r="J43" i="147"/>
  <c r="K43" i="147"/>
  <c r="L43" i="147"/>
  <c r="D48" i="147"/>
  <c r="E48" i="147"/>
  <c r="F48" i="147"/>
  <c r="G48" i="147"/>
  <c r="H48" i="147"/>
  <c r="I48" i="147"/>
  <c r="J48" i="147"/>
  <c r="K48" i="147"/>
  <c r="L48" i="147"/>
  <c r="D54" i="147"/>
  <c r="E54" i="147"/>
  <c r="F54" i="147"/>
  <c r="G54" i="147"/>
  <c r="I54" i="147"/>
  <c r="J54" i="147"/>
  <c r="K54" i="147"/>
  <c r="L54" i="147"/>
  <c r="E64" i="147"/>
  <c r="H64" i="147"/>
  <c r="I64" i="147"/>
  <c r="J64" i="147"/>
  <c r="K64" i="147"/>
  <c r="L64" i="147"/>
  <c r="D76" i="147"/>
  <c r="E76" i="147"/>
  <c r="F76" i="147"/>
  <c r="G76" i="147"/>
  <c r="H76" i="147"/>
  <c r="I76" i="147"/>
  <c r="J76" i="147"/>
  <c r="K76" i="147"/>
  <c r="L76" i="147"/>
  <c r="D82" i="147"/>
  <c r="E82" i="147"/>
  <c r="F82" i="147"/>
  <c r="G82" i="147"/>
  <c r="H82" i="147"/>
  <c r="I82" i="147"/>
  <c r="J82" i="147"/>
  <c r="K82" i="147"/>
  <c r="L82" i="147"/>
  <c r="D87" i="147"/>
  <c r="E87" i="147"/>
  <c r="F87" i="147"/>
  <c r="G87" i="147"/>
  <c r="H87" i="147"/>
  <c r="I87" i="147"/>
  <c r="J87" i="147"/>
  <c r="K87" i="147"/>
  <c r="L87" i="147"/>
  <c r="D94" i="147"/>
  <c r="E94" i="147"/>
  <c r="F94" i="147"/>
  <c r="G94" i="147"/>
  <c r="H94" i="147"/>
  <c r="I94" i="147"/>
  <c r="J94" i="147"/>
  <c r="K94" i="147"/>
  <c r="L94" i="147"/>
  <c r="D98" i="147"/>
  <c r="F98" i="147"/>
  <c r="G98" i="147"/>
  <c r="H98" i="147"/>
  <c r="I98" i="147"/>
  <c r="J98" i="147"/>
  <c r="K98" i="147"/>
  <c r="L98" i="147"/>
  <c r="D106" i="147"/>
  <c r="E106" i="147"/>
  <c r="F106" i="147"/>
  <c r="G106" i="147"/>
  <c r="H106" i="147"/>
  <c r="I106" i="147"/>
  <c r="J106" i="147"/>
  <c r="K106" i="147"/>
  <c r="L106" i="147"/>
  <c r="D110" i="147"/>
  <c r="E110" i="147"/>
  <c r="F110" i="147"/>
  <c r="G110" i="147"/>
  <c r="H110" i="147"/>
  <c r="I110" i="147"/>
  <c r="J110" i="147"/>
  <c r="K110" i="147"/>
  <c r="L110" i="147"/>
  <c r="D115" i="147"/>
  <c r="E115" i="147"/>
  <c r="F115" i="147"/>
  <c r="G115" i="147"/>
  <c r="H115" i="147"/>
  <c r="I115" i="147"/>
  <c r="J115" i="147"/>
  <c r="K115" i="147"/>
  <c r="L115" i="147"/>
  <c r="D123" i="147"/>
  <c r="E123" i="147"/>
  <c r="F123" i="147"/>
  <c r="G123" i="147"/>
  <c r="H123" i="147"/>
  <c r="I123" i="147"/>
  <c r="J123" i="147"/>
  <c r="K123" i="147"/>
  <c r="L123" i="147"/>
  <c r="D129" i="147"/>
  <c r="E129" i="147"/>
  <c r="F129" i="147"/>
  <c r="G129" i="147"/>
  <c r="H129" i="147"/>
  <c r="I129" i="147"/>
  <c r="J129" i="147"/>
  <c r="K129" i="147"/>
  <c r="L129" i="147"/>
  <c r="D134" i="147"/>
  <c r="E134" i="147"/>
  <c r="F134" i="147"/>
  <c r="G134" i="147"/>
  <c r="H134" i="147"/>
  <c r="I134" i="147"/>
  <c r="J134" i="147"/>
  <c r="K134" i="147"/>
  <c r="L134" i="147"/>
  <c r="D140" i="147"/>
  <c r="E140" i="147"/>
  <c r="F140" i="147"/>
  <c r="G140" i="147"/>
  <c r="H140" i="147"/>
  <c r="I140" i="147"/>
  <c r="J140" i="147"/>
  <c r="K140" i="147"/>
  <c r="L140" i="147"/>
  <c r="D144" i="147"/>
  <c r="E144" i="147"/>
  <c r="F144" i="147"/>
  <c r="G144" i="147"/>
  <c r="H144" i="147"/>
  <c r="I144" i="147"/>
  <c r="J144" i="147"/>
  <c r="K144" i="147"/>
  <c r="L144" i="147"/>
  <c r="D149" i="147"/>
  <c r="E149" i="147"/>
  <c r="F149" i="147"/>
  <c r="G149" i="147"/>
  <c r="H149" i="147"/>
  <c r="I149" i="147"/>
  <c r="J149" i="147"/>
  <c r="K149" i="147"/>
  <c r="L149" i="147"/>
  <c r="D157" i="147"/>
  <c r="E157" i="147"/>
  <c r="F157" i="147"/>
  <c r="G157" i="147"/>
  <c r="H157" i="147"/>
  <c r="I157" i="147"/>
  <c r="J157" i="147"/>
  <c r="K157" i="147"/>
  <c r="L157" i="147"/>
  <c r="D166" i="147"/>
  <c r="E166" i="147"/>
  <c r="F166" i="147"/>
  <c r="G166" i="147"/>
  <c r="H166" i="147"/>
  <c r="I166" i="147"/>
  <c r="J166" i="147"/>
  <c r="K166" i="147"/>
  <c r="L166" i="147"/>
  <c r="D185" i="147"/>
  <c r="E185" i="147"/>
  <c r="F185" i="147"/>
  <c r="G185" i="147"/>
  <c r="H185" i="147"/>
  <c r="I185" i="147"/>
  <c r="J185" i="147"/>
  <c r="K185" i="147"/>
  <c r="L185" i="147"/>
  <c r="E17" i="146"/>
  <c r="F17" i="146"/>
  <c r="F26" i="146" s="1"/>
  <c r="G17" i="146"/>
  <c r="H17" i="146"/>
  <c r="I17" i="146"/>
  <c r="J17" i="146"/>
  <c r="K17" i="146"/>
  <c r="L17" i="146"/>
  <c r="M17" i="146"/>
  <c r="E21" i="146"/>
  <c r="F21" i="146"/>
  <c r="G21" i="146"/>
  <c r="H21" i="146"/>
  <c r="I21" i="146"/>
  <c r="J21" i="146"/>
  <c r="K21" i="146"/>
  <c r="L21" i="146"/>
  <c r="M21" i="146"/>
  <c r="K24" i="146"/>
  <c r="D16" i="145"/>
  <c r="E16" i="145"/>
  <c r="F16" i="145"/>
  <c r="J18" i="145"/>
  <c r="F32" i="144"/>
  <c r="G32" i="144"/>
  <c r="H32" i="144"/>
  <c r="I32" i="144"/>
  <c r="J32" i="144"/>
  <c r="K32" i="144"/>
  <c r="L32" i="144"/>
  <c r="M32" i="144"/>
  <c r="N32" i="144"/>
  <c r="E19" i="143"/>
  <c r="F19" i="143"/>
  <c r="G19" i="143"/>
  <c r="H19" i="143"/>
  <c r="I19" i="143"/>
  <c r="J19" i="143"/>
  <c r="K19" i="143"/>
  <c r="L19" i="143"/>
  <c r="M19" i="143"/>
  <c r="E24" i="143"/>
  <c r="F24" i="143"/>
  <c r="G24" i="143"/>
  <c r="H24" i="143"/>
  <c r="I24" i="143"/>
  <c r="J24" i="143"/>
  <c r="K24" i="143"/>
  <c r="L24" i="143"/>
  <c r="M24" i="143"/>
  <c r="E29" i="143"/>
  <c r="F29" i="143"/>
  <c r="G29" i="143"/>
  <c r="H29" i="143"/>
  <c r="I29" i="143"/>
  <c r="J29" i="143"/>
  <c r="K29" i="143"/>
  <c r="L29" i="143"/>
  <c r="M29" i="143"/>
  <c r="E39" i="143"/>
  <c r="F39" i="143"/>
  <c r="G39" i="143"/>
  <c r="H39" i="143"/>
  <c r="I39" i="143"/>
  <c r="J39" i="143"/>
  <c r="K39" i="143"/>
  <c r="L39" i="143"/>
  <c r="M39" i="143"/>
  <c r="E43" i="143"/>
  <c r="F43" i="143"/>
  <c r="G43" i="143"/>
  <c r="H43" i="143"/>
  <c r="I43" i="143"/>
  <c r="J43" i="143"/>
  <c r="K43" i="143"/>
  <c r="L43" i="143"/>
  <c r="M43" i="143"/>
  <c r="E51" i="143"/>
  <c r="F51" i="143"/>
  <c r="G51" i="143"/>
  <c r="H51" i="143"/>
  <c r="I51" i="143"/>
  <c r="J51" i="143"/>
  <c r="K51" i="143"/>
  <c r="L51" i="143"/>
  <c r="M51" i="143"/>
  <c r="E58" i="143"/>
  <c r="F58" i="143"/>
  <c r="G58" i="143"/>
  <c r="H58" i="143"/>
  <c r="I58" i="143"/>
  <c r="J58" i="143"/>
  <c r="K58" i="143"/>
  <c r="L58" i="143"/>
  <c r="M58" i="143"/>
  <c r="E62" i="143"/>
  <c r="F62" i="143"/>
  <c r="G62" i="143"/>
  <c r="H62" i="143"/>
  <c r="I62" i="143"/>
  <c r="J62" i="143"/>
  <c r="K62" i="143"/>
  <c r="L62" i="143"/>
  <c r="M62" i="143"/>
  <c r="E74" i="143"/>
  <c r="F74" i="143"/>
  <c r="G74" i="143"/>
  <c r="H74" i="143"/>
  <c r="I74" i="143"/>
  <c r="J74" i="143"/>
  <c r="K74" i="143"/>
  <c r="L74" i="143"/>
  <c r="M74" i="143"/>
  <c r="D24" i="142"/>
  <c r="E24" i="142"/>
  <c r="F24" i="142"/>
  <c r="G24" i="142"/>
  <c r="H24" i="142"/>
  <c r="I24" i="142"/>
  <c r="J24" i="142"/>
  <c r="K24" i="142"/>
  <c r="L24" i="142"/>
  <c r="D29" i="142"/>
  <c r="E29" i="142"/>
  <c r="F29" i="142"/>
  <c r="G29" i="142"/>
  <c r="H29" i="142"/>
  <c r="I29" i="142"/>
  <c r="J29" i="142"/>
  <c r="K29" i="142"/>
  <c r="L29" i="142"/>
  <c r="D34" i="142"/>
  <c r="E34" i="142"/>
  <c r="F34" i="142"/>
  <c r="G34" i="142"/>
  <c r="H34" i="142"/>
  <c r="I34" i="142"/>
  <c r="J34" i="142"/>
  <c r="K34" i="142"/>
  <c r="L34" i="142"/>
  <c r="D39" i="142"/>
  <c r="E39" i="142"/>
  <c r="F39" i="142"/>
  <c r="G39" i="142"/>
  <c r="H39" i="142"/>
  <c r="I39" i="142"/>
  <c r="J39" i="142"/>
  <c r="K39" i="142"/>
  <c r="L39" i="142"/>
  <c r="D44" i="142"/>
  <c r="E44" i="142"/>
  <c r="F44" i="142"/>
  <c r="G44" i="142"/>
  <c r="H44" i="142"/>
  <c r="I44" i="142"/>
  <c r="J44" i="142"/>
  <c r="K44" i="142"/>
  <c r="L44" i="142"/>
  <c r="D50" i="142"/>
  <c r="E50" i="142"/>
  <c r="F50" i="142"/>
  <c r="G50" i="142"/>
  <c r="I50" i="142"/>
  <c r="J50" i="142"/>
  <c r="K50" i="142"/>
  <c r="L50" i="142"/>
  <c r="E60" i="142"/>
  <c r="H60" i="142"/>
  <c r="I60" i="142"/>
  <c r="J60" i="142"/>
  <c r="K60" i="142"/>
  <c r="L60" i="142"/>
  <c r="D73" i="142"/>
  <c r="E73" i="142"/>
  <c r="F73" i="142"/>
  <c r="G73" i="142"/>
  <c r="H73" i="142"/>
  <c r="I73" i="142"/>
  <c r="J73" i="142"/>
  <c r="K73" i="142"/>
  <c r="L73" i="142"/>
  <c r="D79" i="142"/>
  <c r="E79" i="142"/>
  <c r="F79" i="142"/>
  <c r="G79" i="142"/>
  <c r="H79" i="142"/>
  <c r="I79" i="142"/>
  <c r="J79" i="142"/>
  <c r="K79" i="142"/>
  <c r="L79" i="142"/>
  <c r="D84" i="142"/>
  <c r="E84" i="142"/>
  <c r="F84" i="142"/>
  <c r="G84" i="142"/>
  <c r="H84" i="142"/>
  <c r="I84" i="142"/>
  <c r="J84" i="142"/>
  <c r="K84" i="142"/>
  <c r="L84" i="142"/>
  <c r="D91" i="142"/>
  <c r="E91" i="142"/>
  <c r="F91" i="142"/>
  <c r="G91" i="142"/>
  <c r="H91" i="142"/>
  <c r="I91" i="142"/>
  <c r="J91" i="142"/>
  <c r="K91" i="142"/>
  <c r="L91" i="142"/>
  <c r="D96" i="142"/>
  <c r="E96" i="142"/>
  <c r="F96" i="142"/>
  <c r="G96" i="142"/>
  <c r="H96" i="142"/>
  <c r="I96" i="142"/>
  <c r="J96" i="142"/>
  <c r="K96" i="142"/>
  <c r="L96" i="142"/>
  <c r="D104" i="142"/>
  <c r="E104" i="142"/>
  <c r="F104" i="142"/>
  <c r="G104" i="142"/>
  <c r="H104" i="142"/>
  <c r="I104" i="142"/>
  <c r="J104" i="142"/>
  <c r="K104" i="142"/>
  <c r="L104" i="142"/>
  <c r="D108" i="142"/>
  <c r="E108" i="142"/>
  <c r="F108" i="142"/>
  <c r="G108" i="142"/>
  <c r="H108" i="142"/>
  <c r="I108" i="142"/>
  <c r="J108" i="142"/>
  <c r="K108" i="142"/>
  <c r="L108" i="142"/>
  <c r="D113" i="142"/>
  <c r="E113" i="142"/>
  <c r="F113" i="142"/>
  <c r="G113" i="142"/>
  <c r="H113" i="142"/>
  <c r="I113" i="142"/>
  <c r="J113" i="142"/>
  <c r="K113" i="142"/>
  <c r="L113" i="142"/>
  <c r="D121" i="142"/>
  <c r="E121" i="142"/>
  <c r="F121" i="142"/>
  <c r="G121" i="142"/>
  <c r="H121" i="142"/>
  <c r="I121" i="142"/>
  <c r="J121" i="142"/>
  <c r="K121" i="142"/>
  <c r="L121" i="142"/>
  <c r="D125" i="142"/>
  <c r="E125" i="142"/>
  <c r="F125" i="142"/>
  <c r="G125" i="142"/>
  <c r="H125" i="142"/>
  <c r="I125" i="142"/>
  <c r="J125" i="142"/>
  <c r="K125" i="142"/>
  <c r="L125" i="142"/>
  <c r="D130" i="142"/>
  <c r="E130" i="142"/>
  <c r="F130" i="142"/>
  <c r="G130" i="142"/>
  <c r="H130" i="142"/>
  <c r="I130" i="142"/>
  <c r="J130" i="142"/>
  <c r="K130" i="142"/>
  <c r="L130" i="142"/>
  <c r="D136" i="142"/>
  <c r="E136" i="142"/>
  <c r="F136" i="142"/>
  <c r="G136" i="142"/>
  <c r="H136" i="142"/>
  <c r="I136" i="142"/>
  <c r="J136" i="142"/>
  <c r="K136" i="142"/>
  <c r="L136" i="142"/>
  <c r="D140" i="142"/>
  <c r="E140" i="142"/>
  <c r="F140" i="142"/>
  <c r="G140" i="142"/>
  <c r="H140" i="142"/>
  <c r="I140" i="142"/>
  <c r="J140" i="142"/>
  <c r="K140" i="142"/>
  <c r="L140" i="142"/>
  <c r="D145" i="142"/>
  <c r="E145" i="142"/>
  <c r="F145" i="142"/>
  <c r="G145" i="142"/>
  <c r="H145" i="142"/>
  <c r="I145" i="142"/>
  <c r="J145" i="142"/>
  <c r="K145" i="142"/>
  <c r="L145" i="142"/>
  <c r="D153" i="142"/>
  <c r="E153" i="142"/>
  <c r="F153" i="142"/>
  <c r="G153" i="142"/>
  <c r="H153" i="142"/>
  <c r="I153" i="142"/>
  <c r="J153" i="142"/>
  <c r="K153" i="142"/>
  <c r="L153" i="142"/>
  <c r="D162" i="142"/>
  <c r="E162" i="142"/>
  <c r="F162" i="142"/>
  <c r="G162" i="142"/>
  <c r="H162" i="142"/>
  <c r="I162" i="142"/>
  <c r="J162" i="142"/>
  <c r="K162" i="142"/>
  <c r="L162" i="142"/>
  <c r="D181" i="142"/>
  <c r="E181" i="142"/>
  <c r="F181" i="142"/>
  <c r="G181" i="142"/>
  <c r="H181" i="142"/>
  <c r="I181" i="142"/>
  <c r="J181" i="142"/>
  <c r="K181" i="142"/>
  <c r="L181" i="142"/>
  <c r="E17" i="141"/>
  <c r="F17" i="141"/>
  <c r="G17" i="141"/>
  <c r="H17" i="141"/>
  <c r="I17" i="141"/>
  <c r="J17" i="141"/>
  <c r="K17" i="141"/>
  <c r="L17" i="141"/>
  <c r="M17" i="141"/>
  <c r="E21" i="141"/>
  <c r="F21" i="141"/>
  <c r="G21" i="141"/>
  <c r="H21" i="141"/>
  <c r="I21" i="141"/>
  <c r="J21" i="141"/>
  <c r="K21" i="141"/>
  <c r="L21" i="141"/>
  <c r="M21" i="141"/>
  <c r="K24" i="141"/>
  <c r="F26" i="141"/>
  <c r="D16" i="140"/>
  <c r="E16" i="140"/>
  <c r="F16" i="140"/>
  <c r="J18" i="140"/>
  <c r="F32" i="139"/>
  <c r="G32" i="139"/>
  <c r="H32" i="139"/>
  <c r="I32" i="139"/>
  <c r="J32" i="139"/>
  <c r="K32" i="139"/>
  <c r="L32" i="139"/>
  <c r="M32" i="139"/>
  <c r="N32" i="139"/>
  <c r="E19" i="138"/>
  <c r="F19" i="138"/>
  <c r="G19" i="138"/>
  <c r="H19" i="138"/>
  <c r="I19" i="138"/>
  <c r="J19" i="138"/>
  <c r="K19" i="138"/>
  <c r="L19" i="138"/>
  <c r="M19" i="138"/>
  <c r="E24" i="138"/>
  <c r="F24" i="138"/>
  <c r="G24" i="138"/>
  <c r="H24" i="138"/>
  <c r="I24" i="138"/>
  <c r="J24" i="138"/>
  <c r="K24" i="138"/>
  <c r="L24" i="138"/>
  <c r="M24" i="138"/>
  <c r="E32" i="138"/>
  <c r="F32" i="138"/>
  <c r="G32" i="138"/>
  <c r="H32" i="138"/>
  <c r="I32" i="138"/>
  <c r="J32" i="138"/>
  <c r="K32" i="138"/>
  <c r="L32" i="138"/>
  <c r="M32" i="138"/>
  <c r="E37" i="138"/>
  <c r="F37" i="138"/>
  <c r="G37" i="138"/>
  <c r="H37" i="138"/>
  <c r="I37" i="138"/>
  <c r="J37" i="138"/>
  <c r="K37" i="138"/>
  <c r="L37" i="138"/>
  <c r="M37" i="138"/>
  <c r="E43" i="138"/>
  <c r="F43" i="138"/>
  <c r="G43" i="138"/>
  <c r="H43" i="138"/>
  <c r="I43" i="138"/>
  <c r="J43" i="138"/>
  <c r="K43" i="138"/>
  <c r="L43" i="138"/>
  <c r="M43" i="138"/>
  <c r="E47" i="138"/>
  <c r="F47" i="138"/>
  <c r="G47" i="138"/>
  <c r="H47" i="138"/>
  <c r="I47" i="138"/>
  <c r="J47" i="138"/>
  <c r="K47" i="138"/>
  <c r="L47" i="138"/>
  <c r="M47" i="138"/>
  <c r="E55" i="138"/>
  <c r="F55" i="138"/>
  <c r="G55" i="138"/>
  <c r="H55" i="138"/>
  <c r="I55" i="138"/>
  <c r="J55" i="138"/>
  <c r="K55" i="138"/>
  <c r="L55" i="138"/>
  <c r="M55" i="138"/>
  <c r="E62" i="138"/>
  <c r="F62" i="138"/>
  <c r="G62" i="138"/>
  <c r="H62" i="138"/>
  <c r="I62" i="138"/>
  <c r="J62" i="138"/>
  <c r="K62" i="138"/>
  <c r="L62" i="138"/>
  <c r="M62" i="138"/>
  <c r="E66" i="138"/>
  <c r="F66" i="138"/>
  <c r="G66" i="138"/>
  <c r="H66" i="138"/>
  <c r="I66" i="138"/>
  <c r="J66" i="138"/>
  <c r="K66" i="138"/>
  <c r="L66" i="138"/>
  <c r="M66" i="138"/>
  <c r="E78" i="138"/>
  <c r="F78" i="138"/>
  <c r="G78" i="138"/>
  <c r="H78" i="138"/>
  <c r="I78" i="138"/>
  <c r="J78" i="138"/>
  <c r="K78" i="138"/>
  <c r="L78" i="138"/>
  <c r="M78" i="138"/>
  <c r="D24" i="137"/>
  <c r="E24" i="137"/>
  <c r="F24" i="137"/>
  <c r="G24" i="137"/>
  <c r="H24" i="137"/>
  <c r="I24" i="137"/>
  <c r="J24" i="137"/>
  <c r="K24" i="137"/>
  <c r="L24" i="137"/>
  <c r="D29" i="137"/>
  <c r="E29" i="137"/>
  <c r="F29" i="137"/>
  <c r="G29" i="137"/>
  <c r="H29" i="137"/>
  <c r="I29" i="137"/>
  <c r="J29" i="137"/>
  <c r="K29" i="137"/>
  <c r="L29" i="137"/>
  <c r="D34" i="137"/>
  <c r="E34" i="137"/>
  <c r="F34" i="137"/>
  <c r="G34" i="137"/>
  <c r="H34" i="137"/>
  <c r="I34" i="137"/>
  <c r="J34" i="137"/>
  <c r="K34" i="137"/>
  <c r="L34" i="137"/>
  <c r="D39" i="137"/>
  <c r="E39" i="137"/>
  <c r="F39" i="137"/>
  <c r="G39" i="137"/>
  <c r="H39" i="137"/>
  <c r="I39" i="137"/>
  <c r="J39" i="137"/>
  <c r="K39" i="137"/>
  <c r="L39" i="137"/>
  <c r="D44" i="137"/>
  <c r="E44" i="137"/>
  <c r="F44" i="137"/>
  <c r="G44" i="137"/>
  <c r="I44" i="137"/>
  <c r="J44" i="137"/>
  <c r="K44" i="137"/>
  <c r="L44" i="137"/>
  <c r="D50" i="137"/>
  <c r="E50" i="137"/>
  <c r="F50" i="137"/>
  <c r="G50" i="137"/>
  <c r="I50" i="137"/>
  <c r="J50" i="137"/>
  <c r="K50" i="137"/>
  <c r="L50" i="137"/>
  <c r="D60" i="137"/>
  <c r="E60" i="137"/>
  <c r="F60" i="137"/>
  <c r="G60" i="137"/>
  <c r="H60" i="137"/>
  <c r="I60" i="137"/>
  <c r="J60" i="137"/>
  <c r="K60" i="137"/>
  <c r="L60" i="137"/>
  <c r="D73" i="137"/>
  <c r="E73" i="137"/>
  <c r="F73" i="137"/>
  <c r="G73" i="137"/>
  <c r="H73" i="137"/>
  <c r="I73" i="137"/>
  <c r="J73" i="137"/>
  <c r="K73" i="137"/>
  <c r="L73" i="137"/>
  <c r="D79" i="137"/>
  <c r="E79" i="137"/>
  <c r="F79" i="137"/>
  <c r="G79" i="137"/>
  <c r="H79" i="137"/>
  <c r="I79" i="137"/>
  <c r="J79" i="137"/>
  <c r="K79" i="137"/>
  <c r="L79" i="137"/>
  <c r="D84" i="137"/>
  <c r="E84" i="137"/>
  <c r="F84" i="137"/>
  <c r="G84" i="137"/>
  <c r="H84" i="137"/>
  <c r="I84" i="137"/>
  <c r="J84" i="137"/>
  <c r="K84" i="137"/>
  <c r="L84" i="137"/>
  <c r="D91" i="137"/>
  <c r="E91" i="137"/>
  <c r="F91" i="137"/>
  <c r="G91" i="137"/>
  <c r="H91" i="137"/>
  <c r="I91" i="137"/>
  <c r="J91" i="137"/>
  <c r="K91" i="137"/>
  <c r="L91" i="137"/>
  <c r="D96" i="137"/>
  <c r="E96" i="137"/>
  <c r="F96" i="137"/>
  <c r="G96" i="137"/>
  <c r="H96" i="137"/>
  <c r="I96" i="137"/>
  <c r="J96" i="137"/>
  <c r="K96" i="137"/>
  <c r="L96" i="137"/>
  <c r="D104" i="137"/>
  <c r="E104" i="137"/>
  <c r="F104" i="137"/>
  <c r="G104" i="137"/>
  <c r="H104" i="137"/>
  <c r="I104" i="137"/>
  <c r="J104" i="137"/>
  <c r="K104" i="137"/>
  <c r="L104" i="137"/>
  <c r="D108" i="137"/>
  <c r="E108" i="137"/>
  <c r="F108" i="137"/>
  <c r="G108" i="137"/>
  <c r="H108" i="137"/>
  <c r="I108" i="137"/>
  <c r="J108" i="137"/>
  <c r="K108" i="137"/>
  <c r="L108" i="137"/>
  <c r="D113" i="137"/>
  <c r="E113" i="137"/>
  <c r="F113" i="137"/>
  <c r="G113" i="137"/>
  <c r="H113" i="137"/>
  <c r="I113" i="137"/>
  <c r="J113" i="137"/>
  <c r="K113" i="137"/>
  <c r="L113" i="137"/>
  <c r="D121" i="137"/>
  <c r="E121" i="137"/>
  <c r="F121" i="137"/>
  <c r="G121" i="137"/>
  <c r="H121" i="137"/>
  <c r="I121" i="137"/>
  <c r="J121" i="137"/>
  <c r="K121" i="137"/>
  <c r="L121" i="137"/>
  <c r="D125" i="137"/>
  <c r="E125" i="137"/>
  <c r="F125" i="137"/>
  <c r="G125" i="137"/>
  <c r="H125" i="137"/>
  <c r="I125" i="137"/>
  <c r="J125" i="137"/>
  <c r="K125" i="137"/>
  <c r="L125" i="137"/>
  <c r="D130" i="137"/>
  <c r="E130" i="137"/>
  <c r="F130" i="137"/>
  <c r="G130" i="137"/>
  <c r="H130" i="137"/>
  <c r="I130" i="137"/>
  <c r="J130" i="137"/>
  <c r="K130" i="137"/>
  <c r="L130" i="137"/>
  <c r="D136" i="137"/>
  <c r="E136" i="137"/>
  <c r="F136" i="137"/>
  <c r="G136" i="137"/>
  <c r="H136" i="137"/>
  <c r="I136" i="137"/>
  <c r="J136" i="137"/>
  <c r="K136" i="137"/>
  <c r="L136" i="137"/>
  <c r="D140" i="137"/>
  <c r="E140" i="137"/>
  <c r="F140" i="137"/>
  <c r="G140" i="137"/>
  <c r="H140" i="137"/>
  <c r="I140" i="137"/>
  <c r="J140" i="137"/>
  <c r="K140" i="137"/>
  <c r="L140" i="137"/>
  <c r="D146" i="137"/>
  <c r="E146" i="137"/>
  <c r="F146" i="137"/>
  <c r="G146" i="137"/>
  <c r="H146" i="137"/>
  <c r="I146" i="137"/>
  <c r="J146" i="137"/>
  <c r="K146" i="137"/>
  <c r="L146" i="137"/>
  <c r="D154" i="137"/>
  <c r="E154" i="137"/>
  <c r="F154" i="137"/>
  <c r="G154" i="137"/>
  <c r="H154" i="137"/>
  <c r="I154" i="137"/>
  <c r="J154" i="137"/>
  <c r="K154" i="137"/>
  <c r="L154" i="137"/>
  <c r="D163" i="137"/>
  <c r="E163" i="137"/>
  <c r="F163" i="137"/>
  <c r="G163" i="137"/>
  <c r="H163" i="137"/>
  <c r="I163" i="137"/>
  <c r="J163" i="137"/>
  <c r="K163" i="137"/>
  <c r="L163" i="137"/>
  <c r="D182" i="137"/>
  <c r="E182" i="137"/>
  <c r="F182" i="137"/>
  <c r="G182" i="137"/>
  <c r="H182" i="137"/>
  <c r="I182" i="137"/>
  <c r="J182" i="137"/>
  <c r="K182" i="137"/>
  <c r="L182" i="137"/>
  <c r="F32" i="136"/>
  <c r="G32" i="136"/>
  <c r="H32" i="136"/>
  <c r="I32" i="136"/>
  <c r="J32" i="136"/>
  <c r="K32" i="136"/>
  <c r="L32" i="136"/>
  <c r="M32" i="136"/>
  <c r="N32" i="136"/>
  <c r="D16" i="135"/>
  <c r="E16" i="135"/>
  <c r="F16" i="135"/>
  <c r="J18" i="135"/>
  <c r="D16" i="134"/>
  <c r="E16" i="134"/>
  <c r="F16" i="134"/>
  <c r="G16" i="134"/>
  <c r="H16" i="134"/>
  <c r="I16" i="134"/>
  <c r="J16" i="134"/>
  <c r="K16" i="134"/>
  <c r="L16" i="134"/>
  <c r="E17" i="133"/>
  <c r="F17" i="133"/>
  <c r="G17" i="133"/>
  <c r="H17" i="133"/>
  <c r="I17" i="133"/>
  <c r="J17" i="133"/>
  <c r="K17" i="133"/>
  <c r="L17" i="133"/>
  <c r="M17" i="133"/>
  <c r="E21" i="133"/>
  <c r="F21" i="133"/>
  <c r="G21" i="133"/>
  <c r="H21" i="133"/>
  <c r="I21" i="133"/>
  <c r="J21" i="133"/>
  <c r="K21" i="133"/>
  <c r="L21" i="133"/>
  <c r="M21" i="133"/>
  <c r="K24" i="133"/>
  <c r="F26" i="133"/>
  <c r="E19" i="132"/>
  <c r="F19" i="132"/>
  <c r="G19" i="132"/>
  <c r="H19" i="132"/>
  <c r="I19" i="132"/>
  <c r="J19" i="132"/>
  <c r="K19" i="132"/>
  <c r="L19" i="132"/>
  <c r="M19" i="132"/>
  <c r="E24" i="132"/>
  <c r="F24" i="132"/>
  <c r="G24" i="132"/>
  <c r="H24" i="132"/>
  <c r="I24" i="132"/>
  <c r="J24" i="132"/>
  <c r="K24" i="132"/>
  <c r="L24" i="132"/>
  <c r="M24" i="132"/>
  <c r="E32" i="132"/>
  <c r="F32" i="132"/>
  <c r="G32" i="132"/>
  <c r="H32" i="132"/>
  <c r="I32" i="132"/>
  <c r="J32" i="132"/>
  <c r="K32" i="132"/>
  <c r="L32" i="132"/>
  <c r="M32" i="132"/>
  <c r="E37" i="132"/>
  <c r="F37" i="132"/>
  <c r="G37" i="132"/>
  <c r="H37" i="132"/>
  <c r="I37" i="132"/>
  <c r="J37" i="132"/>
  <c r="K37" i="132"/>
  <c r="L37" i="132"/>
  <c r="M37" i="132"/>
  <c r="E43" i="132"/>
  <c r="F43" i="132"/>
  <c r="G43" i="132"/>
  <c r="H43" i="132"/>
  <c r="I43" i="132"/>
  <c r="J43" i="132"/>
  <c r="K43" i="132"/>
  <c r="L43" i="132"/>
  <c r="M43" i="132"/>
  <c r="E47" i="132"/>
  <c r="F47" i="132"/>
  <c r="G47" i="132"/>
  <c r="H47" i="132"/>
  <c r="I47" i="132"/>
  <c r="J47" i="132"/>
  <c r="K47" i="132"/>
  <c r="L47" i="132"/>
  <c r="M47" i="132"/>
  <c r="E55" i="132"/>
  <c r="F55" i="132"/>
  <c r="G55" i="132"/>
  <c r="H55" i="132"/>
  <c r="I55" i="132"/>
  <c r="J55" i="132"/>
  <c r="K55" i="132"/>
  <c r="L55" i="132"/>
  <c r="M55" i="132"/>
  <c r="E62" i="132"/>
  <c r="F62" i="132"/>
  <c r="G62" i="132"/>
  <c r="H62" i="132"/>
  <c r="I62" i="132"/>
  <c r="J62" i="132"/>
  <c r="K62" i="132"/>
  <c r="L62" i="132"/>
  <c r="M62" i="132"/>
  <c r="E66" i="132"/>
  <c r="F66" i="132"/>
  <c r="G66" i="132"/>
  <c r="H66" i="132"/>
  <c r="I66" i="132"/>
  <c r="J66" i="132"/>
  <c r="K66" i="132"/>
  <c r="L66" i="132"/>
  <c r="M66" i="132"/>
  <c r="E78" i="132"/>
  <c r="F78" i="132"/>
  <c r="G78" i="132"/>
  <c r="H78" i="132"/>
  <c r="I78" i="132"/>
  <c r="J78" i="132"/>
  <c r="K78" i="132"/>
  <c r="L78" i="132"/>
  <c r="M78" i="132"/>
  <c r="D24" i="131"/>
  <c r="E24" i="131"/>
  <c r="F24" i="131"/>
  <c r="G24" i="131"/>
  <c r="H24" i="131"/>
  <c r="I24" i="131"/>
  <c r="J24" i="131"/>
  <c r="K24" i="131"/>
  <c r="L24" i="131"/>
  <c r="D29" i="131"/>
  <c r="E29" i="131"/>
  <c r="F29" i="131"/>
  <c r="G29" i="131"/>
  <c r="H29" i="131"/>
  <c r="I29" i="131"/>
  <c r="J29" i="131"/>
  <c r="K29" i="131"/>
  <c r="L29" i="131"/>
  <c r="D34" i="131"/>
  <c r="E34" i="131"/>
  <c r="F34" i="131"/>
  <c r="G34" i="131"/>
  <c r="H34" i="131"/>
  <c r="I34" i="131"/>
  <c r="J34" i="131"/>
  <c r="K34" i="131"/>
  <c r="L34" i="131"/>
  <c r="D39" i="131"/>
  <c r="E39" i="131"/>
  <c r="F39" i="131"/>
  <c r="G39" i="131"/>
  <c r="H39" i="131"/>
  <c r="I39" i="131"/>
  <c r="J39" i="131"/>
  <c r="K39" i="131"/>
  <c r="L39" i="131"/>
  <c r="D44" i="131"/>
  <c r="E44" i="131"/>
  <c r="F44" i="131"/>
  <c r="G44" i="131"/>
  <c r="I44" i="131"/>
  <c r="J44" i="131"/>
  <c r="K44" i="131"/>
  <c r="L44" i="131"/>
  <c r="D50" i="131"/>
  <c r="E50" i="131"/>
  <c r="F50" i="131"/>
  <c r="G50" i="131"/>
  <c r="I50" i="131"/>
  <c r="J50" i="131"/>
  <c r="K50" i="131"/>
  <c r="L50" i="131"/>
  <c r="D60" i="131"/>
  <c r="E60" i="131"/>
  <c r="F60" i="131"/>
  <c r="G60" i="131"/>
  <c r="H60" i="131"/>
  <c r="I60" i="131"/>
  <c r="J60" i="131"/>
  <c r="K60" i="131"/>
  <c r="L60" i="131"/>
  <c r="D73" i="131"/>
  <c r="E73" i="131"/>
  <c r="F73" i="131"/>
  <c r="G73" i="131"/>
  <c r="H73" i="131"/>
  <c r="I73" i="131"/>
  <c r="J73" i="131"/>
  <c r="K73" i="131"/>
  <c r="L73" i="131"/>
  <c r="D79" i="131"/>
  <c r="E79" i="131"/>
  <c r="F79" i="131"/>
  <c r="G79" i="131"/>
  <c r="H79" i="131"/>
  <c r="I79" i="131"/>
  <c r="J79" i="131"/>
  <c r="K79" i="131"/>
  <c r="L79" i="131"/>
  <c r="D84" i="131"/>
  <c r="E84" i="131"/>
  <c r="F84" i="131"/>
  <c r="G84" i="131"/>
  <c r="H84" i="131"/>
  <c r="I84" i="131"/>
  <c r="J84" i="131"/>
  <c r="K84" i="131"/>
  <c r="L84" i="131"/>
  <c r="D90" i="131"/>
  <c r="E90" i="131"/>
  <c r="F90" i="131"/>
  <c r="G90" i="131"/>
  <c r="H90" i="131"/>
  <c r="I90" i="131"/>
  <c r="J90" i="131"/>
  <c r="K90" i="131"/>
  <c r="L90" i="131"/>
  <c r="D95" i="131"/>
  <c r="E95" i="131"/>
  <c r="F95" i="131"/>
  <c r="G95" i="131"/>
  <c r="H95" i="131"/>
  <c r="I95" i="131"/>
  <c r="J95" i="131"/>
  <c r="K95" i="131"/>
  <c r="L95" i="131"/>
  <c r="D103" i="131"/>
  <c r="E103" i="131"/>
  <c r="F103" i="131"/>
  <c r="G103" i="131"/>
  <c r="H103" i="131"/>
  <c r="I103" i="131"/>
  <c r="J103" i="131"/>
  <c r="K103" i="131"/>
  <c r="L103" i="131"/>
  <c r="D107" i="131"/>
  <c r="E107" i="131"/>
  <c r="F107" i="131"/>
  <c r="G107" i="131"/>
  <c r="H107" i="131"/>
  <c r="I107" i="131"/>
  <c r="J107" i="131"/>
  <c r="K107" i="131"/>
  <c r="L107" i="131"/>
  <c r="D112" i="131"/>
  <c r="E112" i="131"/>
  <c r="F112" i="131"/>
  <c r="G112" i="131"/>
  <c r="H112" i="131"/>
  <c r="I112" i="131"/>
  <c r="J112" i="131"/>
  <c r="K112" i="131"/>
  <c r="L112" i="131"/>
  <c r="D120" i="131"/>
  <c r="E120" i="131"/>
  <c r="F120" i="131"/>
  <c r="G120" i="131"/>
  <c r="H120" i="131"/>
  <c r="I120" i="131"/>
  <c r="J120" i="131"/>
  <c r="K120" i="131"/>
  <c r="L120" i="131"/>
  <c r="D124" i="131"/>
  <c r="E124" i="131"/>
  <c r="F124" i="131"/>
  <c r="G124" i="131"/>
  <c r="H124" i="131"/>
  <c r="I124" i="131"/>
  <c r="J124" i="131"/>
  <c r="K124" i="131"/>
  <c r="L124" i="131"/>
  <c r="D129" i="131"/>
  <c r="E129" i="131"/>
  <c r="F129" i="131"/>
  <c r="G129" i="131"/>
  <c r="H129" i="131"/>
  <c r="I129" i="131"/>
  <c r="J129" i="131"/>
  <c r="K129" i="131"/>
  <c r="L129" i="131"/>
  <c r="D135" i="131"/>
  <c r="E135" i="131"/>
  <c r="F135" i="131"/>
  <c r="G135" i="131"/>
  <c r="H135" i="131"/>
  <c r="I135" i="131"/>
  <c r="J135" i="131"/>
  <c r="K135" i="131"/>
  <c r="L135" i="131"/>
  <c r="D139" i="131"/>
  <c r="E139" i="131"/>
  <c r="F139" i="131"/>
  <c r="G139" i="131"/>
  <c r="H139" i="131"/>
  <c r="I139" i="131"/>
  <c r="J139" i="131"/>
  <c r="K139" i="131"/>
  <c r="L139" i="131"/>
  <c r="D145" i="131"/>
  <c r="E145" i="131"/>
  <c r="F145" i="131"/>
  <c r="G145" i="131"/>
  <c r="H145" i="131"/>
  <c r="I145" i="131"/>
  <c r="J145" i="131"/>
  <c r="K145" i="131"/>
  <c r="L145" i="131"/>
  <c r="D153" i="131"/>
  <c r="E153" i="131"/>
  <c r="F153" i="131"/>
  <c r="G153" i="131"/>
  <c r="H153" i="131"/>
  <c r="I153" i="131"/>
  <c r="J153" i="131"/>
  <c r="K153" i="131"/>
  <c r="L153" i="131"/>
  <c r="D162" i="131"/>
  <c r="E162" i="131"/>
  <c r="F162" i="131"/>
  <c r="G162" i="131"/>
  <c r="H162" i="131"/>
  <c r="I162" i="131"/>
  <c r="J162" i="131"/>
  <c r="K162" i="131"/>
  <c r="L162" i="131"/>
  <c r="D181" i="131"/>
  <c r="E181" i="131"/>
  <c r="F181" i="131"/>
  <c r="G181" i="131"/>
  <c r="H181" i="131"/>
  <c r="I181" i="131"/>
  <c r="J181" i="131"/>
  <c r="L181" i="131"/>
  <c r="F37" i="130"/>
  <c r="G37" i="130"/>
  <c r="H37" i="130"/>
  <c r="I37" i="130"/>
  <c r="J37" i="130"/>
  <c r="K37" i="130"/>
  <c r="L37" i="130"/>
  <c r="M37" i="130"/>
  <c r="N37" i="130"/>
  <c r="D16" i="129"/>
  <c r="E16" i="129"/>
  <c r="F16" i="129"/>
  <c r="G18" i="129"/>
  <c r="H18" i="129"/>
  <c r="I18" i="129"/>
  <c r="J18" i="129"/>
  <c r="D16" i="128"/>
  <c r="E16" i="128"/>
  <c r="F16" i="128"/>
  <c r="G16" i="128"/>
  <c r="H16" i="128"/>
  <c r="I16" i="128"/>
  <c r="J16" i="128"/>
  <c r="K16" i="128"/>
  <c r="L16" i="128"/>
  <c r="E17" i="127"/>
  <c r="F17" i="127"/>
  <c r="G17" i="127"/>
  <c r="H17" i="127"/>
  <c r="I17" i="127"/>
  <c r="J17" i="127"/>
  <c r="K17" i="127"/>
  <c r="L17" i="127"/>
  <c r="M17" i="127"/>
  <c r="E21" i="127"/>
  <c r="F21" i="127"/>
  <c r="G21" i="127"/>
  <c r="H21" i="127"/>
  <c r="I21" i="127"/>
  <c r="J21" i="127"/>
  <c r="K21" i="127"/>
  <c r="L21" i="127"/>
  <c r="M21" i="127"/>
  <c r="K24" i="127"/>
  <c r="F26" i="127"/>
  <c r="E19" i="126"/>
  <c r="F19" i="126"/>
  <c r="G19" i="126"/>
  <c r="H19" i="126"/>
  <c r="I19" i="126"/>
  <c r="J19" i="126"/>
  <c r="K19" i="126"/>
  <c r="L19" i="126"/>
  <c r="M19" i="126"/>
  <c r="E24" i="126"/>
  <c r="F24" i="126"/>
  <c r="G24" i="126"/>
  <c r="H24" i="126"/>
  <c r="I24" i="126"/>
  <c r="J24" i="126"/>
  <c r="K24" i="126"/>
  <c r="L24" i="126"/>
  <c r="M24" i="126"/>
  <c r="E32" i="126"/>
  <c r="F32" i="126"/>
  <c r="G32" i="126"/>
  <c r="H32" i="126"/>
  <c r="I32" i="126"/>
  <c r="J32" i="126"/>
  <c r="K32" i="126"/>
  <c r="L32" i="126"/>
  <c r="M32" i="126"/>
  <c r="E37" i="126"/>
  <c r="F37" i="126"/>
  <c r="G37" i="126"/>
  <c r="H37" i="126"/>
  <c r="I37" i="126"/>
  <c r="J37" i="126"/>
  <c r="K37" i="126"/>
  <c r="L37" i="126"/>
  <c r="M37" i="126"/>
  <c r="E42" i="126"/>
  <c r="G42" i="126"/>
  <c r="H42" i="126"/>
  <c r="I42" i="126"/>
  <c r="J42" i="126"/>
  <c r="K42" i="126"/>
  <c r="L42" i="126"/>
  <c r="M42" i="126"/>
  <c r="E46" i="126"/>
  <c r="F46" i="126"/>
  <c r="G46" i="126"/>
  <c r="H46" i="126"/>
  <c r="I46" i="126"/>
  <c r="J46" i="126"/>
  <c r="K46" i="126"/>
  <c r="L46" i="126"/>
  <c r="M46" i="126"/>
  <c r="E54" i="126"/>
  <c r="F54" i="126"/>
  <c r="G54" i="126"/>
  <c r="H54" i="126"/>
  <c r="I54" i="126"/>
  <c r="J54" i="126"/>
  <c r="K54" i="126"/>
  <c r="L54" i="126"/>
  <c r="M54" i="126"/>
  <c r="E61" i="126"/>
  <c r="F61" i="126"/>
  <c r="G61" i="126"/>
  <c r="H61" i="126"/>
  <c r="I61" i="126"/>
  <c r="J61" i="126"/>
  <c r="K61" i="126"/>
  <c r="L61" i="126"/>
  <c r="M61" i="126"/>
  <c r="E65" i="126"/>
  <c r="F65" i="126"/>
  <c r="G65" i="126"/>
  <c r="H65" i="126"/>
  <c r="I65" i="126"/>
  <c r="J65" i="126"/>
  <c r="K65" i="126"/>
  <c r="L65" i="126"/>
  <c r="M65" i="126"/>
  <c r="E77" i="126"/>
  <c r="F77" i="126"/>
  <c r="G77" i="126"/>
  <c r="H77" i="126"/>
  <c r="I77" i="126"/>
  <c r="J77" i="126"/>
  <c r="K77" i="126"/>
  <c r="L77" i="126"/>
  <c r="M77" i="126"/>
  <c r="D24" i="125"/>
  <c r="E24" i="125"/>
  <c r="F24" i="125"/>
  <c r="G24" i="125"/>
  <c r="H24" i="125"/>
  <c r="I24" i="125"/>
  <c r="J24" i="125"/>
  <c r="K24" i="125"/>
  <c r="L24" i="125"/>
  <c r="D29" i="125"/>
  <c r="E29" i="125"/>
  <c r="F29" i="125"/>
  <c r="G29" i="125"/>
  <c r="H29" i="125"/>
  <c r="I29" i="125"/>
  <c r="J29" i="125"/>
  <c r="K29" i="125"/>
  <c r="L29" i="125"/>
  <c r="D34" i="125"/>
  <c r="E34" i="125"/>
  <c r="F34" i="125"/>
  <c r="G34" i="125"/>
  <c r="H34" i="125"/>
  <c r="I34" i="125"/>
  <c r="J34" i="125"/>
  <c r="K34" i="125"/>
  <c r="L34" i="125"/>
  <c r="D39" i="125"/>
  <c r="E39" i="125"/>
  <c r="F39" i="125"/>
  <c r="G39" i="125"/>
  <c r="H39" i="125"/>
  <c r="I39" i="125"/>
  <c r="J39" i="125"/>
  <c r="K39" i="125"/>
  <c r="L39" i="125"/>
  <c r="D44" i="125"/>
  <c r="E44" i="125"/>
  <c r="F44" i="125"/>
  <c r="G44" i="125"/>
  <c r="I44" i="125"/>
  <c r="J44" i="125"/>
  <c r="K44" i="125"/>
  <c r="L44" i="125"/>
  <c r="D50" i="125"/>
  <c r="E50" i="125"/>
  <c r="F50" i="125"/>
  <c r="G50" i="125"/>
  <c r="I50" i="125"/>
  <c r="J50" i="125"/>
  <c r="K50" i="125"/>
  <c r="L50" i="125"/>
  <c r="D60" i="125"/>
  <c r="E60" i="125"/>
  <c r="F60" i="125"/>
  <c r="G60" i="125"/>
  <c r="H60" i="125"/>
  <c r="I60" i="125"/>
  <c r="J60" i="125"/>
  <c r="K60" i="125"/>
  <c r="L60" i="125"/>
  <c r="D73" i="125"/>
  <c r="E73" i="125"/>
  <c r="F73" i="125"/>
  <c r="G73" i="125"/>
  <c r="H73" i="125"/>
  <c r="I73" i="125"/>
  <c r="J73" i="125"/>
  <c r="K73" i="125"/>
  <c r="L73" i="125"/>
  <c r="D79" i="125"/>
  <c r="E79" i="125"/>
  <c r="F79" i="125"/>
  <c r="G79" i="125"/>
  <c r="H79" i="125"/>
  <c r="I79" i="125"/>
  <c r="J79" i="125"/>
  <c r="K79" i="125"/>
  <c r="L79" i="125"/>
  <c r="D84" i="125"/>
  <c r="E84" i="125"/>
  <c r="F84" i="125"/>
  <c r="G84" i="125"/>
  <c r="H84" i="125"/>
  <c r="I84" i="125"/>
  <c r="J84" i="125"/>
  <c r="K84" i="125"/>
  <c r="L84" i="125"/>
  <c r="D90" i="125"/>
  <c r="E90" i="125"/>
  <c r="F90" i="125"/>
  <c r="G90" i="125"/>
  <c r="H90" i="125"/>
  <c r="I90" i="125"/>
  <c r="J90" i="125"/>
  <c r="K90" i="125"/>
  <c r="L90" i="125"/>
  <c r="D95" i="125"/>
  <c r="E95" i="125"/>
  <c r="F95" i="125"/>
  <c r="G95" i="125"/>
  <c r="H95" i="125"/>
  <c r="I95" i="125"/>
  <c r="J95" i="125"/>
  <c r="K95" i="125"/>
  <c r="L95" i="125"/>
  <c r="D103" i="125"/>
  <c r="E103" i="125"/>
  <c r="F103" i="125"/>
  <c r="G103" i="125"/>
  <c r="H103" i="125"/>
  <c r="I103" i="125"/>
  <c r="J103" i="125"/>
  <c r="K103" i="125"/>
  <c r="L103" i="125"/>
  <c r="D107" i="125"/>
  <c r="E107" i="125"/>
  <c r="F107" i="125"/>
  <c r="G107" i="125"/>
  <c r="H107" i="125"/>
  <c r="I107" i="125"/>
  <c r="J107" i="125"/>
  <c r="K107" i="125"/>
  <c r="L107" i="125"/>
  <c r="D112" i="125"/>
  <c r="E112" i="125"/>
  <c r="F112" i="125"/>
  <c r="G112" i="125"/>
  <c r="H112" i="125"/>
  <c r="I112" i="125"/>
  <c r="J112" i="125"/>
  <c r="K112" i="125"/>
  <c r="L112" i="125"/>
  <c r="D120" i="125"/>
  <c r="E120" i="125"/>
  <c r="F120" i="125"/>
  <c r="G120" i="125"/>
  <c r="H120" i="125"/>
  <c r="I120" i="125"/>
  <c r="J120" i="125"/>
  <c r="K120" i="125"/>
  <c r="L120" i="125"/>
  <c r="D124" i="125"/>
  <c r="E124" i="125"/>
  <c r="F124" i="125"/>
  <c r="G124" i="125"/>
  <c r="H124" i="125"/>
  <c r="I124" i="125"/>
  <c r="J124" i="125"/>
  <c r="K124" i="125"/>
  <c r="L124" i="125"/>
  <c r="D129" i="125"/>
  <c r="E129" i="125"/>
  <c r="F129" i="125"/>
  <c r="G129" i="125"/>
  <c r="H129" i="125"/>
  <c r="I129" i="125"/>
  <c r="J129" i="125"/>
  <c r="K129" i="125"/>
  <c r="L129" i="125"/>
  <c r="D135" i="125"/>
  <c r="E135" i="125"/>
  <c r="F135" i="125"/>
  <c r="G135" i="125"/>
  <c r="H135" i="125"/>
  <c r="I135" i="125"/>
  <c r="J135" i="125"/>
  <c r="K135" i="125"/>
  <c r="L135" i="125"/>
  <c r="D139" i="125"/>
  <c r="E139" i="125"/>
  <c r="F139" i="125"/>
  <c r="G139" i="125"/>
  <c r="H139" i="125"/>
  <c r="I139" i="125"/>
  <c r="J139" i="125"/>
  <c r="K139" i="125"/>
  <c r="L139" i="125"/>
  <c r="D145" i="125"/>
  <c r="E145" i="125"/>
  <c r="F145" i="125"/>
  <c r="G145" i="125"/>
  <c r="H145" i="125"/>
  <c r="I145" i="125"/>
  <c r="J145" i="125"/>
  <c r="K145" i="125"/>
  <c r="L145" i="125"/>
  <c r="D153" i="125"/>
  <c r="E153" i="125"/>
  <c r="F153" i="125"/>
  <c r="G153" i="125"/>
  <c r="H153" i="125"/>
  <c r="I153" i="125"/>
  <c r="J153" i="125"/>
  <c r="K153" i="125"/>
  <c r="L153" i="125"/>
  <c r="D162" i="125"/>
  <c r="E162" i="125"/>
  <c r="F162" i="125"/>
  <c r="G162" i="125"/>
  <c r="H162" i="125"/>
  <c r="I162" i="125"/>
  <c r="J162" i="125"/>
  <c r="K162" i="125"/>
  <c r="L162" i="125"/>
  <c r="D181" i="125"/>
  <c r="E181" i="125"/>
  <c r="F181" i="125"/>
  <c r="G181" i="125"/>
  <c r="H181" i="125"/>
  <c r="I181" i="125"/>
  <c r="J181" i="125"/>
  <c r="L181" i="125"/>
  <c r="E16" i="124"/>
  <c r="F16" i="124"/>
  <c r="G16" i="124"/>
  <c r="H16" i="124"/>
  <c r="I16" i="124"/>
  <c r="J16" i="124"/>
  <c r="K16" i="124"/>
  <c r="H18" i="124"/>
  <c r="I18" i="124"/>
  <c r="J18" i="124"/>
  <c r="K18" i="124"/>
  <c r="E16" i="123"/>
  <c r="F16" i="123"/>
  <c r="G16" i="123"/>
  <c r="H16" i="123"/>
  <c r="I16" i="123"/>
  <c r="J16" i="123"/>
  <c r="K16" i="123"/>
  <c r="L16" i="123"/>
  <c r="M16" i="123"/>
  <c r="F37" i="122"/>
  <c r="G37" i="122"/>
  <c r="H37" i="122"/>
  <c r="I37" i="122"/>
  <c r="J37" i="122"/>
  <c r="K37" i="122"/>
  <c r="L37" i="122"/>
  <c r="M37" i="122"/>
  <c r="N37" i="122"/>
  <c r="E17" i="121"/>
  <c r="F17" i="121"/>
  <c r="F25" i="121" s="1"/>
  <c r="G17" i="121"/>
  <c r="H17" i="121"/>
  <c r="I17" i="121"/>
  <c r="J17" i="121"/>
  <c r="K17" i="121"/>
  <c r="L17" i="121"/>
  <c r="M17" i="121"/>
  <c r="F21" i="121"/>
  <c r="K23" i="121"/>
  <c r="E17" i="120"/>
  <c r="F17" i="120"/>
  <c r="G17" i="120"/>
  <c r="H17" i="120"/>
  <c r="I17" i="120"/>
  <c r="J17" i="120"/>
  <c r="K17" i="120"/>
  <c r="L17" i="120"/>
  <c r="M17" i="120"/>
  <c r="E22" i="120"/>
  <c r="F22" i="120"/>
  <c r="G22" i="120"/>
  <c r="H22" i="120"/>
  <c r="I22" i="120"/>
  <c r="J22" i="120"/>
  <c r="K22" i="120"/>
  <c r="L22" i="120"/>
  <c r="M22" i="120"/>
  <c r="E27" i="120"/>
  <c r="F27" i="120"/>
  <c r="G27" i="120"/>
  <c r="H27" i="120"/>
  <c r="I27" i="120"/>
  <c r="J27" i="120"/>
  <c r="K27" i="120"/>
  <c r="L27" i="120"/>
  <c r="M27" i="120"/>
  <c r="E35" i="120"/>
  <c r="F35" i="120"/>
  <c r="G35" i="120"/>
  <c r="H35" i="120"/>
  <c r="I35" i="120"/>
  <c r="J35" i="120"/>
  <c r="K35" i="120"/>
  <c r="L35" i="120"/>
  <c r="M35" i="120"/>
  <c r="E40" i="120"/>
  <c r="F40" i="120"/>
  <c r="G40" i="120"/>
  <c r="H40" i="120"/>
  <c r="I40" i="120"/>
  <c r="J40" i="120"/>
  <c r="K40" i="120"/>
  <c r="L40" i="120"/>
  <c r="M40" i="120"/>
  <c r="E45" i="120"/>
  <c r="G45" i="120"/>
  <c r="H45" i="120"/>
  <c r="I45" i="120"/>
  <c r="J45" i="120"/>
  <c r="K45" i="120"/>
  <c r="L45" i="120"/>
  <c r="M45" i="120"/>
  <c r="E49" i="120"/>
  <c r="F49" i="120"/>
  <c r="G49" i="120"/>
  <c r="H49" i="120"/>
  <c r="I49" i="120"/>
  <c r="J49" i="120"/>
  <c r="K49" i="120"/>
  <c r="L49" i="120"/>
  <c r="M49" i="120"/>
  <c r="E57" i="120"/>
  <c r="F57" i="120"/>
  <c r="G57" i="120"/>
  <c r="H57" i="120"/>
  <c r="I57" i="120"/>
  <c r="J57" i="120"/>
  <c r="K57" i="120"/>
  <c r="L57" i="120"/>
  <c r="M57" i="120"/>
  <c r="E64" i="120"/>
  <c r="F64" i="120"/>
  <c r="G64" i="120"/>
  <c r="H64" i="120"/>
  <c r="I64" i="120"/>
  <c r="J64" i="120"/>
  <c r="K64" i="120"/>
  <c r="L64" i="120"/>
  <c r="M64" i="120"/>
  <c r="E68" i="120"/>
  <c r="F68" i="120"/>
  <c r="G68" i="120"/>
  <c r="H68" i="120"/>
  <c r="I68" i="120"/>
  <c r="J68" i="120"/>
  <c r="K68" i="120"/>
  <c r="L68" i="120"/>
  <c r="M68" i="120"/>
  <c r="E80" i="120"/>
  <c r="F80" i="120"/>
  <c r="G80" i="120"/>
  <c r="H80" i="120"/>
  <c r="I80" i="120"/>
  <c r="J80" i="120"/>
  <c r="K80" i="120"/>
  <c r="L80" i="120"/>
  <c r="M80" i="120"/>
  <c r="D24" i="118"/>
  <c r="E24" i="118"/>
  <c r="F24" i="118"/>
  <c r="G24" i="118"/>
  <c r="H24" i="118"/>
  <c r="I24" i="118"/>
  <c r="J24" i="118"/>
  <c r="K24" i="118"/>
  <c r="L24" i="118"/>
  <c r="D29" i="118"/>
  <c r="E29" i="118"/>
  <c r="F29" i="118"/>
  <c r="G29" i="118"/>
  <c r="H29" i="118"/>
  <c r="I29" i="118"/>
  <c r="J29" i="118"/>
  <c r="K29" i="118"/>
  <c r="L29" i="118"/>
  <c r="D34" i="118"/>
  <c r="E34" i="118"/>
  <c r="F34" i="118"/>
  <c r="G34" i="118"/>
  <c r="H34" i="118"/>
  <c r="I34" i="118"/>
  <c r="J34" i="118"/>
  <c r="K34" i="118"/>
  <c r="L34" i="118"/>
  <c r="D39" i="118"/>
  <c r="E39" i="118"/>
  <c r="F39" i="118"/>
  <c r="G39" i="118"/>
  <c r="H39" i="118"/>
  <c r="I39" i="118"/>
  <c r="J39" i="118"/>
  <c r="K39" i="118"/>
  <c r="L39" i="118"/>
  <c r="D44" i="118"/>
  <c r="E44" i="118"/>
  <c r="F44" i="118"/>
  <c r="G44" i="118"/>
  <c r="I44" i="118"/>
  <c r="J44" i="118"/>
  <c r="K44" i="118"/>
  <c r="L44" i="118"/>
  <c r="D50" i="118"/>
  <c r="E50" i="118"/>
  <c r="F50" i="118"/>
  <c r="G50" i="118"/>
  <c r="I50" i="118"/>
  <c r="J50" i="118"/>
  <c r="K50" i="118"/>
  <c r="L50" i="118"/>
  <c r="D60" i="118"/>
  <c r="E60" i="118"/>
  <c r="F60" i="118"/>
  <c r="G60" i="118"/>
  <c r="H60" i="118"/>
  <c r="I60" i="118"/>
  <c r="J60" i="118"/>
  <c r="K60" i="118"/>
  <c r="L60" i="118"/>
  <c r="D73" i="118"/>
  <c r="E73" i="118"/>
  <c r="F73" i="118"/>
  <c r="G73" i="118"/>
  <c r="H73" i="118"/>
  <c r="I73" i="118"/>
  <c r="J73" i="118"/>
  <c r="K73" i="118"/>
  <c r="L73" i="118"/>
  <c r="D78" i="118"/>
  <c r="E78" i="118"/>
  <c r="F78" i="118"/>
  <c r="G78" i="118"/>
  <c r="H78" i="118"/>
  <c r="I78" i="118"/>
  <c r="J78" i="118"/>
  <c r="K78" i="118"/>
  <c r="L78" i="118"/>
  <c r="D82" i="118"/>
  <c r="E82" i="118"/>
  <c r="F82" i="118"/>
  <c r="G82" i="118"/>
  <c r="H82" i="118"/>
  <c r="I82" i="118"/>
  <c r="J82" i="118"/>
  <c r="K82" i="118"/>
  <c r="L82" i="118"/>
  <c r="D88" i="118"/>
  <c r="E88" i="118"/>
  <c r="F88" i="118"/>
  <c r="G88" i="118"/>
  <c r="H88" i="118"/>
  <c r="I88" i="118"/>
  <c r="J88" i="118"/>
  <c r="K88" i="118"/>
  <c r="L88" i="118"/>
  <c r="D93" i="118"/>
  <c r="E93" i="118"/>
  <c r="F93" i="118"/>
  <c r="G93" i="118"/>
  <c r="H93" i="118"/>
  <c r="I93" i="118"/>
  <c r="J93" i="118"/>
  <c r="K93" i="118"/>
  <c r="L93" i="118"/>
  <c r="D101" i="118"/>
  <c r="E101" i="118"/>
  <c r="F101" i="118"/>
  <c r="G101" i="118"/>
  <c r="H101" i="118"/>
  <c r="I101" i="118"/>
  <c r="J101" i="118"/>
  <c r="K101" i="118"/>
  <c r="L101" i="118"/>
  <c r="D105" i="118"/>
  <c r="E105" i="118"/>
  <c r="F105" i="118"/>
  <c r="G105" i="118"/>
  <c r="H105" i="118"/>
  <c r="I105" i="118"/>
  <c r="J105" i="118"/>
  <c r="K105" i="118"/>
  <c r="L105" i="118"/>
  <c r="D110" i="118"/>
  <c r="E110" i="118"/>
  <c r="F110" i="118"/>
  <c r="G110" i="118"/>
  <c r="H110" i="118"/>
  <c r="I110" i="118"/>
  <c r="J110" i="118"/>
  <c r="K110" i="118"/>
  <c r="L110" i="118"/>
  <c r="D118" i="118"/>
  <c r="E118" i="118"/>
  <c r="F118" i="118"/>
  <c r="G118" i="118"/>
  <c r="H118" i="118"/>
  <c r="I118" i="118"/>
  <c r="J118" i="118"/>
  <c r="K118" i="118"/>
  <c r="L118" i="118"/>
  <c r="D122" i="118"/>
  <c r="E122" i="118"/>
  <c r="F122" i="118"/>
  <c r="G122" i="118"/>
  <c r="H122" i="118"/>
  <c r="I122" i="118"/>
  <c r="J122" i="118"/>
  <c r="K122" i="118"/>
  <c r="L122" i="118"/>
  <c r="D127" i="118"/>
  <c r="E127" i="118"/>
  <c r="F127" i="118"/>
  <c r="G127" i="118"/>
  <c r="H127" i="118"/>
  <c r="I127" i="118"/>
  <c r="J127" i="118"/>
  <c r="K127" i="118"/>
  <c r="L127" i="118"/>
  <c r="D133" i="118"/>
  <c r="E133" i="118"/>
  <c r="F133" i="118"/>
  <c r="G133" i="118"/>
  <c r="H133" i="118"/>
  <c r="I133" i="118"/>
  <c r="J133" i="118"/>
  <c r="K133" i="118"/>
  <c r="L133" i="118"/>
  <c r="D137" i="118"/>
  <c r="E137" i="118"/>
  <c r="F137" i="118"/>
  <c r="G137" i="118"/>
  <c r="H137" i="118"/>
  <c r="I137" i="118"/>
  <c r="J137" i="118"/>
  <c r="K137" i="118"/>
  <c r="L137" i="118"/>
  <c r="D141" i="118"/>
  <c r="E141" i="118"/>
  <c r="F141" i="118"/>
  <c r="G141" i="118"/>
  <c r="H141" i="118"/>
  <c r="I141" i="118"/>
  <c r="J141" i="118"/>
  <c r="K141" i="118"/>
  <c r="L141" i="118"/>
  <c r="D147" i="118"/>
  <c r="E147" i="118"/>
  <c r="F147" i="118"/>
  <c r="G147" i="118"/>
  <c r="H147" i="118"/>
  <c r="I147" i="118"/>
  <c r="J147" i="118"/>
  <c r="K147" i="118"/>
  <c r="L147" i="118"/>
  <c r="D155" i="118"/>
  <c r="E155" i="118"/>
  <c r="F155" i="118"/>
  <c r="G155" i="118"/>
  <c r="H155" i="118"/>
  <c r="I155" i="118"/>
  <c r="J155" i="118"/>
  <c r="K155" i="118"/>
  <c r="L155" i="118"/>
  <c r="D164" i="118"/>
  <c r="E164" i="118"/>
  <c r="F164" i="118"/>
  <c r="G164" i="118"/>
  <c r="H164" i="118"/>
  <c r="I164" i="118"/>
  <c r="J164" i="118"/>
  <c r="K164" i="118"/>
  <c r="L164" i="118"/>
  <c r="D183" i="118"/>
  <c r="E183" i="118"/>
  <c r="F183" i="118"/>
  <c r="G183" i="118"/>
  <c r="H183" i="118"/>
  <c r="I183" i="118"/>
  <c r="J183" i="118"/>
  <c r="L183" i="118"/>
  <c r="E16" i="117"/>
  <c r="F16" i="117"/>
  <c r="G16" i="117"/>
  <c r="E16" i="116"/>
  <c r="F16" i="116"/>
  <c r="G16" i="116"/>
  <c r="H16" i="116"/>
  <c r="I16" i="116"/>
  <c r="J16" i="116"/>
  <c r="K16" i="116"/>
  <c r="L16" i="116"/>
  <c r="M16" i="116"/>
  <c r="F32" i="115"/>
  <c r="H32" i="115"/>
  <c r="E17" i="114"/>
  <c r="F17" i="114"/>
  <c r="F25" i="114"/>
  <c r="G17" i="114"/>
  <c r="H17" i="114"/>
  <c r="I17" i="114"/>
  <c r="J17" i="114"/>
  <c r="K17" i="114"/>
  <c r="L17" i="114"/>
  <c r="M17" i="114"/>
  <c r="F21" i="114"/>
  <c r="K23" i="114"/>
  <c r="E17" i="113"/>
  <c r="F17" i="113"/>
  <c r="G17" i="113"/>
  <c r="H17" i="113"/>
  <c r="I17" i="113"/>
  <c r="J17" i="113"/>
  <c r="K17" i="113"/>
  <c r="L17" i="113"/>
  <c r="M17" i="113"/>
  <c r="E21" i="113"/>
  <c r="F21" i="113"/>
  <c r="G21" i="113"/>
  <c r="H21" i="113"/>
  <c r="I21" i="113"/>
  <c r="J21" i="113"/>
  <c r="K21" i="113"/>
  <c r="L21" i="113"/>
  <c r="M21" i="113"/>
  <c r="E25" i="113"/>
  <c r="F25" i="113"/>
  <c r="G25" i="113"/>
  <c r="H25" i="113"/>
  <c r="I25" i="113"/>
  <c r="J25" i="113"/>
  <c r="K25" i="113"/>
  <c r="L25" i="113"/>
  <c r="M25" i="113"/>
  <c r="E33" i="113"/>
  <c r="F33" i="113"/>
  <c r="G33" i="113"/>
  <c r="H33" i="113"/>
  <c r="I33" i="113"/>
  <c r="J33" i="113"/>
  <c r="K33" i="113"/>
  <c r="L33" i="113"/>
  <c r="M33" i="113"/>
  <c r="E38" i="113"/>
  <c r="G38" i="113"/>
  <c r="H38" i="113"/>
  <c r="I38" i="113"/>
  <c r="J38" i="113"/>
  <c r="K38" i="113"/>
  <c r="L38" i="113"/>
  <c r="M38" i="113"/>
  <c r="E45" i="113"/>
  <c r="F45" i="113"/>
  <c r="G45" i="113"/>
  <c r="H45" i="113"/>
  <c r="I45" i="113"/>
  <c r="J45" i="113"/>
  <c r="K45" i="113"/>
  <c r="L45" i="113"/>
  <c r="M45" i="113"/>
  <c r="E49" i="113"/>
  <c r="F49" i="113"/>
  <c r="G49" i="113"/>
  <c r="H49" i="113"/>
  <c r="I49" i="113"/>
  <c r="J49" i="113"/>
  <c r="K49" i="113"/>
  <c r="L49" i="113"/>
  <c r="M49" i="113"/>
  <c r="E56" i="113"/>
  <c r="G56" i="113"/>
  <c r="H56" i="113"/>
  <c r="I56" i="113"/>
  <c r="J56" i="113"/>
  <c r="K56" i="113"/>
  <c r="L56" i="113"/>
  <c r="M56" i="113"/>
  <c r="G17" i="112"/>
  <c r="H17" i="112"/>
  <c r="I17" i="112"/>
  <c r="J17" i="112"/>
  <c r="K17" i="112"/>
  <c r="L17" i="112"/>
  <c r="M17" i="112"/>
  <c r="N17" i="112"/>
  <c r="O17" i="112"/>
  <c r="G21" i="112"/>
  <c r="H21" i="112"/>
  <c r="I21" i="112"/>
  <c r="J21" i="112"/>
  <c r="K21" i="112"/>
  <c r="L21" i="112"/>
  <c r="M21" i="112"/>
  <c r="N21" i="112"/>
  <c r="O21" i="112"/>
  <c r="G26" i="112"/>
  <c r="H26" i="112"/>
  <c r="I26" i="112"/>
  <c r="J26" i="112"/>
  <c r="K26" i="112"/>
  <c r="L26" i="112"/>
  <c r="M26" i="112"/>
  <c r="N26" i="112"/>
  <c r="O26" i="112"/>
  <c r="G30" i="112"/>
  <c r="H30" i="112"/>
  <c r="I30" i="112"/>
  <c r="J30" i="112"/>
  <c r="K30" i="112"/>
  <c r="L30" i="112"/>
  <c r="M30" i="112"/>
  <c r="N30" i="112"/>
  <c r="O30" i="112"/>
  <c r="G34" i="112"/>
  <c r="H34" i="112"/>
  <c r="I34" i="112"/>
  <c r="J34" i="112"/>
  <c r="K34" i="112"/>
  <c r="L34" i="112"/>
  <c r="M34" i="112"/>
  <c r="N34" i="112"/>
  <c r="O34" i="112"/>
  <c r="G40" i="112"/>
  <c r="I40" i="112"/>
  <c r="J40" i="112"/>
  <c r="K40" i="112"/>
  <c r="L40" i="112"/>
  <c r="M40" i="112"/>
  <c r="N40" i="112"/>
  <c r="O40" i="112"/>
  <c r="D24" i="111"/>
  <c r="E24" i="111"/>
  <c r="F24" i="111"/>
  <c r="G24" i="111"/>
  <c r="J24" i="111"/>
  <c r="D29" i="111"/>
  <c r="E29" i="111"/>
  <c r="F29" i="111"/>
  <c r="G29" i="111"/>
  <c r="H29" i="111"/>
  <c r="I29" i="111"/>
  <c r="J29" i="111"/>
  <c r="K29" i="111"/>
  <c r="L29" i="111"/>
  <c r="D34" i="111"/>
  <c r="E34" i="111"/>
  <c r="F34" i="111"/>
  <c r="G34" i="111"/>
  <c r="H34" i="111"/>
  <c r="I34" i="111"/>
  <c r="J34" i="111"/>
  <c r="K34" i="111"/>
  <c r="L34" i="111"/>
  <c r="D39" i="111"/>
  <c r="E39" i="111"/>
  <c r="F39" i="111"/>
  <c r="G39" i="111"/>
  <c r="H39" i="111"/>
  <c r="I39" i="111"/>
  <c r="J39" i="111"/>
  <c r="K39" i="111"/>
  <c r="L39" i="111"/>
  <c r="D44" i="111"/>
  <c r="E44" i="111"/>
  <c r="F44" i="111"/>
  <c r="G44" i="111"/>
  <c r="I44" i="111"/>
  <c r="J44" i="111"/>
  <c r="K44" i="111"/>
  <c r="L44" i="111"/>
  <c r="D50" i="111"/>
  <c r="E50" i="111"/>
  <c r="F50" i="111"/>
  <c r="G50" i="111"/>
  <c r="I50" i="111"/>
  <c r="J50" i="111"/>
  <c r="K50" i="111"/>
  <c r="L50" i="111"/>
  <c r="D60" i="111"/>
  <c r="F60" i="111"/>
  <c r="G60" i="111"/>
  <c r="H60" i="111"/>
  <c r="I60" i="111"/>
  <c r="J60" i="111"/>
  <c r="K60" i="111"/>
  <c r="L60" i="111"/>
  <c r="D72" i="111"/>
  <c r="E72" i="111"/>
  <c r="F72" i="111"/>
  <c r="G72" i="111"/>
  <c r="H72" i="111"/>
  <c r="I72" i="111"/>
  <c r="J72" i="111"/>
  <c r="K72" i="111"/>
  <c r="L72" i="111"/>
  <c r="D77" i="111"/>
  <c r="E77" i="111"/>
  <c r="F77" i="111"/>
  <c r="G77" i="111"/>
  <c r="H77" i="111"/>
  <c r="I77" i="111"/>
  <c r="J77" i="111"/>
  <c r="K77" i="111"/>
  <c r="L77" i="111"/>
  <c r="D81" i="111"/>
  <c r="E81" i="111"/>
  <c r="F81" i="111"/>
  <c r="G81" i="111"/>
  <c r="H81" i="111"/>
  <c r="I81" i="111"/>
  <c r="J81" i="111"/>
  <c r="K81" i="111"/>
  <c r="L81" i="111"/>
  <c r="D87" i="111"/>
  <c r="E87" i="111"/>
  <c r="F87" i="111"/>
  <c r="G87" i="111"/>
  <c r="H87" i="111"/>
  <c r="I87" i="111"/>
  <c r="J87" i="111"/>
  <c r="K87" i="111"/>
  <c r="L87" i="111"/>
  <c r="D92" i="111"/>
  <c r="E92" i="111"/>
  <c r="F92" i="111"/>
  <c r="G92" i="111"/>
  <c r="H92" i="111"/>
  <c r="I92" i="111"/>
  <c r="J92" i="111"/>
  <c r="K92" i="111"/>
  <c r="L92" i="111"/>
  <c r="D99" i="111"/>
  <c r="E99" i="111"/>
  <c r="F99" i="111"/>
  <c r="G99" i="111"/>
  <c r="H99" i="111"/>
  <c r="I99" i="111"/>
  <c r="J99" i="111"/>
  <c r="K99" i="111"/>
  <c r="L99" i="111"/>
  <c r="D103" i="111"/>
  <c r="E103" i="111"/>
  <c r="F103" i="111"/>
  <c r="G103" i="111"/>
  <c r="H103" i="111"/>
  <c r="I103" i="111"/>
  <c r="J103" i="111"/>
  <c r="K103" i="111"/>
  <c r="L103" i="111"/>
  <c r="D108" i="111"/>
  <c r="E108" i="111"/>
  <c r="F108" i="111"/>
  <c r="G108" i="111"/>
  <c r="H108" i="111"/>
  <c r="I108" i="111"/>
  <c r="J108" i="111"/>
  <c r="K108" i="111"/>
  <c r="L108" i="111"/>
  <c r="D116" i="111"/>
  <c r="E116" i="111"/>
  <c r="F116" i="111"/>
  <c r="G116" i="111"/>
  <c r="H116" i="111"/>
  <c r="I116" i="111"/>
  <c r="J116" i="111"/>
  <c r="K116" i="111"/>
  <c r="L116" i="111"/>
  <c r="D120" i="111"/>
  <c r="E120" i="111"/>
  <c r="F120" i="111"/>
  <c r="G120" i="111"/>
  <c r="H120" i="111"/>
  <c r="I120" i="111"/>
  <c r="J120" i="111"/>
  <c r="K120" i="111"/>
  <c r="L120" i="111"/>
  <c r="D125" i="111"/>
  <c r="E125" i="111"/>
  <c r="F125" i="111"/>
  <c r="G125" i="111"/>
  <c r="H125" i="111"/>
  <c r="I125" i="111"/>
  <c r="J125" i="111"/>
  <c r="K125" i="111"/>
  <c r="L125" i="111"/>
  <c r="D131" i="111"/>
  <c r="E131" i="111"/>
  <c r="F131" i="111"/>
  <c r="G131" i="111"/>
  <c r="H131" i="111"/>
  <c r="I131" i="111"/>
  <c r="J131" i="111"/>
  <c r="K131" i="111"/>
  <c r="L131" i="111"/>
  <c r="D135" i="111"/>
  <c r="E135" i="111"/>
  <c r="F135" i="111"/>
  <c r="G135" i="111"/>
  <c r="H135" i="111"/>
  <c r="I135" i="111"/>
  <c r="J135" i="111"/>
  <c r="K135" i="111"/>
  <c r="L135" i="111"/>
  <c r="D139" i="111"/>
  <c r="E139" i="111"/>
  <c r="F139" i="111"/>
  <c r="G139" i="111"/>
  <c r="H139" i="111"/>
  <c r="I139" i="111"/>
  <c r="J139" i="111"/>
  <c r="K139" i="111"/>
  <c r="L139" i="111"/>
  <c r="D145" i="111"/>
  <c r="E145" i="111"/>
  <c r="F145" i="111"/>
  <c r="G145" i="111"/>
  <c r="H145" i="111"/>
  <c r="I145" i="111"/>
  <c r="J145" i="111"/>
  <c r="K145" i="111"/>
  <c r="L145" i="111"/>
  <c r="D153" i="111"/>
  <c r="E153" i="111"/>
  <c r="F153" i="111"/>
  <c r="G153" i="111"/>
  <c r="H153" i="111"/>
  <c r="I153" i="111"/>
  <c r="J153" i="111"/>
  <c r="K153" i="111"/>
  <c r="L153" i="111"/>
  <c r="D162" i="111"/>
  <c r="E162" i="111"/>
  <c r="F162" i="111"/>
  <c r="G162" i="111"/>
  <c r="H162" i="111"/>
  <c r="I162" i="111"/>
  <c r="J162" i="111"/>
  <c r="K162" i="111"/>
  <c r="L162" i="111"/>
  <c r="D180" i="111"/>
  <c r="E180" i="111"/>
  <c r="F180" i="111"/>
  <c r="G180" i="111"/>
  <c r="H180" i="111"/>
  <c r="I180" i="111"/>
  <c r="J180" i="111"/>
  <c r="K180" i="111"/>
  <c r="L180" i="111"/>
  <c r="E16" i="110"/>
  <c r="F16" i="110"/>
  <c r="G16" i="110"/>
  <c r="E16" i="109"/>
  <c r="F16" i="109"/>
  <c r="G16" i="109"/>
  <c r="H16" i="109"/>
  <c r="I16" i="109"/>
  <c r="J16" i="109"/>
  <c r="K16" i="109"/>
  <c r="L16" i="109"/>
  <c r="M16" i="109"/>
  <c r="F28" i="108"/>
  <c r="F29" i="108"/>
  <c r="E17" i="107"/>
  <c r="F17" i="107"/>
  <c r="G17" i="107"/>
  <c r="H17" i="107"/>
  <c r="I17" i="107"/>
  <c r="I22" i="107" s="1"/>
  <c r="J17" i="107"/>
  <c r="K17" i="107"/>
  <c r="L17" i="107"/>
  <c r="M17" i="107"/>
  <c r="M22" i="107" s="1"/>
  <c r="E21" i="107"/>
  <c r="E22" i="107"/>
  <c r="F21" i="107"/>
  <c r="F22" i="107" s="1"/>
  <c r="G21" i="107"/>
  <c r="H21" i="107"/>
  <c r="I21" i="107"/>
  <c r="J21" i="107"/>
  <c r="J22" i="107"/>
  <c r="K21" i="107"/>
  <c r="K22" i="107" s="1"/>
  <c r="L21" i="107"/>
  <c r="L22" i="107" s="1"/>
  <c r="M21" i="107"/>
  <c r="G22" i="107"/>
  <c r="H22" i="107"/>
  <c r="G17" i="106"/>
  <c r="H17" i="106"/>
  <c r="I17" i="106"/>
  <c r="J17" i="106"/>
  <c r="K17" i="106"/>
  <c r="L17" i="106"/>
  <c r="M17" i="106"/>
  <c r="N17" i="106"/>
  <c r="O17" i="106"/>
  <c r="G21" i="106"/>
  <c r="H21" i="106"/>
  <c r="I21" i="106"/>
  <c r="J21" i="106"/>
  <c r="K21" i="106"/>
  <c r="L21" i="106"/>
  <c r="M21" i="106"/>
  <c r="N21" i="106"/>
  <c r="O21" i="106"/>
  <c r="G25" i="106"/>
  <c r="H25" i="106"/>
  <c r="I25" i="106"/>
  <c r="J25" i="106"/>
  <c r="K25" i="106"/>
  <c r="L25" i="106"/>
  <c r="M25" i="106"/>
  <c r="N25" i="106"/>
  <c r="O25" i="106"/>
  <c r="G33" i="106"/>
  <c r="H33" i="106"/>
  <c r="I33" i="106"/>
  <c r="J33" i="106"/>
  <c r="K33" i="106"/>
  <c r="L33" i="106"/>
  <c r="M33" i="106"/>
  <c r="N33" i="106"/>
  <c r="O33" i="106"/>
  <c r="G38" i="106"/>
  <c r="I38" i="106"/>
  <c r="J38" i="106"/>
  <c r="K38" i="106"/>
  <c r="L38" i="106"/>
  <c r="M38" i="106"/>
  <c r="N38" i="106"/>
  <c r="O38" i="106"/>
  <c r="G45" i="106"/>
  <c r="H45" i="106"/>
  <c r="I45" i="106"/>
  <c r="J45" i="106"/>
  <c r="K45" i="106"/>
  <c r="L45" i="106"/>
  <c r="M45" i="106"/>
  <c r="N45" i="106"/>
  <c r="O45" i="106"/>
  <c r="G49" i="106"/>
  <c r="H49" i="106"/>
  <c r="I49" i="106"/>
  <c r="J49" i="106"/>
  <c r="K49" i="106"/>
  <c r="L49" i="106"/>
  <c r="M49" i="106"/>
  <c r="N49" i="106"/>
  <c r="O49" i="106"/>
  <c r="G55" i="106"/>
  <c r="I55" i="106"/>
  <c r="J55" i="106"/>
  <c r="K55" i="106"/>
  <c r="L55" i="106"/>
  <c r="M55" i="106"/>
  <c r="N55" i="106"/>
  <c r="O55" i="106"/>
  <c r="G17" i="105"/>
  <c r="H17" i="105"/>
  <c r="I17" i="105"/>
  <c r="J17" i="105"/>
  <c r="K17" i="105"/>
  <c r="L17" i="105"/>
  <c r="M17" i="105"/>
  <c r="N17" i="105"/>
  <c r="O17" i="105"/>
  <c r="G22" i="105"/>
  <c r="H22" i="105"/>
  <c r="I22" i="105"/>
  <c r="J22" i="105"/>
  <c r="K22" i="105"/>
  <c r="L22" i="105"/>
  <c r="M22" i="105"/>
  <c r="N22" i="105"/>
  <c r="O22" i="105"/>
  <c r="G26" i="105"/>
  <c r="H26" i="105"/>
  <c r="I26" i="105"/>
  <c r="J26" i="105"/>
  <c r="K26" i="105"/>
  <c r="L26" i="105"/>
  <c r="M26" i="105"/>
  <c r="N26" i="105"/>
  <c r="O26" i="105"/>
  <c r="G31" i="105"/>
  <c r="H31" i="105"/>
  <c r="I31" i="105"/>
  <c r="J31" i="105"/>
  <c r="K31" i="105"/>
  <c r="L31" i="105"/>
  <c r="M31" i="105"/>
  <c r="N31" i="105"/>
  <c r="O31" i="105"/>
  <c r="G35" i="105"/>
  <c r="H35" i="105"/>
  <c r="I35" i="105"/>
  <c r="J35" i="105"/>
  <c r="K35" i="105"/>
  <c r="L35" i="105"/>
  <c r="M35" i="105"/>
  <c r="N35" i="105"/>
  <c r="O35" i="105"/>
  <c r="G39" i="105"/>
  <c r="H39" i="105"/>
  <c r="I39" i="105"/>
  <c r="J39" i="105"/>
  <c r="K39" i="105"/>
  <c r="L39" i="105"/>
  <c r="M39" i="105"/>
  <c r="N39" i="105"/>
  <c r="O39" i="105"/>
  <c r="H45" i="105"/>
  <c r="E24" i="104"/>
  <c r="F24" i="104"/>
  <c r="G24" i="104"/>
  <c r="H24" i="104"/>
  <c r="K24" i="104"/>
  <c r="E29" i="104"/>
  <c r="F29" i="104"/>
  <c r="G29" i="104"/>
  <c r="H29" i="104"/>
  <c r="I29" i="104"/>
  <c r="J29" i="104"/>
  <c r="K29" i="104"/>
  <c r="L29" i="104"/>
  <c r="M29" i="104"/>
  <c r="E34" i="104"/>
  <c r="F34" i="104"/>
  <c r="G34" i="104"/>
  <c r="H34" i="104"/>
  <c r="I34" i="104"/>
  <c r="J34" i="104"/>
  <c r="K34" i="104"/>
  <c r="L34" i="104"/>
  <c r="M34" i="104"/>
  <c r="E39" i="104"/>
  <c r="F39" i="104"/>
  <c r="G39" i="104"/>
  <c r="H39" i="104"/>
  <c r="I39" i="104"/>
  <c r="J39" i="104"/>
  <c r="K39" i="104"/>
  <c r="L39" i="104"/>
  <c r="M39" i="104"/>
  <c r="E45" i="104"/>
  <c r="F45" i="104"/>
  <c r="G45" i="104"/>
  <c r="H45" i="104"/>
  <c r="J45" i="104"/>
  <c r="K45" i="104"/>
  <c r="L45" i="104"/>
  <c r="M45" i="104"/>
  <c r="E51" i="104"/>
  <c r="F51" i="104"/>
  <c r="G51" i="104"/>
  <c r="H51" i="104"/>
  <c r="J51" i="104"/>
  <c r="K51" i="104"/>
  <c r="L51" i="104"/>
  <c r="M51" i="104"/>
  <c r="E61" i="104"/>
  <c r="G61" i="104"/>
  <c r="H61" i="104"/>
  <c r="I61" i="104"/>
  <c r="J61" i="104"/>
  <c r="K61" i="104"/>
  <c r="L61" i="104"/>
  <c r="M61" i="104"/>
  <c r="E71" i="104"/>
  <c r="G71" i="104"/>
  <c r="H71" i="104"/>
  <c r="I71" i="104"/>
  <c r="J71" i="104"/>
  <c r="K71" i="104"/>
  <c r="L71" i="104"/>
  <c r="M71" i="104"/>
  <c r="E76" i="104"/>
  <c r="F76" i="104"/>
  <c r="G76" i="104"/>
  <c r="H76" i="104"/>
  <c r="I76" i="104"/>
  <c r="J76" i="104"/>
  <c r="K76" i="104"/>
  <c r="L76" i="104"/>
  <c r="M76" i="104"/>
  <c r="E80" i="104"/>
  <c r="F80" i="104"/>
  <c r="G80" i="104"/>
  <c r="H80" i="104"/>
  <c r="I80" i="104"/>
  <c r="J80" i="104"/>
  <c r="K80" i="104"/>
  <c r="L80" i="104"/>
  <c r="M80" i="104"/>
  <c r="E85" i="104"/>
  <c r="F85" i="104"/>
  <c r="G85" i="104"/>
  <c r="H85" i="104"/>
  <c r="I85" i="104"/>
  <c r="J85" i="104"/>
  <c r="K85" i="104"/>
  <c r="L85" i="104"/>
  <c r="M85" i="104"/>
  <c r="E90" i="104"/>
  <c r="F90" i="104"/>
  <c r="G90" i="104"/>
  <c r="H90" i="104"/>
  <c r="I90" i="104"/>
  <c r="J90" i="104"/>
  <c r="K90" i="104"/>
  <c r="L90" i="104"/>
  <c r="M90" i="104"/>
  <c r="E97" i="104"/>
  <c r="F97" i="104"/>
  <c r="G97" i="104"/>
  <c r="H97" i="104"/>
  <c r="I97" i="104"/>
  <c r="J97" i="104"/>
  <c r="K97" i="104"/>
  <c r="L97" i="104"/>
  <c r="M97" i="104"/>
  <c r="E101" i="104"/>
  <c r="F101" i="104"/>
  <c r="G101" i="104"/>
  <c r="H101" i="104"/>
  <c r="I101" i="104"/>
  <c r="J101" i="104"/>
  <c r="K101" i="104"/>
  <c r="L101" i="104"/>
  <c r="M101" i="104"/>
  <c r="E106" i="104"/>
  <c r="F106" i="104"/>
  <c r="G106" i="104"/>
  <c r="H106" i="104"/>
  <c r="I106" i="104"/>
  <c r="J106" i="104"/>
  <c r="K106" i="104"/>
  <c r="L106" i="104"/>
  <c r="M106" i="104"/>
  <c r="E114" i="104"/>
  <c r="F114" i="104"/>
  <c r="G114" i="104"/>
  <c r="H114" i="104"/>
  <c r="I114" i="104"/>
  <c r="J114" i="104"/>
  <c r="K114" i="104"/>
  <c r="L114" i="104"/>
  <c r="M114" i="104"/>
  <c r="E118" i="104"/>
  <c r="F118" i="104"/>
  <c r="G118" i="104"/>
  <c r="H118" i="104"/>
  <c r="I118" i="104"/>
  <c r="J118" i="104"/>
  <c r="K118" i="104"/>
  <c r="L118" i="104"/>
  <c r="M118" i="104"/>
  <c r="E123" i="104"/>
  <c r="F123" i="104"/>
  <c r="G123" i="104"/>
  <c r="H123" i="104"/>
  <c r="I123" i="104"/>
  <c r="J123" i="104"/>
  <c r="K123" i="104"/>
  <c r="L123" i="104"/>
  <c r="M123" i="104"/>
  <c r="E129" i="104"/>
  <c r="F129" i="104"/>
  <c r="G129" i="104"/>
  <c r="H129" i="104"/>
  <c r="I129" i="104"/>
  <c r="J129" i="104"/>
  <c r="K129" i="104"/>
  <c r="L129" i="104"/>
  <c r="M129" i="104"/>
  <c r="E133" i="104"/>
  <c r="F133" i="104"/>
  <c r="G133" i="104"/>
  <c r="H133" i="104"/>
  <c r="I133" i="104"/>
  <c r="J133" i="104"/>
  <c r="K133" i="104"/>
  <c r="L133" i="104"/>
  <c r="M133" i="104"/>
  <c r="E137" i="104"/>
  <c r="F137" i="104"/>
  <c r="G137" i="104"/>
  <c r="H137" i="104"/>
  <c r="I137" i="104"/>
  <c r="J137" i="104"/>
  <c r="K137" i="104"/>
  <c r="L137" i="104"/>
  <c r="M137" i="104"/>
  <c r="E143" i="104"/>
  <c r="F143" i="104"/>
  <c r="G143" i="104"/>
  <c r="H143" i="104"/>
  <c r="I143" i="104"/>
  <c r="J143" i="104"/>
  <c r="K143" i="104"/>
  <c r="L143" i="104"/>
  <c r="M143" i="104"/>
  <c r="E151" i="104"/>
  <c r="F151" i="104"/>
  <c r="G151" i="104"/>
  <c r="H151" i="104"/>
  <c r="I151" i="104"/>
  <c r="J151" i="104"/>
  <c r="K151" i="104"/>
  <c r="L151" i="104"/>
  <c r="M151" i="104"/>
  <c r="E160" i="104"/>
  <c r="F160" i="104"/>
  <c r="G160" i="104"/>
  <c r="H160" i="104"/>
  <c r="I160" i="104"/>
  <c r="J160" i="104"/>
  <c r="K160" i="104"/>
  <c r="L160" i="104"/>
  <c r="M160" i="104"/>
  <c r="F176" i="104"/>
  <c r="E16" i="103"/>
  <c r="F16" i="103"/>
  <c r="G16" i="103"/>
  <c r="E16" i="102"/>
  <c r="F16" i="102"/>
  <c r="G16" i="102"/>
  <c r="H16" i="102"/>
  <c r="I16" i="102"/>
  <c r="J16" i="102"/>
  <c r="K16" i="102"/>
  <c r="L16" i="102"/>
  <c r="M16" i="102"/>
  <c r="F28" i="101"/>
  <c r="F29" i="101"/>
  <c r="E17" i="99"/>
  <c r="F17" i="99"/>
  <c r="F22" i="99" s="1"/>
  <c r="G17" i="99"/>
  <c r="G22" i="99" s="1"/>
  <c r="H17" i="99"/>
  <c r="I17" i="99"/>
  <c r="J17" i="99"/>
  <c r="K17" i="99"/>
  <c r="L17" i="99"/>
  <c r="M17" i="99"/>
  <c r="M22" i="99" s="1"/>
  <c r="E21" i="99"/>
  <c r="F21" i="99"/>
  <c r="G21" i="99"/>
  <c r="H21" i="99"/>
  <c r="H22" i="99" s="1"/>
  <c r="I21" i="99"/>
  <c r="J21" i="99"/>
  <c r="K21" i="99"/>
  <c r="L21" i="99"/>
  <c r="L22" i="99"/>
  <c r="M21" i="99"/>
  <c r="E22" i="99"/>
  <c r="I22" i="99"/>
  <c r="J22" i="99"/>
  <c r="K22" i="99"/>
  <c r="G21" i="98"/>
  <c r="H21" i="98"/>
  <c r="I21" i="98"/>
  <c r="J21" i="98"/>
  <c r="K21" i="98"/>
  <c r="L21" i="98"/>
  <c r="M21" i="98"/>
  <c r="N21" i="98"/>
  <c r="O21" i="98"/>
  <c r="G25" i="98"/>
  <c r="H25" i="98"/>
  <c r="I25" i="98"/>
  <c r="J25" i="98"/>
  <c r="K25" i="98"/>
  <c r="L25" i="98"/>
  <c r="M25" i="98"/>
  <c r="N25" i="98"/>
  <c r="O25" i="98"/>
  <c r="H31" i="98"/>
  <c r="G35" i="98"/>
  <c r="H35" i="98"/>
  <c r="I35" i="98"/>
  <c r="J35" i="98"/>
  <c r="K35" i="98"/>
  <c r="L35" i="98"/>
  <c r="M35" i="98"/>
  <c r="N35" i="98"/>
  <c r="O35" i="98"/>
  <c r="G40" i="98"/>
  <c r="H40" i="98"/>
  <c r="I40" i="98"/>
  <c r="J40" i="98"/>
  <c r="K40" i="98"/>
  <c r="L40" i="98"/>
  <c r="M40" i="98"/>
  <c r="N40" i="98"/>
  <c r="O40" i="98"/>
  <c r="G17" i="97"/>
  <c r="H17" i="97"/>
  <c r="I17" i="97"/>
  <c r="J17" i="97"/>
  <c r="K17" i="97"/>
  <c r="L17" i="97"/>
  <c r="M17" i="97"/>
  <c r="N17" i="97"/>
  <c r="O17" i="97"/>
  <c r="G21" i="97"/>
  <c r="H21" i="97"/>
  <c r="I21" i="97"/>
  <c r="J21" i="97"/>
  <c r="K21" i="97"/>
  <c r="L21" i="97"/>
  <c r="M21" i="97"/>
  <c r="N21" i="97"/>
  <c r="O21" i="97"/>
  <c r="G26" i="97"/>
  <c r="H26" i="97"/>
  <c r="I26" i="97"/>
  <c r="J26" i="97"/>
  <c r="K26" i="97"/>
  <c r="L26" i="97"/>
  <c r="M26" i="97"/>
  <c r="N26" i="97"/>
  <c r="O26" i="97"/>
  <c r="G30" i="97"/>
  <c r="H30" i="97"/>
  <c r="I30" i="97"/>
  <c r="J30" i="97"/>
  <c r="K30" i="97"/>
  <c r="L30" i="97"/>
  <c r="M30" i="97"/>
  <c r="N30" i="97"/>
  <c r="O30" i="97"/>
  <c r="G35" i="97"/>
  <c r="H35" i="97"/>
  <c r="I35" i="97"/>
  <c r="J35" i="97"/>
  <c r="K35" i="97"/>
  <c r="L35" i="97"/>
  <c r="M35" i="97"/>
  <c r="N35" i="97"/>
  <c r="O35" i="97"/>
  <c r="G39" i="97"/>
  <c r="H39" i="97"/>
  <c r="I39" i="97"/>
  <c r="J39" i="97"/>
  <c r="K39" i="97"/>
  <c r="L39" i="97"/>
  <c r="M39" i="97"/>
  <c r="N39" i="97"/>
  <c r="O39" i="97"/>
  <c r="G43" i="97"/>
  <c r="H43" i="97"/>
  <c r="I43" i="97"/>
  <c r="J43" i="97"/>
  <c r="K43" i="97"/>
  <c r="L43" i="97"/>
  <c r="M43" i="97"/>
  <c r="N43" i="97"/>
  <c r="O43" i="97"/>
  <c r="G50" i="97"/>
  <c r="H50" i="97"/>
  <c r="I50" i="97"/>
  <c r="J50" i="97"/>
  <c r="K50" i="97"/>
  <c r="L50" i="97"/>
  <c r="M50" i="97"/>
  <c r="N50" i="97"/>
  <c r="O50" i="97"/>
  <c r="H57" i="97"/>
  <c r="E24" i="96"/>
  <c r="F24" i="96"/>
  <c r="G24" i="96"/>
  <c r="H24" i="96"/>
  <c r="K24" i="96"/>
  <c r="E29" i="96"/>
  <c r="F29" i="96"/>
  <c r="G29" i="96"/>
  <c r="H29" i="96"/>
  <c r="I29" i="96"/>
  <c r="J29" i="96"/>
  <c r="K29" i="96"/>
  <c r="L29" i="96"/>
  <c r="M29" i="96"/>
  <c r="E34" i="96"/>
  <c r="F34" i="96"/>
  <c r="G34" i="96"/>
  <c r="H34" i="96"/>
  <c r="I34" i="96"/>
  <c r="J34" i="96"/>
  <c r="K34" i="96"/>
  <c r="L34" i="96"/>
  <c r="M34" i="96"/>
  <c r="E38" i="96"/>
  <c r="F38" i="96"/>
  <c r="G38" i="96"/>
  <c r="H38" i="96"/>
  <c r="I38" i="96"/>
  <c r="J38" i="96"/>
  <c r="K38" i="96"/>
  <c r="L38" i="96"/>
  <c r="M38" i="96"/>
  <c r="E44" i="96"/>
  <c r="F44" i="96"/>
  <c r="G44" i="96"/>
  <c r="H44" i="96"/>
  <c r="J44" i="96"/>
  <c r="K44" i="96"/>
  <c r="L44" i="96"/>
  <c r="M44" i="96"/>
  <c r="E50" i="96"/>
  <c r="F50" i="96"/>
  <c r="G50" i="96"/>
  <c r="H50" i="96"/>
  <c r="J50" i="96"/>
  <c r="K50" i="96"/>
  <c r="L50" i="96"/>
  <c r="M50" i="96"/>
  <c r="E59" i="96"/>
  <c r="F59" i="96"/>
  <c r="G59" i="96"/>
  <c r="H59" i="96"/>
  <c r="I59" i="96"/>
  <c r="J59" i="96"/>
  <c r="K59" i="96"/>
  <c r="L59" i="96"/>
  <c r="M59" i="96"/>
  <c r="E69" i="96"/>
  <c r="G69" i="96"/>
  <c r="H69" i="96"/>
  <c r="I69" i="96"/>
  <c r="J69" i="96"/>
  <c r="K69" i="96"/>
  <c r="L69" i="96"/>
  <c r="M69" i="96"/>
  <c r="E74" i="96"/>
  <c r="F74" i="96"/>
  <c r="G74" i="96"/>
  <c r="H74" i="96"/>
  <c r="I74" i="96"/>
  <c r="J74" i="96"/>
  <c r="K74" i="96"/>
  <c r="L74" i="96"/>
  <c r="M74" i="96"/>
  <c r="E78" i="96"/>
  <c r="F78" i="96"/>
  <c r="G78" i="96"/>
  <c r="H78" i="96"/>
  <c r="I78" i="96"/>
  <c r="J78" i="96"/>
  <c r="K78" i="96"/>
  <c r="L78" i="96"/>
  <c r="M78" i="96"/>
  <c r="E83" i="96"/>
  <c r="F83" i="96"/>
  <c r="G83" i="96"/>
  <c r="H83" i="96"/>
  <c r="I83" i="96"/>
  <c r="J83" i="96"/>
  <c r="K83" i="96"/>
  <c r="L83" i="96"/>
  <c r="M83" i="96"/>
  <c r="E88" i="96"/>
  <c r="F88" i="96"/>
  <c r="G88" i="96"/>
  <c r="H88" i="96"/>
  <c r="I88" i="96"/>
  <c r="J88" i="96"/>
  <c r="K88" i="96"/>
  <c r="L88" i="96"/>
  <c r="M88" i="96"/>
  <c r="E95" i="96"/>
  <c r="F95" i="96"/>
  <c r="G95" i="96"/>
  <c r="H95" i="96"/>
  <c r="I95" i="96"/>
  <c r="J95" i="96"/>
  <c r="K95" i="96"/>
  <c r="L95" i="96"/>
  <c r="M95" i="96"/>
  <c r="E99" i="96"/>
  <c r="F99" i="96"/>
  <c r="G99" i="96"/>
  <c r="H99" i="96"/>
  <c r="I99" i="96"/>
  <c r="J99" i="96"/>
  <c r="K99" i="96"/>
  <c r="L99" i="96"/>
  <c r="M99" i="96"/>
  <c r="E104" i="96"/>
  <c r="F104" i="96"/>
  <c r="G104" i="96"/>
  <c r="H104" i="96"/>
  <c r="I104" i="96"/>
  <c r="J104" i="96"/>
  <c r="K104" i="96"/>
  <c r="L104" i="96"/>
  <c r="M104" i="96"/>
  <c r="E112" i="96"/>
  <c r="F112" i="96"/>
  <c r="G112" i="96"/>
  <c r="H112" i="96"/>
  <c r="I112" i="96"/>
  <c r="J112" i="96"/>
  <c r="K112" i="96"/>
  <c r="L112" i="96"/>
  <c r="M112" i="96"/>
  <c r="E116" i="96"/>
  <c r="F116" i="96"/>
  <c r="G116" i="96"/>
  <c r="H116" i="96"/>
  <c r="I116" i="96"/>
  <c r="J116" i="96"/>
  <c r="K116" i="96"/>
  <c r="L116" i="96"/>
  <c r="M116" i="96"/>
  <c r="E121" i="96"/>
  <c r="F121" i="96"/>
  <c r="G121" i="96"/>
  <c r="H121" i="96"/>
  <c r="I121" i="96"/>
  <c r="J121" i="96"/>
  <c r="K121" i="96"/>
  <c r="L121" i="96"/>
  <c r="M121" i="96"/>
  <c r="E127" i="96"/>
  <c r="F127" i="96"/>
  <c r="G127" i="96"/>
  <c r="H127" i="96"/>
  <c r="I127" i="96"/>
  <c r="J127" i="96"/>
  <c r="K127" i="96"/>
  <c r="L127" i="96"/>
  <c r="M127" i="96"/>
  <c r="E131" i="96"/>
  <c r="F131" i="96"/>
  <c r="G131" i="96"/>
  <c r="H131" i="96"/>
  <c r="I131" i="96"/>
  <c r="J131" i="96"/>
  <c r="K131" i="96"/>
  <c r="L131" i="96"/>
  <c r="M131" i="96"/>
  <c r="E135" i="96"/>
  <c r="F135" i="96"/>
  <c r="G135" i="96"/>
  <c r="H135" i="96"/>
  <c r="I135" i="96"/>
  <c r="J135" i="96"/>
  <c r="K135" i="96"/>
  <c r="L135" i="96"/>
  <c r="M135" i="96"/>
  <c r="E141" i="96"/>
  <c r="F141" i="96"/>
  <c r="G141" i="96"/>
  <c r="H141" i="96"/>
  <c r="I141" i="96"/>
  <c r="J141" i="96"/>
  <c r="K141" i="96"/>
  <c r="L141" i="96"/>
  <c r="M141" i="96"/>
  <c r="E149" i="96"/>
  <c r="F149" i="96"/>
  <c r="G149" i="96"/>
  <c r="H149" i="96"/>
  <c r="I149" i="96"/>
  <c r="J149" i="96"/>
  <c r="K149" i="96"/>
  <c r="L149" i="96"/>
  <c r="M149" i="96"/>
  <c r="E158" i="96"/>
  <c r="F158" i="96"/>
  <c r="G158" i="96"/>
  <c r="H158" i="96"/>
  <c r="I158" i="96"/>
  <c r="J158" i="96"/>
  <c r="K158" i="96"/>
  <c r="L158" i="96"/>
  <c r="M158" i="96"/>
  <c r="E162" i="96"/>
  <c r="F162" i="96"/>
  <c r="G162" i="96"/>
  <c r="H162" i="96"/>
  <c r="J162" i="96"/>
  <c r="K162" i="96"/>
  <c r="L162" i="96"/>
  <c r="M162" i="96"/>
  <c r="E177" i="96"/>
  <c r="F177" i="96"/>
  <c r="G177" i="96"/>
  <c r="H177" i="96"/>
  <c r="I177" i="96"/>
  <c r="J177" i="96"/>
  <c r="K177" i="96"/>
  <c r="L177" i="96"/>
  <c r="M177" i="96"/>
  <c r="F16" i="95"/>
  <c r="G16" i="95"/>
  <c r="H16" i="95"/>
  <c r="I16" i="95"/>
  <c r="J16" i="95"/>
  <c r="K16" i="95"/>
  <c r="L16" i="95"/>
  <c r="M16" i="95"/>
  <c r="N16" i="95"/>
  <c r="F28" i="94"/>
  <c r="E17" i="93"/>
  <c r="E22" i="93" s="1"/>
  <c r="F17" i="93"/>
  <c r="F22" i="93" s="1"/>
  <c r="G17" i="93"/>
  <c r="H17" i="93"/>
  <c r="I17" i="93"/>
  <c r="J17" i="93"/>
  <c r="K17" i="93"/>
  <c r="L17" i="93"/>
  <c r="L22" i="93" s="1"/>
  <c r="M17" i="93"/>
  <c r="E21" i="93"/>
  <c r="F21" i="93"/>
  <c r="G21" i="93"/>
  <c r="G22" i="93" s="1"/>
  <c r="H21" i="93"/>
  <c r="I21" i="93"/>
  <c r="J21" i="93"/>
  <c r="J22" i="93" s="1"/>
  <c r="K21" i="93"/>
  <c r="K22" i="93"/>
  <c r="L21" i="93"/>
  <c r="M21" i="93"/>
  <c r="M22" i="93" s="1"/>
  <c r="H22" i="93"/>
  <c r="I22" i="93"/>
  <c r="G17" i="92"/>
  <c r="H17" i="92"/>
  <c r="H76" i="92" s="1"/>
  <c r="I17" i="92"/>
  <c r="I76" i="92"/>
  <c r="J17" i="92"/>
  <c r="J76" i="92" s="1"/>
  <c r="K17" i="92"/>
  <c r="L17" i="92"/>
  <c r="L76" i="92" s="1"/>
  <c r="M17" i="92"/>
  <c r="N17" i="92"/>
  <c r="O17" i="92"/>
  <c r="G21" i="92"/>
  <c r="H21" i="92"/>
  <c r="I21" i="92"/>
  <c r="J21" i="92"/>
  <c r="K21" i="92"/>
  <c r="K76" i="92"/>
  <c r="L21" i="92"/>
  <c r="M21" i="92"/>
  <c r="N21" i="92"/>
  <c r="O21" i="92"/>
  <c r="G26" i="92"/>
  <c r="G76" i="92" s="1"/>
  <c r="H26" i="92"/>
  <c r="I26" i="92"/>
  <c r="J26" i="92"/>
  <c r="K26" i="92"/>
  <c r="L26" i="92"/>
  <c r="M26" i="92"/>
  <c r="N26" i="92"/>
  <c r="O26" i="92"/>
  <c r="G30" i="92"/>
  <c r="H30" i="92"/>
  <c r="I30" i="92"/>
  <c r="J30" i="92"/>
  <c r="K30" i="92"/>
  <c r="L30" i="92"/>
  <c r="M30" i="92"/>
  <c r="N30" i="92"/>
  <c r="O30" i="92"/>
  <c r="G35" i="92"/>
  <c r="H35" i="92"/>
  <c r="I35" i="92"/>
  <c r="J35" i="92"/>
  <c r="K35" i="92"/>
  <c r="L35" i="92"/>
  <c r="M35" i="92"/>
  <c r="N35" i="92"/>
  <c r="O35" i="92"/>
  <c r="G43" i="92"/>
  <c r="H43" i="92"/>
  <c r="I43" i="92"/>
  <c r="J43" i="92"/>
  <c r="K43" i="92"/>
  <c r="L43" i="92"/>
  <c r="M43" i="92"/>
  <c r="N43" i="92"/>
  <c r="O43" i="92"/>
  <c r="G48" i="92"/>
  <c r="H48" i="92"/>
  <c r="I48" i="92"/>
  <c r="J48" i="92"/>
  <c r="K48" i="92"/>
  <c r="L48" i="92"/>
  <c r="M48" i="92"/>
  <c r="N48" i="92"/>
  <c r="O48" i="92"/>
  <c r="G54" i="92"/>
  <c r="H54" i="92"/>
  <c r="I54" i="92"/>
  <c r="J54" i="92"/>
  <c r="K54" i="92"/>
  <c r="L54" i="92"/>
  <c r="M54" i="92"/>
  <c r="N54" i="92"/>
  <c r="O54" i="92"/>
  <c r="G58" i="92"/>
  <c r="H58" i="92"/>
  <c r="I58" i="92"/>
  <c r="J58" i="92"/>
  <c r="K58" i="92"/>
  <c r="L58" i="92"/>
  <c r="M58" i="92"/>
  <c r="N58" i="92"/>
  <c r="O58" i="92"/>
  <c r="G62" i="92"/>
  <c r="H62" i="92"/>
  <c r="I62" i="92"/>
  <c r="J62" i="92"/>
  <c r="K62" i="92"/>
  <c r="L62" i="92"/>
  <c r="M62" i="92"/>
  <c r="N62" i="92"/>
  <c r="O62" i="92"/>
  <c r="G66" i="92"/>
  <c r="H66" i="92"/>
  <c r="I66" i="92"/>
  <c r="J66" i="92"/>
  <c r="K66" i="92"/>
  <c r="L66" i="92"/>
  <c r="M66" i="92"/>
  <c r="N66" i="92"/>
  <c r="O66" i="92"/>
  <c r="G75" i="92"/>
  <c r="H75" i="92"/>
  <c r="I75" i="92"/>
  <c r="J75" i="92"/>
  <c r="K75" i="92"/>
  <c r="L75" i="92"/>
  <c r="M75" i="92"/>
  <c r="N75" i="92"/>
  <c r="O75" i="92"/>
  <c r="C76" i="92"/>
  <c r="E24" i="90"/>
  <c r="F24" i="90"/>
  <c r="G24" i="90"/>
  <c r="H24" i="90"/>
  <c r="K24" i="90"/>
  <c r="E29" i="90"/>
  <c r="F29" i="90"/>
  <c r="G29" i="90"/>
  <c r="H29" i="90"/>
  <c r="I29" i="90"/>
  <c r="J29" i="90"/>
  <c r="K29" i="90"/>
  <c r="L29" i="90"/>
  <c r="M29" i="90"/>
  <c r="E34" i="90"/>
  <c r="F34" i="90"/>
  <c r="G34" i="90"/>
  <c r="H34" i="90"/>
  <c r="I34" i="90"/>
  <c r="J34" i="90"/>
  <c r="K34" i="90"/>
  <c r="L34" i="90"/>
  <c r="M34" i="90"/>
  <c r="E38" i="90"/>
  <c r="F38" i="90"/>
  <c r="G38" i="90"/>
  <c r="G182" i="90" s="1"/>
  <c r="H38" i="90"/>
  <c r="I38" i="90"/>
  <c r="J38" i="90"/>
  <c r="K38" i="90"/>
  <c r="L38" i="90"/>
  <c r="M38" i="90"/>
  <c r="E44" i="90"/>
  <c r="F44" i="90"/>
  <c r="G44" i="90"/>
  <c r="H44" i="90"/>
  <c r="J44" i="90"/>
  <c r="K44" i="90"/>
  <c r="L44" i="90"/>
  <c r="M44" i="90"/>
  <c r="E50" i="90"/>
  <c r="F50" i="90"/>
  <c r="G50" i="90"/>
  <c r="H50" i="90"/>
  <c r="J50" i="90"/>
  <c r="K50" i="90"/>
  <c r="L50" i="90"/>
  <c r="M50" i="90"/>
  <c r="E59" i="90"/>
  <c r="F59" i="90"/>
  <c r="G59" i="90"/>
  <c r="H59" i="90"/>
  <c r="I59" i="90"/>
  <c r="J59" i="90"/>
  <c r="K59" i="90"/>
  <c r="L59" i="90"/>
  <c r="M59" i="90"/>
  <c r="E69" i="90"/>
  <c r="G69" i="90"/>
  <c r="H69" i="90"/>
  <c r="I69" i="90"/>
  <c r="J69" i="90"/>
  <c r="K69" i="90"/>
  <c r="L69" i="90"/>
  <c r="M69" i="90"/>
  <c r="E74" i="90"/>
  <c r="F74" i="90"/>
  <c r="G74" i="90"/>
  <c r="H74" i="90"/>
  <c r="I74" i="90"/>
  <c r="J74" i="90"/>
  <c r="K74" i="90"/>
  <c r="L74" i="90"/>
  <c r="M74" i="90"/>
  <c r="E78" i="90"/>
  <c r="F78" i="90"/>
  <c r="G78" i="90"/>
  <c r="H78" i="90"/>
  <c r="I78" i="90"/>
  <c r="J78" i="90"/>
  <c r="K78" i="90"/>
  <c r="L78" i="90"/>
  <c r="M78" i="90"/>
  <c r="E83" i="90"/>
  <c r="F83" i="90"/>
  <c r="G83" i="90"/>
  <c r="H83" i="90"/>
  <c r="I83" i="90"/>
  <c r="J83" i="90"/>
  <c r="K83" i="90"/>
  <c r="L83" i="90"/>
  <c r="M83" i="90"/>
  <c r="E88" i="90"/>
  <c r="F88" i="90"/>
  <c r="G88" i="90"/>
  <c r="H88" i="90"/>
  <c r="I88" i="90"/>
  <c r="J88" i="90"/>
  <c r="K88" i="90"/>
  <c r="L88" i="90"/>
  <c r="M88" i="90"/>
  <c r="E95" i="90"/>
  <c r="F95" i="90"/>
  <c r="G95" i="90"/>
  <c r="H95" i="90"/>
  <c r="I95" i="90"/>
  <c r="J95" i="90"/>
  <c r="K95" i="90"/>
  <c r="L95" i="90"/>
  <c r="M95" i="90"/>
  <c r="E99" i="90"/>
  <c r="F99" i="90"/>
  <c r="G99" i="90"/>
  <c r="H99" i="90"/>
  <c r="I99" i="90"/>
  <c r="J99" i="90"/>
  <c r="K99" i="90"/>
  <c r="L99" i="90"/>
  <c r="M99" i="90"/>
  <c r="E104" i="90"/>
  <c r="F104" i="90"/>
  <c r="G104" i="90"/>
  <c r="H104" i="90"/>
  <c r="I104" i="90"/>
  <c r="J104" i="90"/>
  <c r="K104" i="90"/>
  <c r="L104" i="90"/>
  <c r="M104" i="90"/>
  <c r="E111" i="90"/>
  <c r="F111" i="90"/>
  <c r="G111" i="90"/>
  <c r="H111" i="90"/>
  <c r="I111" i="90"/>
  <c r="J111" i="90"/>
  <c r="K111" i="90"/>
  <c r="L111" i="90"/>
  <c r="M111" i="90"/>
  <c r="E115" i="90"/>
  <c r="F115" i="90"/>
  <c r="G115" i="90"/>
  <c r="H115" i="90"/>
  <c r="I115" i="90"/>
  <c r="J115" i="90"/>
  <c r="K115" i="90"/>
  <c r="L115" i="90"/>
  <c r="M115" i="90"/>
  <c r="E120" i="90"/>
  <c r="F120" i="90"/>
  <c r="G120" i="90"/>
  <c r="H120" i="90"/>
  <c r="I120" i="90"/>
  <c r="J120" i="90"/>
  <c r="K120" i="90"/>
  <c r="L120" i="90"/>
  <c r="M120" i="90"/>
  <c r="E126" i="90"/>
  <c r="F126" i="90"/>
  <c r="G126" i="90"/>
  <c r="H126" i="90"/>
  <c r="I126" i="90"/>
  <c r="J126" i="90"/>
  <c r="K126" i="90"/>
  <c r="L126" i="90"/>
  <c r="M126" i="90"/>
  <c r="E130" i="90"/>
  <c r="F130" i="90"/>
  <c r="G130" i="90"/>
  <c r="H130" i="90"/>
  <c r="I130" i="90"/>
  <c r="J130" i="90"/>
  <c r="K130" i="90"/>
  <c r="L130" i="90"/>
  <c r="M130" i="90"/>
  <c r="E134" i="90"/>
  <c r="F134" i="90"/>
  <c r="G134" i="90"/>
  <c r="H134" i="90"/>
  <c r="I134" i="90"/>
  <c r="J134" i="90"/>
  <c r="K134" i="90"/>
  <c r="L134" i="90"/>
  <c r="M134" i="90"/>
  <c r="E140" i="90"/>
  <c r="F140" i="90"/>
  <c r="G140" i="90"/>
  <c r="H140" i="90"/>
  <c r="I140" i="90"/>
  <c r="J140" i="90"/>
  <c r="K140" i="90"/>
  <c r="L140" i="90"/>
  <c r="M140" i="90"/>
  <c r="E148" i="90"/>
  <c r="F148" i="90"/>
  <c r="G148" i="90"/>
  <c r="H148" i="90"/>
  <c r="I148" i="90"/>
  <c r="J148" i="90"/>
  <c r="K148" i="90"/>
  <c r="L148" i="90"/>
  <c r="M148" i="90"/>
  <c r="E152" i="90"/>
  <c r="F152" i="90"/>
  <c r="G152" i="90"/>
  <c r="H152" i="90"/>
  <c r="J152" i="90"/>
  <c r="K152" i="90"/>
  <c r="L152" i="90"/>
  <c r="M152" i="90"/>
  <c r="E161" i="90"/>
  <c r="F161" i="90"/>
  <c r="G161" i="90"/>
  <c r="H161" i="90"/>
  <c r="I161" i="90"/>
  <c r="J161" i="90"/>
  <c r="K161" i="90"/>
  <c r="L161" i="90"/>
  <c r="M161" i="90"/>
  <c r="E165" i="90"/>
  <c r="E182" i="90"/>
  <c r="F165" i="90"/>
  <c r="G165" i="90"/>
  <c r="H165" i="90"/>
  <c r="J165" i="90"/>
  <c r="K165" i="90"/>
  <c r="L165" i="90"/>
  <c r="M165" i="90"/>
  <c r="E180" i="90"/>
  <c r="F180" i="90"/>
  <c r="G180" i="90"/>
  <c r="H180" i="90"/>
  <c r="I180" i="90"/>
  <c r="J180" i="90"/>
  <c r="K180" i="90"/>
  <c r="L180" i="90"/>
  <c r="M180" i="90"/>
  <c r="F182" i="90"/>
  <c r="F28" i="89"/>
  <c r="E17" i="88"/>
  <c r="F17" i="88"/>
  <c r="G17" i="88"/>
  <c r="G22" i="88" s="1"/>
  <c r="H17" i="88"/>
  <c r="H22" i="88"/>
  <c r="I17" i="88"/>
  <c r="J17" i="88"/>
  <c r="K17" i="88"/>
  <c r="K22" i="88" s="1"/>
  <c r="L17" i="88"/>
  <c r="M17" i="88"/>
  <c r="M22" i="88" s="1"/>
  <c r="E21" i="88"/>
  <c r="E22" i="88" s="1"/>
  <c r="F21" i="88"/>
  <c r="G21" i="88"/>
  <c r="H21" i="88"/>
  <c r="I21" i="88"/>
  <c r="I22" i="88"/>
  <c r="J21" i="88"/>
  <c r="J22" i="88"/>
  <c r="K21" i="88"/>
  <c r="L21" i="88"/>
  <c r="L22" i="88" s="1"/>
  <c r="M21" i="88"/>
  <c r="F22" i="88"/>
  <c r="G17" i="87"/>
  <c r="H17" i="87"/>
  <c r="H76" i="87" s="1"/>
  <c r="I17" i="87"/>
  <c r="J17" i="87"/>
  <c r="J76" i="87" s="1"/>
  <c r="K17" i="87"/>
  <c r="L17" i="87"/>
  <c r="L76" i="87" s="1"/>
  <c r="M17" i="87"/>
  <c r="M76" i="87" s="1"/>
  <c r="N17" i="87"/>
  <c r="O17" i="87"/>
  <c r="G21" i="87"/>
  <c r="H21" i="87"/>
  <c r="I21" i="87"/>
  <c r="J21" i="87"/>
  <c r="K21" i="87"/>
  <c r="L21" i="87"/>
  <c r="M21" i="87"/>
  <c r="N21" i="87"/>
  <c r="O21" i="87"/>
  <c r="O76" i="87" s="1"/>
  <c r="G26" i="87"/>
  <c r="H26" i="87"/>
  <c r="I26" i="87"/>
  <c r="I76" i="87" s="1"/>
  <c r="J26" i="87"/>
  <c r="K26" i="87"/>
  <c r="L26" i="87"/>
  <c r="M26" i="87"/>
  <c r="N26" i="87"/>
  <c r="N76" i="87" s="1"/>
  <c r="O26" i="87"/>
  <c r="G30" i="87"/>
  <c r="H30" i="87"/>
  <c r="I30" i="87"/>
  <c r="J30" i="87"/>
  <c r="K30" i="87"/>
  <c r="L30" i="87"/>
  <c r="M30" i="87"/>
  <c r="N30" i="87"/>
  <c r="O30" i="87"/>
  <c r="G35" i="87"/>
  <c r="G76" i="87" s="1"/>
  <c r="H35" i="87"/>
  <c r="I35" i="87"/>
  <c r="J35" i="87"/>
  <c r="K35" i="87"/>
  <c r="L35" i="87"/>
  <c r="M35" i="87"/>
  <c r="N35" i="87"/>
  <c r="O35" i="87"/>
  <c r="G43" i="87"/>
  <c r="H43" i="87"/>
  <c r="I43" i="87"/>
  <c r="J43" i="87"/>
  <c r="K43" i="87"/>
  <c r="L43" i="87"/>
  <c r="M43" i="87"/>
  <c r="N43" i="87"/>
  <c r="O43" i="87"/>
  <c r="G48" i="87"/>
  <c r="H48" i="87"/>
  <c r="I48" i="87"/>
  <c r="J48" i="87"/>
  <c r="K48" i="87"/>
  <c r="L48" i="87"/>
  <c r="M48" i="87"/>
  <c r="N48" i="87"/>
  <c r="O48" i="87"/>
  <c r="G54" i="87"/>
  <c r="H54" i="87"/>
  <c r="I54" i="87"/>
  <c r="J54" i="87"/>
  <c r="K54" i="87"/>
  <c r="L54" i="87"/>
  <c r="M54" i="87"/>
  <c r="N54" i="87"/>
  <c r="O54" i="87"/>
  <c r="G58" i="87"/>
  <c r="H58" i="87"/>
  <c r="I58" i="87"/>
  <c r="J58" i="87"/>
  <c r="K58" i="87"/>
  <c r="L58" i="87"/>
  <c r="M58" i="87"/>
  <c r="N58" i="87"/>
  <c r="O58" i="87"/>
  <c r="G62" i="87"/>
  <c r="H62" i="87"/>
  <c r="I62" i="87"/>
  <c r="J62" i="87"/>
  <c r="K62" i="87"/>
  <c r="L62" i="87"/>
  <c r="M62" i="87"/>
  <c r="N62" i="87"/>
  <c r="O62" i="87"/>
  <c r="G66" i="87"/>
  <c r="H66" i="87"/>
  <c r="I66" i="87"/>
  <c r="J66" i="87"/>
  <c r="K66" i="87"/>
  <c r="L66" i="87"/>
  <c r="M66" i="87"/>
  <c r="N66" i="87"/>
  <c r="O66" i="87"/>
  <c r="G75" i="87"/>
  <c r="H75" i="87"/>
  <c r="I75" i="87"/>
  <c r="J75" i="87"/>
  <c r="K75" i="87"/>
  <c r="L75" i="87"/>
  <c r="M75" i="87"/>
  <c r="N75" i="87"/>
  <c r="O75" i="87"/>
  <c r="C76" i="87"/>
  <c r="K76" i="87"/>
  <c r="E23" i="86"/>
  <c r="F23" i="86"/>
  <c r="G23" i="86"/>
  <c r="G178" i="86" s="1"/>
  <c r="H23" i="86"/>
  <c r="I23" i="86"/>
  <c r="I178" i="86" s="1"/>
  <c r="J23" i="86"/>
  <c r="K23" i="86"/>
  <c r="L23" i="86"/>
  <c r="L178" i="86" s="1"/>
  <c r="M23" i="86"/>
  <c r="M178" i="86" s="1"/>
  <c r="E27" i="86"/>
  <c r="E178" i="86" s="1"/>
  <c r="F27" i="86"/>
  <c r="F178" i="86" s="1"/>
  <c r="G27" i="86"/>
  <c r="H27" i="86"/>
  <c r="I27" i="86"/>
  <c r="J27" i="86"/>
  <c r="K27" i="86"/>
  <c r="L27" i="86"/>
  <c r="M27" i="86"/>
  <c r="E32" i="86"/>
  <c r="F32" i="86"/>
  <c r="G32" i="86"/>
  <c r="H32" i="86"/>
  <c r="I32" i="86"/>
  <c r="J32" i="86"/>
  <c r="K32" i="86"/>
  <c r="L32" i="86"/>
  <c r="M32" i="86"/>
  <c r="E36" i="86"/>
  <c r="F36" i="86"/>
  <c r="G36" i="86"/>
  <c r="H36" i="86"/>
  <c r="I36" i="86"/>
  <c r="J36" i="86"/>
  <c r="J178" i="86" s="1"/>
  <c r="K36" i="86"/>
  <c r="L36" i="86"/>
  <c r="M36" i="86"/>
  <c r="E42" i="86"/>
  <c r="F42" i="86"/>
  <c r="G42" i="86"/>
  <c r="H42" i="86"/>
  <c r="J42" i="86"/>
  <c r="K42" i="86"/>
  <c r="L42" i="86"/>
  <c r="M42" i="86"/>
  <c r="E48" i="86"/>
  <c r="F48" i="86"/>
  <c r="G48" i="86"/>
  <c r="H48" i="86"/>
  <c r="J48" i="86"/>
  <c r="K48" i="86"/>
  <c r="L48" i="86"/>
  <c r="M48" i="86"/>
  <c r="E57" i="86"/>
  <c r="F57" i="86"/>
  <c r="IV57" i="86" s="1"/>
  <c r="G57" i="86"/>
  <c r="H57" i="86"/>
  <c r="H178" i="86" s="1"/>
  <c r="I57" i="86"/>
  <c r="J57" i="86"/>
  <c r="K57" i="86"/>
  <c r="L57" i="86"/>
  <c r="M57" i="86"/>
  <c r="E66" i="86"/>
  <c r="F66" i="86"/>
  <c r="G66" i="86"/>
  <c r="H66" i="86"/>
  <c r="J66" i="86"/>
  <c r="K66" i="86"/>
  <c r="L66" i="86"/>
  <c r="M66" i="86"/>
  <c r="E71" i="86"/>
  <c r="F71" i="86"/>
  <c r="G71" i="86"/>
  <c r="H71" i="86"/>
  <c r="I71" i="86"/>
  <c r="J71" i="86"/>
  <c r="K71" i="86"/>
  <c r="L71" i="86"/>
  <c r="M71" i="86"/>
  <c r="E75" i="86"/>
  <c r="F75" i="86"/>
  <c r="G75" i="86"/>
  <c r="H75" i="86"/>
  <c r="I75" i="86"/>
  <c r="J75" i="86"/>
  <c r="K75" i="86"/>
  <c r="L75" i="86"/>
  <c r="M75" i="86"/>
  <c r="E80" i="86"/>
  <c r="F80" i="86"/>
  <c r="G80" i="86"/>
  <c r="H80" i="86"/>
  <c r="I80" i="86"/>
  <c r="J80" i="86"/>
  <c r="K80" i="86"/>
  <c r="L80" i="86"/>
  <c r="M80" i="86"/>
  <c r="E85" i="86"/>
  <c r="F85" i="86"/>
  <c r="G85" i="86"/>
  <c r="H85" i="86"/>
  <c r="I85" i="86"/>
  <c r="J85" i="86"/>
  <c r="K85" i="86"/>
  <c r="L85" i="86"/>
  <c r="M85" i="86"/>
  <c r="E92" i="86"/>
  <c r="F92" i="86"/>
  <c r="G92" i="86"/>
  <c r="H92" i="86"/>
  <c r="I92" i="86"/>
  <c r="J92" i="86"/>
  <c r="K92" i="86"/>
  <c r="L92" i="86"/>
  <c r="M92" i="86"/>
  <c r="E96" i="86"/>
  <c r="F96" i="86"/>
  <c r="G96" i="86"/>
  <c r="H96" i="86"/>
  <c r="I96" i="86"/>
  <c r="J96" i="86"/>
  <c r="K96" i="86"/>
  <c r="L96" i="86"/>
  <c r="M96" i="86"/>
  <c r="E101" i="86"/>
  <c r="F101" i="86"/>
  <c r="G101" i="86"/>
  <c r="H101" i="86"/>
  <c r="I101" i="86"/>
  <c r="J101" i="86"/>
  <c r="K101" i="86"/>
  <c r="L101" i="86"/>
  <c r="M101" i="86"/>
  <c r="E108" i="86"/>
  <c r="F108" i="86"/>
  <c r="G108" i="86"/>
  <c r="H108" i="86"/>
  <c r="I108" i="86"/>
  <c r="J108" i="86"/>
  <c r="K108" i="86"/>
  <c r="L108" i="86"/>
  <c r="M108" i="86"/>
  <c r="E112" i="86"/>
  <c r="F112" i="86"/>
  <c r="G112" i="86"/>
  <c r="H112" i="86"/>
  <c r="I112" i="86"/>
  <c r="J112" i="86"/>
  <c r="K112" i="86"/>
  <c r="L112" i="86"/>
  <c r="M112" i="86"/>
  <c r="E117" i="86"/>
  <c r="F117" i="86"/>
  <c r="G117" i="86"/>
  <c r="H117" i="86"/>
  <c r="I117" i="86"/>
  <c r="J117" i="86"/>
  <c r="K117" i="86"/>
  <c r="L117" i="86"/>
  <c r="M117" i="86"/>
  <c r="E123" i="86"/>
  <c r="F123" i="86"/>
  <c r="G123" i="86"/>
  <c r="H123" i="86"/>
  <c r="I123" i="86"/>
  <c r="J123" i="86"/>
  <c r="K123" i="86"/>
  <c r="L123" i="86"/>
  <c r="M123" i="86"/>
  <c r="E127" i="86"/>
  <c r="F127" i="86"/>
  <c r="G127" i="86"/>
  <c r="H127" i="86"/>
  <c r="I127" i="86"/>
  <c r="J127" i="86"/>
  <c r="K127" i="86"/>
  <c r="L127" i="86"/>
  <c r="M127" i="86"/>
  <c r="E131" i="86"/>
  <c r="F131" i="86"/>
  <c r="G131" i="86"/>
  <c r="H131" i="86"/>
  <c r="I131" i="86"/>
  <c r="J131" i="86"/>
  <c r="K131" i="86"/>
  <c r="L131" i="86"/>
  <c r="M131" i="86"/>
  <c r="E136" i="86"/>
  <c r="F136" i="86"/>
  <c r="G136" i="86"/>
  <c r="H136" i="86"/>
  <c r="I136" i="86"/>
  <c r="J136" i="86"/>
  <c r="K136" i="86"/>
  <c r="L136" i="86"/>
  <c r="M136" i="86"/>
  <c r="E144" i="86"/>
  <c r="F144" i="86"/>
  <c r="G144" i="86"/>
  <c r="H144" i="86"/>
  <c r="I144" i="86"/>
  <c r="J144" i="86"/>
  <c r="K144" i="86"/>
  <c r="L144" i="86"/>
  <c r="M144" i="86"/>
  <c r="E148" i="86"/>
  <c r="F148" i="86"/>
  <c r="G148" i="86"/>
  <c r="H148" i="86"/>
  <c r="J148" i="86"/>
  <c r="K148" i="86"/>
  <c r="L148" i="86"/>
  <c r="M148" i="86"/>
  <c r="E157" i="86"/>
  <c r="F157" i="86"/>
  <c r="G157" i="86"/>
  <c r="H157" i="86"/>
  <c r="I157" i="86"/>
  <c r="J157" i="86"/>
  <c r="K157" i="86"/>
  <c r="L157" i="86"/>
  <c r="M157" i="86"/>
  <c r="E161" i="86"/>
  <c r="F161" i="86"/>
  <c r="G161" i="86"/>
  <c r="H161" i="86"/>
  <c r="J161" i="86"/>
  <c r="K161" i="86"/>
  <c r="L161" i="86"/>
  <c r="M161" i="86"/>
  <c r="E176" i="86"/>
  <c r="F176" i="86"/>
  <c r="G176" i="86"/>
  <c r="H176" i="86"/>
  <c r="I176" i="86"/>
  <c r="J176" i="86"/>
  <c r="K176" i="86"/>
  <c r="K178" i="86" s="1"/>
  <c r="L176" i="86"/>
  <c r="M176" i="86"/>
  <c r="J39" i="83"/>
  <c r="J34" i="81"/>
  <c r="J34" i="76"/>
  <c r="J36" i="73"/>
  <c r="J36" i="70"/>
  <c r="J27" i="66"/>
  <c r="J29" i="65"/>
  <c r="I19" i="62"/>
  <c r="J19" i="62"/>
  <c r="O19" i="62"/>
  <c r="Q19" i="62"/>
  <c r="I33" i="60"/>
  <c r="J33" i="60"/>
  <c r="K33" i="60"/>
  <c r="N33" i="60"/>
  <c r="O33" i="60"/>
  <c r="Q33" i="60"/>
  <c r="I27" i="56"/>
  <c r="J27" i="56"/>
  <c r="K27" i="56"/>
  <c r="N27" i="56"/>
  <c r="O27" i="56"/>
  <c r="Q27" i="56"/>
  <c r="I19" i="55"/>
  <c r="J19" i="55"/>
  <c r="O19" i="55"/>
  <c r="Q19" i="55"/>
  <c r="I36" i="54"/>
  <c r="J36" i="54"/>
  <c r="N36" i="54"/>
  <c r="O36" i="54"/>
  <c r="Q36" i="54"/>
  <c r="I19" i="52"/>
  <c r="J19" i="52"/>
  <c r="O19" i="52"/>
  <c r="Q19" i="52"/>
  <c r="I21" i="49"/>
  <c r="J21" i="49"/>
  <c r="O21" i="49"/>
  <c r="Q21" i="49"/>
  <c r="I40" i="47"/>
  <c r="J40" i="47"/>
  <c r="N40" i="47"/>
  <c r="O40" i="47"/>
  <c r="Q40" i="47"/>
  <c r="I23" i="46"/>
  <c r="J23" i="46"/>
  <c r="K23" i="46"/>
  <c r="L23" i="46"/>
  <c r="M23" i="46"/>
  <c r="N23" i="46"/>
  <c r="O23" i="46"/>
  <c r="P23" i="46"/>
  <c r="Q23" i="46"/>
  <c r="I40" i="45"/>
  <c r="J40" i="45"/>
  <c r="N40" i="45"/>
  <c r="O40" i="45"/>
  <c r="Q40" i="45"/>
  <c r="I21" i="42"/>
  <c r="J21" i="42"/>
  <c r="O21" i="42"/>
  <c r="Q21" i="42"/>
  <c r="I23" i="41"/>
  <c r="J23" i="41"/>
  <c r="K23" i="41"/>
  <c r="L23" i="41"/>
  <c r="M23" i="41"/>
  <c r="N23" i="41"/>
  <c r="O23" i="41"/>
  <c r="P23" i="41"/>
  <c r="Q23" i="41"/>
  <c r="I21" i="40"/>
  <c r="J21" i="40"/>
  <c r="O21" i="40"/>
  <c r="Q21" i="40"/>
  <c r="I22" i="39"/>
  <c r="J22" i="39"/>
  <c r="O22" i="39"/>
  <c r="Q22" i="39"/>
  <c r="I23" i="38"/>
  <c r="J23" i="38"/>
  <c r="K23" i="38"/>
  <c r="L23" i="38"/>
  <c r="M23" i="38"/>
  <c r="N23" i="38"/>
  <c r="O23" i="38"/>
  <c r="P23" i="38"/>
  <c r="Q23" i="38"/>
  <c r="I39" i="37"/>
  <c r="J39" i="37"/>
  <c r="L39" i="37"/>
  <c r="N39" i="37"/>
  <c r="O39" i="37"/>
  <c r="Q39" i="37"/>
  <c r="I39" i="32"/>
  <c r="J39" i="32"/>
  <c r="L39" i="32"/>
  <c r="N39" i="32"/>
  <c r="O39" i="32"/>
  <c r="Q39" i="32"/>
  <c r="I24" i="31"/>
  <c r="J24" i="31"/>
  <c r="K24" i="31"/>
  <c r="L24" i="31"/>
  <c r="M24" i="31"/>
  <c r="N24" i="31"/>
  <c r="O24" i="31"/>
  <c r="P24" i="31"/>
  <c r="Q24" i="31"/>
  <c r="I24" i="30"/>
  <c r="J24" i="30"/>
  <c r="K24" i="30"/>
  <c r="L24" i="30"/>
  <c r="M24" i="30"/>
  <c r="N24" i="30"/>
  <c r="O24" i="30"/>
  <c r="P24" i="30"/>
  <c r="Q24" i="30"/>
  <c r="I42" i="28"/>
  <c r="J42" i="28"/>
  <c r="L42" i="28"/>
  <c r="N42" i="28"/>
  <c r="O42" i="28"/>
  <c r="Q42" i="28"/>
  <c r="I22" i="27"/>
  <c r="J22" i="27"/>
  <c r="L22" i="27"/>
  <c r="O22" i="27"/>
  <c r="Q22" i="27"/>
  <c r="I20" i="25"/>
  <c r="J20" i="25"/>
  <c r="L20" i="25"/>
  <c r="O20" i="25"/>
  <c r="Q20" i="25"/>
  <c r="I42" i="24"/>
  <c r="J42" i="24"/>
  <c r="L42" i="24"/>
  <c r="N42" i="24"/>
  <c r="O42" i="24"/>
  <c r="Q42" i="24"/>
  <c r="I24" i="22"/>
  <c r="J24" i="22"/>
  <c r="K24" i="22"/>
  <c r="L24" i="22"/>
  <c r="M24" i="22"/>
  <c r="N24" i="22"/>
  <c r="O24" i="22"/>
  <c r="P24" i="22"/>
  <c r="Q24" i="22"/>
  <c r="I44" i="20"/>
  <c r="J44" i="20"/>
  <c r="L44" i="20"/>
  <c r="N44" i="20"/>
  <c r="O44" i="20"/>
  <c r="Q44" i="20"/>
  <c r="I49" i="17"/>
  <c r="J49" i="17"/>
  <c r="K49" i="17"/>
  <c r="L49" i="17"/>
  <c r="M49" i="17"/>
  <c r="N49" i="17"/>
  <c r="O49" i="17"/>
  <c r="Q49" i="17"/>
  <c r="I34" i="14"/>
  <c r="J34" i="14"/>
  <c r="K34" i="14"/>
  <c r="L34" i="14"/>
  <c r="M34" i="14"/>
  <c r="N34" i="14"/>
  <c r="O34" i="14"/>
  <c r="P34" i="14"/>
  <c r="Q34" i="14"/>
  <c r="I81" i="13"/>
  <c r="K81" i="13"/>
  <c r="L81" i="13"/>
  <c r="M81" i="13"/>
  <c r="O81" i="13"/>
  <c r="H29" i="12"/>
  <c r="I29" i="12"/>
  <c r="J29" i="12"/>
  <c r="K29" i="12"/>
  <c r="L29" i="12"/>
  <c r="M29" i="12"/>
  <c r="N29" i="12"/>
  <c r="O29" i="12"/>
  <c r="P29" i="12"/>
  <c r="H81" i="10"/>
  <c r="H29" i="8"/>
  <c r="I29" i="8"/>
  <c r="J29" i="8"/>
  <c r="K29" i="8"/>
  <c r="L29" i="8"/>
  <c r="M29" i="8"/>
  <c r="N29" i="8"/>
  <c r="O29" i="8"/>
  <c r="P29" i="8"/>
  <c r="H81" i="7"/>
  <c r="H32" i="5"/>
  <c r="I32" i="5"/>
  <c r="J32" i="5"/>
  <c r="K32" i="5"/>
  <c r="L32" i="5"/>
  <c r="M32" i="5"/>
  <c r="N32" i="5"/>
  <c r="O32" i="5"/>
  <c r="P32" i="5"/>
  <c r="H29" i="2"/>
  <c r="I29" i="2"/>
  <c r="J29" i="2"/>
  <c r="K29" i="2"/>
  <c r="L29" i="2"/>
  <c r="M29" i="2"/>
  <c r="N29" i="2"/>
  <c r="O29" i="2"/>
  <c r="P29" i="2"/>
  <c r="K16" i="243"/>
  <c r="N63" i="245"/>
  <c r="O62" i="245"/>
  <c r="O63" i="245" s="1"/>
  <c r="O85" i="245"/>
  <c r="O71" i="245"/>
  <c r="O54" i="245"/>
  <c r="N15" i="245"/>
  <c r="M48" i="241"/>
  <c r="M44" i="241"/>
  <c r="M166" i="241"/>
  <c r="N123" i="241"/>
  <c r="N89" i="241"/>
  <c r="N91" i="241"/>
  <c r="N12" i="241"/>
  <c r="N17" i="241" s="1"/>
  <c r="I45" i="243"/>
  <c r="N34" i="244"/>
  <c r="O37" i="245"/>
  <c r="O38" i="245" s="1"/>
  <c r="M54" i="241"/>
  <c r="M17" i="241"/>
  <c r="M211" i="241" s="1"/>
  <c r="M91" i="241"/>
  <c r="M157" i="241"/>
  <c r="M119" i="241"/>
  <c r="M102" i="241"/>
  <c r="M66" i="241"/>
  <c r="N35" i="241"/>
  <c r="M39" i="241"/>
  <c r="M81" i="241"/>
  <c r="K211" i="241"/>
  <c r="N115" i="241"/>
  <c r="N160" i="241"/>
  <c r="N161" i="241" s="1"/>
  <c r="M150" i="241"/>
  <c r="N44" i="241"/>
  <c r="N57" i="241"/>
  <c r="N66" i="241"/>
  <c r="M107" i="241"/>
  <c r="M35" i="241"/>
  <c r="M98" i="241"/>
  <c r="N142" i="241"/>
  <c r="N166" i="241"/>
  <c r="N27" i="241"/>
  <c r="N125" i="241"/>
  <c r="N134" i="241"/>
  <c r="M134" i="241"/>
  <c r="N20" i="241"/>
  <c r="N22" i="241" s="1"/>
  <c r="M142" i="241"/>
  <c r="M27" i="241"/>
  <c r="M125" i="241"/>
  <c r="M179" i="241"/>
  <c r="M146" i="241"/>
  <c r="M86" i="241"/>
  <c r="M115" i="241"/>
  <c r="M209" i="241"/>
  <c r="N153" i="241"/>
  <c r="N35" i="244"/>
  <c r="O34" i="244"/>
  <c r="O35" i="244" s="1"/>
  <c r="N15" i="247"/>
  <c r="O76" i="247"/>
  <c r="M113" i="246"/>
  <c r="N160" i="246"/>
  <c r="M29" i="246"/>
  <c r="N32" i="246"/>
  <c r="N39" i="246" s="1"/>
  <c r="M173" i="246"/>
  <c r="N130" i="246"/>
  <c r="M157" i="246"/>
  <c r="L16" i="250"/>
  <c r="L23" i="250" s="1"/>
  <c r="O33" i="247"/>
  <c r="O34" i="247" s="1"/>
  <c r="O85" i="247"/>
  <c r="O86" i="247"/>
  <c r="N27" i="246"/>
  <c r="N42" i="246"/>
  <c r="N43" i="246"/>
  <c r="N125" i="246"/>
  <c r="N126" i="246"/>
  <c r="N176" i="246"/>
  <c r="N186" i="246" s="1"/>
  <c r="M132" i="246"/>
  <c r="M93" i="246"/>
  <c r="M19" i="246"/>
  <c r="M164" i="246"/>
  <c r="N132" i="246"/>
  <c r="N29" i="246"/>
  <c r="M58" i="246"/>
  <c r="N167" i="246"/>
  <c r="N168" i="246" s="1"/>
  <c r="N51" i="246"/>
  <c r="N52" i="246"/>
  <c r="M141" i="246"/>
  <c r="H224" i="246"/>
  <c r="N19" i="246"/>
  <c r="N122" i="246"/>
  <c r="N91" i="246"/>
  <c r="N93" i="246"/>
  <c r="N149" i="246"/>
  <c r="N164" i="246"/>
  <c r="O34" i="248"/>
  <c r="O35" i="248" s="1"/>
  <c r="M35" i="248"/>
  <c r="K45" i="249"/>
  <c r="L42" i="249"/>
  <c r="L15" i="249"/>
  <c r="N48" i="246"/>
  <c r="N88" i="246"/>
  <c r="M186" i="246"/>
  <c r="N96" i="246"/>
  <c r="M149" i="246"/>
  <c r="M122" i="246"/>
  <c r="M109" i="246"/>
  <c r="M153" i="246"/>
  <c r="N135" i="246"/>
  <c r="N141" i="246"/>
  <c r="M48" i="246"/>
  <c r="O18" i="247"/>
  <c r="O20" i="247"/>
  <c r="O30" i="247"/>
  <c r="O68" i="247"/>
  <c r="O69" i="247"/>
  <c r="N30" i="247"/>
  <c r="O82" i="247"/>
  <c r="O24" i="247"/>
  <c r="O25" i="247"/>
  <c r="L15" i="254"/>
  <c r="N34" i="253"/>
  <c r="O34" i="253" s="1"/>
  <c r="O35" i="253" s="1"/>
  <c r="N35" i="253"/>
  <c r="O14" i="252"/>
  <c r="O15" i="252" s="1"/>
  <c r="K16" i="256"/>
  <c r="K17" i="256" s="1"/>
  <c r="L16" i="256"/>
  <c r="L17" i="256" s="1"/>
  <c r="N14" i="251"/>
  <c r="N164" i="251"/>
  <c r="K21" i="255" l="1"/>
  <c r="H45" i="254"/>
  <c r="G45" i="254"/>
  <c r="F45" i="254"/>
  <c r="L45" i="254"/>
  <c r="D45" i="254"/>
  <c r="F21" i="255"/>
  <c r="I21" i="255"/>
  <c r="O33" i="252"/>
  <c r="O34" i="252" s="1"/>
  <c r="I132" i="252"/>
  <c r="J132" i="252"/>
  <c r="G132" i="252"/>
  <c r="K132" i="252"/>
  <c r="N89" i="252"/>
  <c r="N130" i="252"/>
  <c r="O89" i="252"/>
  <c r="N72" i="252"/>
  <c r="O71" i="252"/>
  <c r="N68" i="252"/>
  <c r="N44" i="252"/>
  <c r="O43" i="252"/>
  <c r="O63" i="252"/>
  <c r="O68" i="252" s="1"/>
  <c r="N49" i="252"/>
  <c r="O47" i="252"/>
  <c r="O49" i="252" s="1"/>
  <c r="N60" i="252"/>
  <c r="O59" i="252"/>
  <c r="O60" i="252" s="1"/>
  <c r="N38" i="252"/>
  <c r="O38" i="252"/>
  <c r="O44" i="252"/>
  <c r="O18" i="252"/>
  <c r="O20" i="252" s="1"/>
  <c r="N20" i="252"/>
  <c r="O28" i="252"/>
  <c r="O30" i="252" s="1"/>
  <c r="N30" i="252"/>
  <c r="O72" i="252"/>
  <c r="O92" i="252"/>
  <c r="O93" i="252" s="1"/>
  <c r="O97" i="252"/>
  <c r="O130" i="252" s="1"/>
  <c r="O25" i="252"/>
  <c r="N25" i="252"/>
  <c r="N37" i="251"/>
  <c r="N38" i="251" s="1"/>
  <c r="M38" i="251"/>
  <c r="N83" i="251"/>
  <c r="N87" i="251" s="1"/>
  <c r="M87" i="251"/>
  <c r="L228" i="251"/>
  <c r="F227" i="251"/>
  <c r="J227" i="251"/>
  <c r="I227" i="251"/>
  <c r="K227" i="251"/>
  <c r="N111" i="251"/>
  <c r="N112" i="251" s="1"/>
  <c r="N188" i="251"/>
  <c r="N225" i="251" s="1"/>
  <c r="M225" i="251"/>
  <c r="M125" i="251"/>
  <c r="N179" i="251"/>
  <c r="N185" i="251" s="1"/>
  <c r="M185" i="251"/>
  <c r="N41" i="251"/>
  <c r="N42" i="251" s="1"/>
  <c r="N47" i="251"/>
  <c r="N139" i="251"/>
  <c r="M47" i="251"/>
  <c r="N171" i="251"/>
  <c r="N18" i="251"/>
  <c r="M18" i="251"/>
  <c r="N103" i="251"/>
  <c r="M72" i="251"/>
  <c r="H227" i="251"/>
  <c r="M28" i="251"/>
  <c r="N146" i="251"/>
  <c r="N121" i="251"/>
  <c r="N130" i="251"/>
  <c r="M103" i="251"/>
  <c r="M130" i="251"/>
  <c r="N57" i="251"/>
  <c r="N28" i="251"/>
  <c r="N72" i="251"/>
  <c r="M139" i="251"/>
  <c r="M146" i="251"/>
  <c r="M57" i="251"/>
  <c r="M154" i="251"/>
  <c r="N107" i="251"/>
  <c r="N108" i="251" s="1"/>
  <c r="N92" i="251"/>
  <c r="M51" i="251"/>
  <c r="M92" i="251"/>
  <c r="K45" i="243"/>
  <c r="N211" i="241"/>
  <c r="O30" i="245"/>
  <c r="N115" i="245"/>
  <c r="N149" i="251"/>
  <c r="N150" i="251" s="1"/>
  <c r="K45" i="254"/>
  <c r="M73" i="246"/>
  <c r="N113" i="245"/>
  <c r="I45" i="254"/>
  <c r="O90" i="247"/>
  <c r="O122" i="247" s="1"/>
  <c r="M88" i="246"/>
  <c r="L42" i="243"/>
  <c r="L45" i="243" s="1"/>
  <c r="N30" i="245"/>
  <c r="I45" i="249"/>
  <c r="N96" i="251"/>
  <c r="N97" i="251" s="1"/>
  <c r="M97" i="251"/>
  <c r="M104" i="246"/>
  <c r="M222" i="246"/>
  <c r="M39" i="246"/>
  <c r="L20" i="242"/>
  <c r="L23" i="242" s="1"/>
  <c r="O18" i="245"/>
  <c r="O20" i="245" s="1"/>
  <c r="O115" i="245" s="1"/>
  <c r="O23" i="245"/>
  <c r="O25" i="245" s="1"/>
  <c r="O65" i="247"/>
  <c r="L16" i="249"/>
  <c r="L20" i="249"/>
  <c r="L45" i="249" s="1"/>
  <c r="M121" i="251"/>
  <c r="N65" i="247"/>
  <c r="G45" i="249"/>
  <c r="O132" i="252" l="1"/>
  <c r="N132" i="252"/>
  <c r="M227" i="251"/>
  <c r="N227" i="251"/>
  <c r="N23" i="257"/>
  <c r="N224" i="257" s="1"/>
  <c r="M138" i="315"/>
  <c r="G138" i="315"/>
  <c r="J138" i="315"/>
  <c r="I138" i="315"/>
  <c r="K138" i="315"/>
  <c r="L138" i="315"/>
  <c r="J77" i="1"/>
  <c r="H77" i="4"/>
  <c r="F149" i="352"/>
  <c r="K77" i="1"/>
  <c r="F149" i="358"/>
  <c r="J77" i="4"/>
  <c r="H77" i="1"/>
  <c r="F146" i="342"/>
  <c r="L77" i="1"/>
  <c r="K77" i="4"/>
  <c r="F147" i="363"/>
  <c r="F148" i="347"/>
  <c r="L77" i="4"/>
</calcChain>
</file>

<file path=xl/sharedStrings.xml><?xml version="1.0" encoding="utf-8"?>
<sst xmlns="http://schemas.openxmlformats.org/spreadsheetml/2006/main" count="65299" uniqueCount="1846">
  <si>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</si>
  <si>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</si>
  <si>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</si>
  <si>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</si>
  <si>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</si>
  <si>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</si>
  <si>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</si>
  <si>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</si>
  <si>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</si>
  <si>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</si>
  <si>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</si>
  <si>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</si>
  <si>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</si>
  <si>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</si>
  <si>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</si>
  <si>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</si>
  <si>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</si>
  <si>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</si>
  <si>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</si>
  <si>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</si>
  <si>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</si>
  <si>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</si>
  <si>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</si>
  <si>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</si>
  <si>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</si>
  <si>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</si>
  <si>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</si>
  <si>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</si>
  <si>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</si>
  <si>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</si>
  <si>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</si>
  <si>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</si>
  <si>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</si>
  <si>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</si>
  <si>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</si>
  <si>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</si>
  <si>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</si>
  <si>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</si>
  <si>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</si>
  <si>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</si>
  <si>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</si>
  <si>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</si>
  <si>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</si>
  <si>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</si>
  <si>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</si>
  <si>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</si>
  <si>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</si>
  <si>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</si>
  <si>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</si>
  <si>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</si>
  <si>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</si>
  <si>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</si>
  <si>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</si>
  <si>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</si>
  <si>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</si>
  <si>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</si>
  <si>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</si>
  <si>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</si>
  <si>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</si>
  <si>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</si>
  <si>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</si>
  <si>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</si>
  <si>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</si>
  <si>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</si>
  <si>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</si>
  <si>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</si>
  <si>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</si>
  <si>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</si>
  <si>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</si>
  <si>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</si>
  <si>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</si>
  <si>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</si>
  <si>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</si>
  <si>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</si>
  <si>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</si>
  <si>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</si>
  <si>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</si>
  <si>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</si>
  <si>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</si>
  <si>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</si>
  <si>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</si>
  <si>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</si>
  <si>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</si>
  <si>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</si>
  <si>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</si>
  <si>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</si>
  <si>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</si>
  <si>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</si>
  <si>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</si>
  <si>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</si>
  <si>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</si>
  <si>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</si>
  <si>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</si>
  <si>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</si>
  <si>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</si>
  <si>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</si>
  <si>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</si>
  <si>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</si>
  <si>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</si>
  <si>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</si>
  <si>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</si>
  <si>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</si>
  <si>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</si>
  <si>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</si>
  <si>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</si>
  <si>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</si>
  <si>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</si>
  <si>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</si>
  <si>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</si>
  <si>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</si>
  <si>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</si>
  <si>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</si>
  <si>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</si>
  <si>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</si>
  <si>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</si>
  <si>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</si>
  <si>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</si>
  <si>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</si>
  <si>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</si>
  <si>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</si>
  <si>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</si>
  <si>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</si>
  <si>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</si>
  <si>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</si>
  <si>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</si>
  <si>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</si>
  <si>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</si>
  <si>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</si>
  <si>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</si>
  <si>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</si>
  <si>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</si>
  <si>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</si>
  <si>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</si>
  <si>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</si>
  <si>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</si>
  <si>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</si>
  <si>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</si>
  <si>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</si>
  <si>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</si>
  <si>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</si>
  <si>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</si>
  <si>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</si>
  <si>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</si>
  <si>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</si>
  <si>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</si>
  <si>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</si>
  <si>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</si>
  <si>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</si>
  <si>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</si>
  <si>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</si>
  <si>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</si>
  <si>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</si>
  <si>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</si>
  <si>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</si>
  <si>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</si>
  <si>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</si>
  <si>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</si>
  <si>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</si>
  <si>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</si>
  <si>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</si>
  <si>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</si>
  <si>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</si>
  <si>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</si>
  <si>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</si>
  <si>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</si>
  <si>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</si>
  <si>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</si>
  <si>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</si>
  <si>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</si>
  <si>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</si>
  <si>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</si>
  <si>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</si>
  <si>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</si>
  <si>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</si>
  <si>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</si>
  <si>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</si>
  <si>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</si>
  <si>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</si>
  <si>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</si>
  <si>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</si>
  <si>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</si>
  <si>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</si>
  <si>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</si>
  <si>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</si>
  <si>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</si>
  <si>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</si>
  <si>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</si>
  <si>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</si>
  <si>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</si>
  <si>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</si>
  <si>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</si>
  <si>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</si>
  <si>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</si>
  <si>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</si>
  <si>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</si>
  <si>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</si>
  <si>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</si>
  <si>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</si>
  <si>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</si>
  <si>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</si>
  <si>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</si>
  <si>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</si>
  <si>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</si>
  <si>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</si>
  <si>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</si>
  <si>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</si>
  <si>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</si>
  <si>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</si>
  <si>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</si>
  <si>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</si>
  <si>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</si>
  <si>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</si>
  <si>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</si>
  <si>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</si>
  <si>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</si>
  <si>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</si>
  <si>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</si>
  <si>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</si>
  <si>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</si>
  <si>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</si>
  <si>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</si>
  <si>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</si>
  <si>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</si>
  <si>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</si>
  <si>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</si>
  <si>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</si>
  <si>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</si>
  <si>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</si>
  <si>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</si>
  <si>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</si>
  <si>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</si>
  <si>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</si>
  <si>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</si>
  <si>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</si>
  <si>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</si>
  <si>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</si>
  <si>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</si>
  <si>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</si>
  <si>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</si>
  <si>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</si>
  <si>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</si>
  <si>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</si>
  <si>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</si>
  <si>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</si>
  <si>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</si>
  <si>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</si>
  <si>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</si>
  <si>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</si>
  <si>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</si>
  <si>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</si>
  <si>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</si>
  <si>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</si>
  <si>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</si>
  <si>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</si>
  <si>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</si>
  <si>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</si>
  <si>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</si>
  <si>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</si>
  <si>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</si>
  <si>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</si>
  <si>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</si>
  <si>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</si>
  <si>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</si>
  <si>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</si>
  <si>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</si>
  <si>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</si>
  <si>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</si>
  <si>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</si>
  <si>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</si>
  <si>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</si>
  <si>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</si>
  <si>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</si>
  <si>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</si>
  <si>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</si>
  <si>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</si>
  <si>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</si>
  <si>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</si>
  <si>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</si>
  <si>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</si>
  <si>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</si>
  <si>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</si>
  <si>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</si>
  <si>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</si>
  <si>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</si>
  <si>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</si>
  <si>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</si>
  <si>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</si>
  <si>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</si>
  <si>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</si>
  <si>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</si>
  <si>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</si>
  <si>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</si>
  <si>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</si>
  <si>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</si>
  <si>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</si>
  <si>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</si>
  <si>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</si>
  <si>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</si>
  <si>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</si>
  <si>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</si>
  <si>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</si>
  <si>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</si>
  <si>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</si>
  <si>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</si>
  <si>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</si>
  <si>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</si>
  <si>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</si>
  <si>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</si>
  <si>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</si>
  <si>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</si>
  <si>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</si>
  <si>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</si>
  <si>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</si>
  <si>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</si>
  <si>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</si>
  <si>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</si>
  <si>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</si>
  <si>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</si>
  <si>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</si>
  <si>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</si>
  <si>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</si>
  <si>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</si>
  <si>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</si>
  <si>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</si>
  <si>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</si>
  <si>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</si>
  <si>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</si>
  <si>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</si>
  <si>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</si>
  <si>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</si>
  <si>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</si>
  <si>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</si>
  <si>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</si>
  <si>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</si>
  <si>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</si>
  <si>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</si>
  <si>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</si>
  <si>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</si>
  <si>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</si>
  <si>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</si>
  <si>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</si>
  <si>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</si>
  <si>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</si>
  <si>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</si>
  <si>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</si>
  <si>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</si>
  <si>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</si>
  <si>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</si>
  <si>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</si>
  <si>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</si>
  <si>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</si>
  <si>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</si>
  <si>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</si>
  <si>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</si>
  <si>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</si>
  <si>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</si>
  <si>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</si>
  <si>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</si>
  <si>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</si>
  <si>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</si>
  <si>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</si>
  <si>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</si>
  <si>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</si>
  <si>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</si>
  <si>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</si>
  <si>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</si>
  <si>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</si>
  <si>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</si>
  <si>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</si>
  <si>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</si>
  <si>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</si>
  <si>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</si>
  <si>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</si>
  <si>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</si>
  <si>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</si>
  <si>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</si>
  <si>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</si>
  <si>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</si>
  <si>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</si>
  <si>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</si>
  <si>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</si>
  <si>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</si>
  <si>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</si>
  <si>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</si>
  <si>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</si>
  <si>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</si>
  <si>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</si>
  <si>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</si>
  <si>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</si>
  <si>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</si>
  <si>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</si>
  <si>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</si>
  <si>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</si>
  <si>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</si>
  <si>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</si>
  <si>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</si>
  <si>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</si>
  <si>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</si>
  <si>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</si>
  <si>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</si>
  <si>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</si>
  <si>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</si>
  <si>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</si>
  <si>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</si>
  <si>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</si>
  <si>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</si>
  <si>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</si>
  <si>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</si>
  <si>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</si>
  <si>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</si>
  <si>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</si>
  <si>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</si>
  <si>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</si>
  <si>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</si>
  <si>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</si>
  <si>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</si>
  <si>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</si>
  <si>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</si>
  <si>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</si>
  <si>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</si>
  <si>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</si>
  <si>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</si>
  <si>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</si>
  <si>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</si>
  <si>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</si>
  <si>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</si>
  <si>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</si>
  <si>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</si>
  <si>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</si>
  <si>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</si>
  <si>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</si>
  <si>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</si>
  <si>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</si>
  <si>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</si>
  <si>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</si>
  <si>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</si>
  <si>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</si>
  <si>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</si>
  <si>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</si>
  <si>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</si>
  <si>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</si>
  <si>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</si>
  <si>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</si>
  <si>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</si>
  <si>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</si>
  <si>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</si>
  <si>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</si>
  <si>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</si>
  <si>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</si>
  <si>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</si>
  <si>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</si>
  <si>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</si>
  <si>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</si>
  <si>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</si>
  <si>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</si>
  <si>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</si>
  <si>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</si>
  <si>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</si>
  <si>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</si>
  <si>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</si>
  <si>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</si>
  <si>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</si>
  <si>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</si>
  <si>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</si>
  <si>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</si>
  <si>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</si>
  <si>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</si>
  <si>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</si>
  <si>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</si>
  <si>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</si>
  <si>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</si>
  <si>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</si>
  <si>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</si>
  <si>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</si>
  <si>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</si>
  <si>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</si>
  <si>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</si>
  <si>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</si>
  <si>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</si>
  <si>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</si>
  <si>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</si>
  <si>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</si>
  <si>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</si>
  <si>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</si>
  <si>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</si>
  <si>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</si>
  <si>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</si>
  <si>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</si>
  <si>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</si>
  <si>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</si>
  <si>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</si>
  <si>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</si>
  <si>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</si>
  <si>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</si>
  <si>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</si>
  <si>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</si>
  <si>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</si>
  <si>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</si>
  <si>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</si>
  <si>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</si>
  <si>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</si>
  <si>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</si>
  <si>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</si>
  <si>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</si>
  <si>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</si>
  <si>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</si>
  <si>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</si>
  <si>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</si>
  <si>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</si>
  <si>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</si>
  <si>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</si>
  <si>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</si>
  <si>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</si>
  <si>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</si>
  <si>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</si>
  <si>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</si>
  <si>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</si>
  <si>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</si>
  <si>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</si>
  <si>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</si>
  <si>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</si>
  <si>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</si>
  <si>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</si>
  <si>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</si>
  <si>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</si>
  <si>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</si>
  <si>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</si>
  <si>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</si>
  <si>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</si>
  <si>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</si>
  <si>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</si>
  <si>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</si>
  <si>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</si>
  <si>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</si>
  <si>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</si>
  <si>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</si>
  <si>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</si>
  <si>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</si>
  <si>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</si>
  <si>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</si>
  <si>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</si>
  <si>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</si>
  <si>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</si>
  <si>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</si>
  <si>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</si>
  <si>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</si>
  <si>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</si>
  <si>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</si>
  <si>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</si>
  <si>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</si>
  <si>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</si>
  <si>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</si>
  <si>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</si>
  <si>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</si>
  <si>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</si>
  <si>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</si>
  <si>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</si>
  <si>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</si>
  <si>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</si>
  <si>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</si>
  <si>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</si>
  <si>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</si>
  <si>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</si>
  <si>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</si>
  <si>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</si>
  <si>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</si>
  <si>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</si>
  <si>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</si>
  <si>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</si>
  <si>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</si>
  <si>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</si>
  <si>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</si>
  <si>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</si>
  <si>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</si>
  <si>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</si>
  <si>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</si>
  <si>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</si>
  <si>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</si>
  <si>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</si>
  <si>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</si>
  <si>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</si>
  <si>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</si>
  <si>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</si>
  <si>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</si>
  <si>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</si>
  <si>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</si>
  <si>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</si>
  <si>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</si>
  <si>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</si>
  <si>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</si>
  <si>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</si>
  <si>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</si>
  <si>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</si>
  <si>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</si>
  <si>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</si>
  <si>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</si>
  <si>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</si>
  <si>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</si>
  <si>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</si>
  <si>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</si>
  <si>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</si>
  <si>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</si>
  <si>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</si>
  <si>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</si>
  <si>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</si>
  <si>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</si>
  <si>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</si>
  <si>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</si>
  <si>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</si>
  <si>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</si>
  <si>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</si>
  <si>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</si>
  <si>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</si>
  <si>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</si>
  <si>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</si>
  <si>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</si>
  <si>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</si>
  <si>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</si>
  <si>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</si>
  <si>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</si>
  <si>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</si>
  <si>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</si>
  <si>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</si>
  <si>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</si>
  <si>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</si>
  <si>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</si>
  <si>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</si>
  <si>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</si>
  <si>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</si>
  <si>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</si>
  <si>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</si>
  <si>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</si>
  <si>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</si>
  <si>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</si>
  <si>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</si>
  <si>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</si>
  <si>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</si>
  <si>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</si>
  <si>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</si>
  <si>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</si>
  <si>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</si>
  <si>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</si>
  <si>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</si>
  <si>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</si>
  <si>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</si>
  <si>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</si>
  <si>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</si>
  <si>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</si>
  <si>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</si>
  <si>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</si>
  <si>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</si>
  <si>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</si>
  <si>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</si>
  <si>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</si>
  <si>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</si>
  <si>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</si>
  <si>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</si>
  <si>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</si>
  <si>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</si>
  <si>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</si>
  <si>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</si>
  <si>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</si>
  <si>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</si>
  <si>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</si>
  <si>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</si>
  <si>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</si>
  <si>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</si>
  <si>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</si>
  <si>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</si>
  <si>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</si>
  <si>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</si>
  <si>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</si>
  <si>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</si>
  <si>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</si>
  <si>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</si>
  <si>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</si>
  <si>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</si>
  <si>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</si>
  <si>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</si>
  <si>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</si>
  <si>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</si>
  <si>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</si>
  <si>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</si>
  <si>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</si>
  <si>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</si>
  <si>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</si>
  <si>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</si>
  <si>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</si>
  <si>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</si>
  <si>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</si>
  <si>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</si>
  <si>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</si>
  <si>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</si>
  <si>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</si>
  <si>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</si>
  <si>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</si>
  <si>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</si>
  <si>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</si>
  <si>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</si>
  <si>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</si>
  <si>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</si>
  <si>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</si>
  <si>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</si>
  <si>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</si>
  <si>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</si>
  <si>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</si>
  <si>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</si>
  <si>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</si>
  <si>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</si>
  <si>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</si>
  <si>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</si>
  <si>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</si>
  <si>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</si>
  <si>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</si>
  <si>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</si>
  <si>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</si>
  <si>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</si>
  <si>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</si>
  <si>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</si>
  <si>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</si>
  <si>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</si>
  <si>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</si>
  <si>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</si>
  <si>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</si>
  <si>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</si>
  <si>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</si>
  <si>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</si>
  <si>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</si>
  <si>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</si>
  <si>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</si>
  <si>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</si>
  <si>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</si>
  <si>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</si>
  <si>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</si>
  <si>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</si>
  <si>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</si>
  <si>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</si>
  <si>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</si>
  <si>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</si>
  <si>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</si>
  <si>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</si>
  <si>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</si>
  <si>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</si>
  <si>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</si>
  <si>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</si>
  <si>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</si>
  <si>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</si>
  <si>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</si>
  <si>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</si>
  <si>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</si>
  <si>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</si>
  <si>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</si>
  <si>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</si>
  <si>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</si>
  <si>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</si>
  <si>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</si>
  <si>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</si>
  <si>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</si>
  <si>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</si>
  <si>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</si>
  <si>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</si>
  <si>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</si>
  <si>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</si>
  <si>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</si>
  <si>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</si>
  <si>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</si>
  <si>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</si>
  <si>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</si>
  <si>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</si>
  <si>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</si>
  <si>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</si>
  <si>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</si>
  <si>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</si>
  <si>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</si>
  <si>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</si>
  <si>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</si>
  <si>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</si>
  <si>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</si>
  <si>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</si>
  <si>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</si>
  <si>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</si>
  <si>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</si>
  <si>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</si>
  <si>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</si>
  <si>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</si>
  <si>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</si>
  <si>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</si>
  <si>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</si>
  <si>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</si>
  <si>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</si>
  <si>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</si>
  <si>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</si>
  <si>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</si>
  <si>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</si>
  <si>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</si>
  <si>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</si>
  <si>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</si>
  <si>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</si>
  <si>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</si>
  <si>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</si>
  <si>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</si>
  <si>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</si>
  <si>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</si>
  <si>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</si>
  <si>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</si>
  <si>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</si>
  <si>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</si>
  <si>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</si>
  <si>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</si>
  <si>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</si>
  <si>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</si>
  <si>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</si>
  <si>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</si>
  <si>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</si>
  <si>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</si>
  <si>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</si>
  <si>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</si>
  <si>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</si>
  <si>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</si>
  <si>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</si>
  <si>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</si>
  <si>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</si>
  <si>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</si>
  <si>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</si>
  <si>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</si>
  <si>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</si>
  <si>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</si>
  <si>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</si>
  <si>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</si>
  <si>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</si>
  <si>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</si>
  <si>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</si>
  <si>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</si>
  <si>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</si>
  <si>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</si>
  <si>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</si>
  <si>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</si>
  <si>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</si>
  <si>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</si>
  <si>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</si>
  <si>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</si>
  <si>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</si>
  <si>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</si>
  <si>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</si>
  <si>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</si>
  <si>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</si>
  <si>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</si>
  <si>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</si>
  <si>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</si>
  <si>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</si>
  <si>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</si>
  <si>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</si>
  <si>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</si>
  <si>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</si>
  <si>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</si>
  <si>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</si>
  <si>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</si>
  <si>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</si>
  <si>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</si>
  <si>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</si>
  <si>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</si>
  <si>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</si>
  <si>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</si>
  <si>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</si>
  <si>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</si>
  <si>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</si>
  <si>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</si>
  <si>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</si>
  <si>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</si>
  <si>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</si>
  <si>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</si>
  <si>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</si>
  <si>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</si>
  <si>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</si>
  <si>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</si>
  <si>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</si>
  <si>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</si>
  <si>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</si>
  <si>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</si>
  <si>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</si>
  <si>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</si>
  <si>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</si>
  <si>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</si>
  <si>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</si>
  <si>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</si>
  <si>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</si>
  <si>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</si>
  <si>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</si>
  <si>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</si>
  <si>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</si>
  <si>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</si>
  <si>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</si>
  <si>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</si>
  <si>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</si>
  <si>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</si>
  <si>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</si>
  <si>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</si>
  <si>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</si>
  <si>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</si>
  <si>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</si>
  <si>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</si>
  <si>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</si>
  <si>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</si>
  <si>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</si>
  <si>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</si>
  <si>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</si>
  <si>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</si>
  <si>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</si>
  <si>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</si>
  <si>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</si>
  <si>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</si>
  <si>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</si>
  <si>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</si>
  <si>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</si>
  <si>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</si>
  <si>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</si>
  <si>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</si>
  <si>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</si>
  <si>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</si>
  <si>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</si>
  <si>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</si>
  <si>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</si>
  <si>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</si>
  <si>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</si>
  <si>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</si>
  <si>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</si>
  <si>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</si>
  <si>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</si>
  <si>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</si>
  <si>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</si>
  <si>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</si>
  <si>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</si>
  <si>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</si>
  <si>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</si>
  <si>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</si>
  <si>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</si>
  <si>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</si>
  <si>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</si>
  <si>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</si>
  <si>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</si>
  <si>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</si>
  <si>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</si>
  <si>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</si>
  <si>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</si>
  <si>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</si>
  <si>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</si>
  <si>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</si>
  <si>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</si>
  <si>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</si>
  <si>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</si>
  <si>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</si>
  <si>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</si>
  <si>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</si>
  <si>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</si>
  <si>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</si>
  <si>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</si>
  <si>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</si>
  <si>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</si>
  <si>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</si>
  <si>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</si>
  <si>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</si>
  <si>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</si>
  <si>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</si>
  <si>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</si>
  <si>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</si>
  <si>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</si>
  <si>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</si>
  <si>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</si>
  <si>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</si>
  <si>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</si>
  <si>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</si>
  <si>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</si>
  <si>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</si>
  <si>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</si>
  <si>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</si>
  <si>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</si>
  <si>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</si>
  <si>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</si>
  <si>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</si>
  <si>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</si>
  <si>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</si>
  <si>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</si>
  <si>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</si>
  <si>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</si>
  <si>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</si>
  <si>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</si>
  <si>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</si>
  <si>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</si>
  <si>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</si>
  <si>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</si>
  <si>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</si>
  <si>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</si>
  <si>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</si>
  <si>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</si>
  <si>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</si>
  <si>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</si>
  <si>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</si>
  <si>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</si>
  <si>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</si>
  <si>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</si>
  <si>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</si>
  <si>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</si>
  <si>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</si>
  <si>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</si>
  <si>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</si>
  <si>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</si>
  <si>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</si>
  <si>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</si>
  <si>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</si>
  <si>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</si>
  <si>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</si>
  <si>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</si>
  <si>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</si>
  <si>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</si>
  <si>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</si>
  <si>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</si>
  <si>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</si>
  <si>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</si>
  <si>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</si>
  <si>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</si>
  <si>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</si>
  <si>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</si>
  <si>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</si>
  <si>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</si>
  <si>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</si>
  <si>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</si>
  <si>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</si>
  <si>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</si>
  <si>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</si>
  <si>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</si>
  <si>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</si>
  <si>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</si>
  <si>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</si>
  <si>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</si>
  <si>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</si>
  <si>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</si>
  <si>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</si>
  <si>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</si>
  <si>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</si>
  <si>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</si>
  <si>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</si>
  <si>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</si>
  <si>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</si>
  <si>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</si>
  <si>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</si>
  <si>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</si>
  <si>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</si>
  <si>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</si>
  <si>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</si>
  <si>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</si>
  <si>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</si>
  <si>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</si>
  <si>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</si>
  <si>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</si>
  <si>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</si>
  <si>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</si>
  <si>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</si>
  <si>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</si>
  <si>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</si>
  <si>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</si>
  <si>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</si>
  <si>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</si>
  <si>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</si>
  <si>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</si>
  <si>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</si>
  <si>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</si>
  <si>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</si>
  <si>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</si>
  <si>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</si>
  <si>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</si>
  <si>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</si>
  <si>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</si>
  <si>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</si>
  <si>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</si>
  <si>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</si>
  <si>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</si>
  <si>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</si>
  <si>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</si>
  <si>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</si>
  <si>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</si>
  <si>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</si>
  <si>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</si>
  <si>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</si>
  <si>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</si>
  <si>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</si>
  <si>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</si>
  <si>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</si>
  <si>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</si>
  <si>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</si>
  <si>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</si>
  <si>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</si>
  <si>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</si>
  <si>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</si>
  <si>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</si>
  <si>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</si>
  <si>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</si>
  <si>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</si>
  <si>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</si>
  <si>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</si>
  <si>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</si>
  <si>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</si>
  <si>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</si>
  <si>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</si>
  <si>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</si>
  <si>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</si>
  <si>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</si>
  <si>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</si>
  <si>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</si>
  <si>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</si>
  <si>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</si>
  <si>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</si>
  <si>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</si>
  <si>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</si>
  <si>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</si>
  <si>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</si>
  <si>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</si>
  <si>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</si>
  <si>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</si>
  <si>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</si>
  <si>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</si>
  <si>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</si>
  <si>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</si>
  <si>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</si>
  <si>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</si>
  <si>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</si>
  <si>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</si>
  <si>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</si>
  <si>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</si>
  <si>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</si>
  <si>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</si>
  <si>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</si>
  <si>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</si>
  <si>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</si>
  <si>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</si>
  <si>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</si>
  <si>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</si>
  <si>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</si>
  <si>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</si>
  <si>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</si>
  <si>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</si>
  <si>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</si>
  <si>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</si>
  <si>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</si>
  <si>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</si>
  <si>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</si>
  <si>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</si>
  <si>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</si>
  <si>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</si>
  <si>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</si>
  <si>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</si>
  <si>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</si>
  <si>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</si>
  <si>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</si>
  <si>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</si>
  <si>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</si>
  <si>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</si>
  <si>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</si>
  <si>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</si>
  <si>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</si>
  <si>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</si>
  <si>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</si>
  <si>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</si>
  <si>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</si>
  <si>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</si>
  <si>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</si>
  <si>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</si>
  <si>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</si>
  <si>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</si>
  <si>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</si>
  <si>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</si>
  <si>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</si>
  <si>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</si>
  <si>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</si>
  <si>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</si>
  <si>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</si>
  <si>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</si>
  <si>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</si>
  <si>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</si>
  <si>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</si>
  <si>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</si>
  <si>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</si>
  <si>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</si>
  <si>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</si>
  <si>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</si>
  <si>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</si>
  <si>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</si>
  <si>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</si>
  <si>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</si>
  <si>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</si>
  <si>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</si>
  <si>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</si>
  <si>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</si>
  <si>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</si>
  <si>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</si>
  <si>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</si>
  <si>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</si>
  <si>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</si>
  <si>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</si>
  <si>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</si>
  <si>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</si>
  <si>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</si>
  <si>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</si>
  <si>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</si>
  <si>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</si>
  <si>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</si>
  <si>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</si>
  <si>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</si>
  <si>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</si>
  <si>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</si>
  <si>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</si>
  <si>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</si>
  <si>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</si>
  <si>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</si>
  <si>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</si>
  <si>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</si>
  <si>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</si>
  <si>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</si>
  <si>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</si>
  <si>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</si>
  <si>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</si>
  <si>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</si>
  <si>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</si>
  <si>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</si>
  <si>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</si>
  <si>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</si>
  <si>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</si>
  <si>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</si>
  <si>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</si>
  <si>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</si>
  <si>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</si>
  <si>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</si>
  <si>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</si>
  <si>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</si>
  <si>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</si>
  <si>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</si>
  <si>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</si>
  <si>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</si>
  <si>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</si>
  <si>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</si>
  <si>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</si>
  <si>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</si>
  <si>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</si>
  <si>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</si>
  <si>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</si>
  <si>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</si>
  <si>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</si>
  <si>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</si>
  <si>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</si>
  <si>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</si>
  <si>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</si>
  <si>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</si>
  <si>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</si>
  <si>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</si>
  <si>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</si>
  <si>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</si>
  <si>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</si>
  <si>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</si>
  <si>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</si>
  <si>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</si>
  <si>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</si>
  <si>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</si>
  <si>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</si>
  <si>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</si>
  <si>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</si>
  <si>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</si>
  <si>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</si>
  <si>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</si>
  <si>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</si>
  <si>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</si>
  <si>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</si>
  <si>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</si>
  <si>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</si>
  <si>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</si>
  <si>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</si>
  <si>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</si>
  <si>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</si>
  <si>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</si>
  <si>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</si>
  <si>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</si>
  <si>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</si>
  <si>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</si>
  <si>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</si>
  <si>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</si>
  <si>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</si>
  <si>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</si>
  <si>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</si>
  <si>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</si>
  <si>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</si>
  <si>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</si>
  <si>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</si>
  <si>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</si>
  <si>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</si>
  <si>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</si>
  <si>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</si>
  <si>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</si>
  <si>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</si>
  <si>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</si>
  <si>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</si>
  <si>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</si>
  <si>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</si>
  <si>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</si>
  <si>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</si>
  <si>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</si>
  <si>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</si>
  <si>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</si>
  <si>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</si>
  <si>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</si>
  <si>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</si>
  <si>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</si>
  <si>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</si>
  <si>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</si>
  <si>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</si>
  <si>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</si>
  <si>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</si>
  <si>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</si>
  <si>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</si>
  <si>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</si>
  <si>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</si>
  <si>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</si>
  <si>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</si>
  <si>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</si>
  <si>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</si>
  <si>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</si>
  <si>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</si>
  <si>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</si>
  <si>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</si>
  <si>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</si>
  <si>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</si>
  <si>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</si>
  <si>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</si>
  <si>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</si>
  <si>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</si>
  <si>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</si>
  <si>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</si>
  <si>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</si>
  <si>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</si>
  <si>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</si>
  <si>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</si>
  <si>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</si>
  <si>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</si>
  <si>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</si>
  <si>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</si>
  <si>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</si>
  <si>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</si>
  <si>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</si>
  <si>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</si>
  <si>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</si>
  <si>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</si>
  <si>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</si>
  <si>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</si>
  <si>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</si>
  <si>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</si>
  <si>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</si>
  <si>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</si>
  <si>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</si>
  <si>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</si>
  <si>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</si>
  <si>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</si>
  <si>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</si>
  <si>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</si>
  <si>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</si>
  <si>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</si>
  <si>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</si>
  <si>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</si>
  <si>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</si>
  <si>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</si>
  <si>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</si>
  <si>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</si>
  <si>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</si>
  <si>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</si>
  <si>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</si>
  <si>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</si>
  <si>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</si>
  <si>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</si>
  <si>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</si>
  <si>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</si>
  <si>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</si>
  <si>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</si>
  <si>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</si>
  <si>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</si>
  <si>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</si>
  <si>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</si>
  <si>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</si>
  <si>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</si>
  <si>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</si>
  <si>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</si>
  <si>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</si>
  <si>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</si>
  <si>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</si>
  <si>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</si>
  <si>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</si>
  <si>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</si>
  <si>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</si>
  <si>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</si>
  <si>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</si>
  <si>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</si>
  <si>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</si>
  <si>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</si>
  <si>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</si>
  <si>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</si>
  <si>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</si>
  <si>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</si>
  <si>
    <t>CONCEPTO PAGO SUELDO 000018 - FIJOS CORRESPONDIENTE AL MES DE JULIO  2024</t>
  </si>
  <si>
    <t xml:space="preserve">RESPONSABLE OFICINA LIBRE ACCESO A LA INFORMACIÓN </t>
  </si>
  <si>
    <t>CONCEPTO PAGO SUELDO 000018 - EMPLEADOS TEMPORALES CORRESPONDIENTE AL MES DE JULIO 2024</t>
  </si>
  <si>
    <t xml:space="preserve">OFICINA NACIONAL DE EVALUACION SISMICA Y VULNERABILIDAD DE INFRAESTRUCTURA Y EDIFICACIONES </t>
  </si>
  <si>
    <t xml:space="preserve">MALAWI JHON MATEO ALLANIC </t>
  </si>
  <si>
    <t xml:space="preserve">NANCY YOCASTA SANTANA SANCHEZ </t>
  </si>
  <si>
    <t xml:space="preserve">ASISTENTE </t>
  </si>
  <si>
    <t xml:space="preserve">MANUELA DEL CARMEN POLANCO RICARDO </t>
  </si>
  <si>
    <t>JOSE ALFONSO HO MARTINEZ</t>
  </si>
  <si>
    <t>CONCEPTO PAGO SUELDO 150-18 - INTERINATO CORRESPONDIENTE AL MES DE JULIO 2024</t>
  </si>
  <si>
    <t xml:space="preserve">DEPARTAMENTO DE INGENIERIA SISMO-RESISTENCIA </t>
  </si>
  <si>
    <t xml:space="preserve">DEPARTAMENTO DE RECOPILACION E INFORMACION GEOSPACIAL </t>
  </si>
  <si>
    <t xml:space="preserve">HECTOR ANTONIO CEDEÑO ALMONTE </t>
  </si>
  <si>
    <t>CONCEPTO PAGO SUELDO 120-01- SUPLENCIA CORRESPONDIENTE AL MES DE JULIO 2024</t>
  </si>
  <si>
    <t>CONCEPTO PAGO SUELDO 000007 - PERSONAL DE VIGILANCIA CORRESPONDIENTE AL MES DE JULIO  2024</t>
  </si>
  <si>
    <t>CONCEPTO PAGO SUELDO 000005- TRAMITE DE PENSION CORRESPONDIENTE AL MES DE JULIO 2024</t>
  </si>
  <si>
    <t>TECNICO DE NÓMINA</t>
  </si>
  <si>
    <t>CONCEPTO PAGO SUELDO 000018 - FIJOS CORRESPONDIENTE AL MES DE AGOSTO 2024</t>
  </si>
  <si>
    <t>NESTOR ANDRES TIRADO DIAZ</t>
  </si>
  <si>
    <t>DEPARTAMENTO DE GEOTECNIA</t>
  </si>
  <si>
    <t>ENC. DEL DEPARTAMENTO DE GEOTECNIA</t>
  </si>
  <si>
    <t>ENC. DELEGACION REGIONAL SUR</t>
  </si>
  <si>
    <t xml:space="preserve">ENCARGADA DEL DEPARTAMENTO JURIDICO </t>
  </si>
  <si>
    <t>ENCARGADO DEPTO. DE TECNOLOGIA DE INFORMACIÓN DE COMUNICACIÓN (TIC)</t>
  </si>
  <si>
    <t>ENCARGADO DIVISION DE PRESUPUESTO</t>
  </si>
  <si>
    <t>DIRECTORA REGIONAL</t>
  </si>
  <si>
    <t>CONCEPTO PAGO SUELDO 000018 - EMPLEADOS TEMPORALES CORRESPONDIENTE AL MES DE AGOSTO 2024</t>
  </si>
  <si>
    <t>CONCEPTO PAGO SUELDO 000007 - PERSONAL DE VIGILANCIA CORRESPONDIENTE AL MES DE AGOSTO  2024</t>
  </si>
  <si>
    <t>CONCEPTO PAGO SUELDO 150-18 - INTERINATO CORRESPONDIENTE AL MES DE AGOSTO 2024</t>
  </si>
  <si>
    <t>CONCEPTO PAGO SUELDO 120-01- SUPLENCIA CORRESPONDIENTE AL MES DE AGOSTO 2024</t>
  </si>
  <si>
    <t>CONCEPTO PAGO SUELDO 000005- TRAMITE DE PENSION CORRESPONDIENTE AL MES DE AGOSTO 2024</t>
  </si>
  <si>
    <t>DIRECTOR CIENTIFICO SISMORRESISTE</t>
  </si>
  <si>
    <t>OFICINA DE LIBRE ACCESO A LA INFORMACIÓN PÚBLICA</t>
  </si>
  <si>
    <t>TÉCNICO EN INTRUMENTACION DE ESTRUCTURA</t>
  </si>
  <si>
    <t>TÉCNICO EN MANEJO DE DRONES</t>
  </si>
  <si>
    <t>YINETTE YOHAMNY HERRERA ISABEL</t>
  </si>
  <si>
    <t xml:space="preserve">JOSE DE LEON </t>
  </si>
  <si>
    <t>LEOCADIO ROSARIO ABAD</t>
  </si>
  <si>
    <t>LOYDA VERENICE MORETA BALBUENA</t>
  </si>
  <si>
    <t>GABRIEL GONZALEZ PAYANO</t>
  </si>
  <si>
    <t>JESUS SEVERINO</t>
  </si>
  <si>
    <t xml:space="preserve">DIVISIÓN DE COMPRAS Y CONTRATACIONES </t>
  </si>
  <si>
    <t xml:space="preserve">                                Preparado Por: Licda. Yudy B. De Los Santos</t>
  </si>
  <si>
    <t xml:space="preserve">   Enc. Int. Departamento de  Recursos Humanos</t>
  </si>
  <si>
    <t xml:space="preserve">ENC. DEPTO. CONTABILIDAD </t>
  </si>
  <si>
    <t>JEFRY MIGUEL REYES ROSADO</t>
  </si>
  <si>
    <t>GLADIMIR CARRASCO BATISTA</t>
  </si>
  <si>
    <t xml:space="preserve">                              ___________________________________________________________________________</t>
  </si>
  <si>
    <t xml:space="preserve">                                   RNC 430-00787-2</t>
  </si>
  <si>
    <t>CONCEPTO PAGO SUELDO 000018 - FIJOS CORRESPONDIENTE AL MES DE OCTUBRE 2024</t>
  </si>
  <si>
    <t>CONCEPTO PAGO SUELDO 000018 - EMPLEADOS TEMPORALES CORRESPONDIENTE AL MES DE OCTUBRE 2024</t>
  </si>
  <si>
    <t>CONCEPTO PAGO SUELDO 000007 - PERSONAL DE VIGILANCIA CORRESPONDIENTE AL MES DE OCTUBRE  2024</t>
  </si>
  <si>
    <t>CONCEPTO PAGO SUELDO 150-18 - INTERINATO CORRESPONDIENTE AL MES DE OCTUBRE 2024</t>
  </si>
  <si>
    <t>CONCEPTO PAGO SUELDO 120-01- SUPLENCIA CORRESPONDIENTE AL MES DE OCTUBRE 2024</t>
  </si>
  <si>
    <t>CONCEPTO PAGO SUELDO 000005- TRAMITE DE PENSION CORRESPONDIENTE AL MES DE OCTUBRE 2024</t>
  </si>
  <si>
    <t>CONCEPTO PAGO SUELDO 000017- PERIODO PROBATORIO INGRESO A CARRERA CORRESPONDIENTE AL MES DE OCTUBRE 2024</t>
  </si>
  <si>
    <t>DEPARTAMENTO DE GESTIÓN DE RIESGO</t>
  </si>
  <si>
    <t>DEPARTAMENTO  DE EVALUACIÓN Y DISEÑO ARQUITECTONICO</t>
  </si>
  <si>
    <t xml:space="preserve">            REPORTE DE NÓMINA</t>
  </si>
  <si>
    <t xml:space="preserve">AUXILIAR DE TRANSPORTACIÓN </t>
  </si>
  <si>
    <t>DEPARTAMENTO DE PLANIFICACIÓN Y DESARROLLO</t>
  </si>
  <si>
    <t>ENC. DELEGACIÓN REGIONAL SUR</t>
  </si>
  <si>
    <t>TECNICO DE PROGRAMACIÓN</t>
  </si>
  <si>
    <t>ENC. DEPTO. DE RECOPILACIÓN E INFORMACIÓN GEOESPACIAL</t>
  </si>
  <si>
    <t>CONCEPTO PAGO SUELDO 000005- TRAMITE DE PENSIÓN CORRESPONDIENTE AL MES DE OCTUBRE 2024</t>
  </si>
  <si>
    <t>TECNICO DE COMPRAS Y CONTRATACIONES</t>
  </si>
  <si>
    <t xml:space="preserve">DEPARTAMENTO DE RECOPILACION E INFORMACIÓN GEOSPACIAL </t>
  </si>
  <si>
    <t>CONCEPTO PAGO SUELDO 000018 - FIJOS CORRESPONDIENTE AL MES DE NOVIEMBRE 2024</t>
  </si>
  <si>
    <t>CONCEPTO PAGO SUELDO 000018 - EMPLEADOS TEMPORALES CORRESPONDIENTE AL MES DE NOVIEMBRE 2024</t>
  </si>
  <si>
    <t>CONCEPTO PAGO SUELDO 000007 - PERSONAL DE VIGILANCIA CORRESPONDIENTE AL MES DE NOVIEMBRE 2024</t>
  </si>
  <si>
    <t>CONCEPTO PAGO SUELDO 150-18 - INTERINATO CORRESPONDIENTE AL MES DE NOVIEMBRE 2024</t>
  </si>
  <si>
    <t>CONCEPTO PAGO SUELDO 120-01- SUPLENCIA CORRESPONDIENTE AL MES DE NOVIEMBRE 2024</t>
  </si>
  <si>
    <t>CONCEPTO PAGO SUELDO 000017- PERIODO PROBATORIO INGRESO A CARRERA CORRESPONDIENTE AL MES DE NOVIEMBRE 2024</t>
  </si>
  <si>
    <t>ENCARGADA DEL DEPARTAMENTO DE RECURSOS HUMANOS</t>
  </si>
  <si>
    <t xml:space="preserve">DEPARTAMENTO DE INSTRUMENTACIÓN Y MONITOREO </t>
  </si>
  <si>
    <t>DEPARTAMENTO DE EVALUACIÓN Y DISEÑO ARQUITECTONICO</t>
  </si>
  <si>
    <t>GALVY RAMÓN NUÑEZ CASTRO</t>
  </si>
  <si>
    <t>CLAUDIA DEL CARMEN GERMOSO NUÑEZ</t>
  </si>
  <si>
    <t xml:space="preserve">ENC. DEPTO. DIVISIÓN DE COMPRAS Y CONTRATACIONES </t>
  </si>
  <si>
    <t>PEDRO LUIS ENCARNACIÓN ENCARNACIÓN</t>
  </si>
  <si>
    <t>CONCEPTO PAGO SUELDO 000005- TRAMITE DE PENSIÓN CORRESPONDIENTE AL MES DE NOVIEMBRE 2024</t>
  </si>
  <si>
    <t>CONCEPTO PAGO SUELDO 000018 - FIJOS CORRESPONDIENTE AL MES DE DICIEMBRE 2024</t>
  </si>
  <si>
    <t>CONCEPTO PAGO SUELDO 000018 - EMPLEADOS TEMPORALES CORRESPONDIENTE AL MES DE DICIEMBRE 2024</t>
  </si>
  <si>
    <t>CONCEPTO PAGO SUELDO 000007 - PERSONAL DE VIGILANCIA CORRESPONDIENTE AL MES DE DICIEMBRE 2024</t>
  </si>
  <si>
    <t>CONCEPTO PAGO SUELDO 150-18 - INTERINATO CORRESPONDIENTE AL MES DE DICIEMBRE 2024</t>
  </si>
  <si>
    <t>CONCEPTO PAGO SUELDO 120-01- SUPLENCIA CORRESPONDIENTE AL MES DE DICIEMBRE 2024</t>
  </si>
  <si>
    <t>CONCEPTO PAGO SUELDO 000017- PERIODO PROBATORIO INGRESO A CARRERA CORRESPONDIENTE AL MES DE DICIEMBRE 2024</t>
  </si>
  <si>
    <t>CONCEPTO PAGO SUELDO 000005- TRAMITE DE PENSIÓN CORRESPONDIENTE AL MES DE DICIEMBRE 2024</t>
  </si>
  <si>
    <t>DEPARMENTO DE INSTRUMENTACIÓN Y MONITORIO</t>
  </si>
  <si>
    <t>HILARY PATRICIA SANCHEZ SANCHEZ</t>
  </si>
  <si>
    <t>SECCIÓN DE CONTROL DE BIENES</t>
  </si>
  <si>
    <t>NIEMIA LANTIGUA FERNANDEZ</t>
  </si>
  <si>
    <t>ENC. SECCIÓN DE CONTROL DE BIENES</t>
  </si>
  <si>
    <t xml:space="preserve">ANALISTA DE NÓMINA </t>
  </si>
  <si>
    <t>AURELIO ALMONTE LEBRÓN</t>
  </si>
  <si>
    <t>ADRIAN ALEXANDER SUAZO MARTIR</t>
  </si>
  <si>
    <t xml:space="preserve">ANALISTA DE COMPRA Y CONTRACIONES </t>
  </si>
  <si>
    <t>DEPARTAMENTO DE INSTRUMETANCIÓN Y MONITOREO</t>
  </si>
  <si>
    <t>ENC. DEPTO DE  INSTRUMETANCIÓN Y MONITOREO</t>
  </si>
  <si>
    <t>TECNICO ADMINISTRATIVO</t>
  </si>
  <si>
    <t xml:space="preserve">           OFICINA NACIONAL DE EVALUACIÓN SÍSMICA Y VULNERABILIDAD DE INFRAESTRUCTURA Y EDIFICACIONES </t>
  </si>
  <si>
    <t>Enc.Departamento de  Recursos Humanos</t>
  </si>
  <si>
    <t xml:space="preserve">     Enc. Departamento de  Recursos Humanos</t>
  </si>
  <si>
    <t>Enc. Departamento de  Recursos Humanos</t>
  </si>
  <si>
    <t xml:space="preserve"> Enc. Departamento de  Recursos Humanos</t>
  </si>
  <si>
    <t xml:space="preserve">                Preparado Por: Licda. Yudy B. De Los Santos</t>
  </si>
  <si>
    <t>CONCEPTO PAGO SUELDO 000018 - FIJOS CORRESPONDIENTE AL MES DE ENERO 2025</t>
  </si>
  <si>
    <t>CONCEPTO PAGO SUELDO 000018 - EMPLEADOS TEMPORALES CORRESPONDIENTE AL MES DE ENERO 2025</t>
  </si>
  <si>
    <t>CONCEPTO PAGO SUELDO 000007 - PERSONAL DE VIGILANCIA CORRESPONDIENTE AL MES DE ENERO 2025</t>
  </si>
  <si>
    <t>CONCEPTO PAGO SUELDO 150-18 - INTERINATO CORRESPONDIENTE AL MES DE ENERO 2025</t>
  </si>
  <si>
    <t>CONCEPTO PAGO SUELDO 120-01- SUPLENCIA CORRESPONDIENTE AL MES DE ENERO 2025</t>
  </si>
  <si>
    <t>CONCEPTO PAGO SUELDO 000017- PERIODO PROBATORIO INGRESO A CARRERA CORRESPONDIENTE AL MES DE ENERO 2025</t>
  </si>
  <si>
    <t>CONCEPTO PAGO SUELDO 000005- TRAMITE DE PENSIÓN CORRESPONDIENTE AL MES DE ENERO 2025</t>
  </si>
  <si>
    <t xml:space="preserve">DIRECCIÓN CIENTIFICO SISMO-RESISTENTE </t>
  </si>
  <si>
    <t>ENC. DEPTO. DE ANALISIS DE COSTOS DE INFRAESTRUCTURAS EDIFICACIONES Y LINEAS VITALES</t>
  </si>
  <si>
    <t>AMADO YUNIOR SANCHEZ FORTUNA</t>
  </si>
  <si>
    <t>JOSE ALBERTO MORETA FLORENTINO</t>
  </si>
  <si>
    <t>RAMÓN ALEXANDER DE LA CRUZ POLANCO</t>
  </si>
  <si>
    <t xml:space="preserve">           Enc. División Registro y Control de  Nómina</t>
  </si>
  <si>
    <t xml:space="preserve">   Enc. Departamento de  Recursos Humanos</t>
  </si>
  <si>
    <t>CONCEPTO PAGO SUELDO 000018 - FIJOS CORRESPONDIENTE AL MES DE FEBRERO 2025</t>
  </si>
  <si>
    <t>CONCEPTO PAGO SUELDO 000018 - EMPLEADOS TEMPORALES CORRESPONDIENTE AL MES DE FEBRERO 2025</t>
  </si>
  <si>
    <t>JULIAN MANUEL DIAZ DE MOTA</t>
  </si>
  <si>
    <t>CONCEPTO PAGO SUELDO 000007 - PERSONAL DE VIGILANCIA CORRESPONDIENTE AL MES DE FEBRERO 2025</t>
  </si>
  <si>
    <t>CONCEPTO PAGO SUELDO 150-18 - INTERINATO CORRESPONDIENTE AL MES DE FEBRERO 2025</t>
  </si>
  <si>
    <t>CONCEPTO PAGO SUELDO 120-01- SUPLENCIA CORRESPONDIENTE AL MES DE FEBRERO 2025</t>
  </si>
  <si>
    <t>CONCEPTO PAGO SUELDO 000017- PERIODO PROBATORIO INGRESO A CARRERA CORRESPONDIENTE AL MES DE FEBRERO 2025</t>
  </si>
  <si>
    <t>CONCEPTO PAGO SUELDO 000005- TRAMITE DE PENSIÓN CORRESPONDIENTE AL MES DE FEBRERO 2025</t>
  </si>
  <si>
    <t>SECCIÓN DE CORRESPONDENCIA</t>
  </si>
  <si>
    <t>DIVISIÓN DE SERVICIOS GENERALES</t>
  </si>
  <si>
    <t xml:space="preserve">        Preparado Por: Licda. Yudy B. De Los Santos</t>
  </si>
  <si>
    <t>CONCEPTO PAGO SUELDO 000018 - FIJOS CORRESPONDIENTE AL MES DE MARZO 2025</t>
  </si>
  <si>
    <t>CONCEPTO PAGO SUELDO 000007 - PERSONAL DE VIGILANCIA CORRESPONDIENTE AL MES DE MARZO 2025</t>
  </si>
  <si>
    <t>CONCEPTO PAGO SUELDO 150-18 - INTERINATO CORRESPONDIENTE AL MES DE MARZO 2025</t>
  </si>
  <si>
    <t>CONCEPTO PAGO SUELDO 120-01- SUPLENCIA CORRESPONDIENTE AL MES DE MARZO 2025</t>
  </si>
  <si>
    <t>CONCEPTO PAGO SUELDO 000017- PERIODO PROBATORIO INGRESO A CARRERA CORRESPONDIENTE AL MES DE MARZO 2025</t>
  </si>
  <si>
    <t>CONCEPTO PAGO SUELDO 000005- TRAMITE DE PENSIÓN CORRESPONDIENTE AL MES DE MARZO 2025</t>
  </si>
  <si>
    <t xml:space="preserve">                                                               </t>
  </si>
  <si>
    <t>ENCARGADO DIVISIÓN DE PRESUPUESTO</t>
  </si>
  <si>
    <t xml:space="preserve">ENCARGADO DE DEPARTAMENTO DE INGENIERIA SISMO-RESISTENCIA </t>
  </si>
  <si>
    <t>DIRECCIÓN REGIONAL</t>
  </si>
  <si>
    <t>DEPARTAMENTO DE RECOPILACION  E INFORMACIÓN  GEOESPACIAL</t>
  </si>
  <si>
    <t>ENCARGADA DIVISIÓN REGISTRO Y CONTROL DE NÓMINA</t>
  </si>
  <si>
    <t xml:space="preserve">ENCARGADA DIVISIÓN COOPERACIÓN INTERNACIONAL </t>
  </si>
  <si>
    <t>ESPECIALISTA EN INTRUMENTACIÓN Y MONITOREO</t>
  </si>
  <si>
    <t xml:space="preserve">TECNICO DE INSTRUMENTACIÓN DE ESTRUCTURA </t>
  </si>
  <si>
    <t>ENCARGADA DEL DEPARTAMENTO GESTIÓN DE RIESGO</t>
  </si>
  <si>
    <t xml:space="preserve">       CONCEPTO PAGO SUELDO 000018 - EMPLEADOS TEMPORALES CORRESPONDIENTE AL MES DE MARZO 2025</t>
  </si>
  <si>
    <t xml:space="preserve">OFICINA NACIONAL DE EVALUACIÓN SISMICA Y VULNERABILIDAD DE INFRAESTRUCTURA Y EDIFICACIONES </t>
  </si>
  <si>
    <t>DEPARTAMENTO DE CONTABILIDAD</t>
  </si>
  <si>
    <t>ENC. DEL DEPTO. CONTABILIDAD</t>
  </si>
  <si>
    <t xml:space="preserve">ROSA MARGARITA GONZALEZ ENCARNACIÓN </t>
  </si>
  <si>
    <t>Enc.Departamento de Recursos Humanos</t>
  </si>
  <si>
    <t>DEPARTAMENTO JURÍDICO</t>
  </si>
  <si>
    <t>ENC. DE LA DIVISIÓN DE SERVICIOS GENERALES</t>
  </si>
  <si>
    <t>CONCEPTO PAGO SUELDO 000018 - FIJOS CORRESPONDIENTE AL MES DE ABRIL 2025</t>
  </si>
  <si>
    <t xml:space="preserve">       CONCEPTO PAGO SUELDO 000018 - EMPLEADOS TEMPORALES CORRESPONDIENTE AL MES DE ABRIL 2025</t>
  </si>
  <si>
    <t>CONCEPTO PAGO SUELDO 000007 - PERSONAL DE VIGILANCIA CORRESPONDIENTE AL MES DE ABRIL 2025</t>
  </si>
  <si>
    <t>CONCEPTO PAGO SUELDO 150-18 - INTERINATO CORRESPONDIENTE AL MES DE ABRIL 2025</t>
  </si>
  <si>
    <t>CONCEPTO PAGO SUELDO 120-01- SUPLENCIA CORRESPONDIENTE AL MES DE ABRIL 2025</t>
  </si>
  <si>
    <t>CONCEPTO PAGO SUELDO 000017- PERIODO PROBATORIO INGRESO A CARRERA CORRESPONDIENTE AL MES DE ABRIL 2025</t>
  </si>
  <si>
    <t>CONCEPTO PAGO SUELDO 000005- TRAMITE DE PENSIÓN CORRESPONDIENTE AL MES DE ABRIL 2025</t>
  </si>
  <si>
    <t xml:space="preserve">ANALISTA DE COMPRAS Y CONTRATACIONES </t>
  </si>
  <si>
    <t>DEPARTAMENTO DE RECOPILACIÓN  E INFORMACIÓN  GEOESPACIAL</t>
  </si>
  <si>
    <t>NATHANAEL ARIAS MEJIA</t>
  </si>
  <si>
    <t>JOSE LUIS BAUTISTA DURAN</t>
  </si>
  <si>
    <t>DIVISIÓN DE FORMULACIÓN MONITOREO Y EVALUACIÓN  DE PLANES PROGRAMAS Y PROYECTOS</t>
  </si>
  <si>
    <t>ENC. DIVISIÓN DE FORMULACIÓN MONITOREO Y EVALUACIÓN  DE PLANES PROGRAMAS Y PROYECTOS</t>
  </si>
  <si>
    <t>ENC. DEL DEPARTAMENTO DE RECURSOS HUMANOS</t>
  </si>
  <si>
    <t xml:space="preserve">ENC. DIVISIÓN COOPERACIÓN INTERNACIONAL </t>
  </si>
  <si>
    <t>ENC. DEPTO. DE TECNOLOGIA DE INFORMACIÓN DE COMUNICACIÓN (TIC)</t>
  </si>
  <si>
    <t xml:space="preserve">ENC. DEL DEPARTAMENTO JURIDICO </t>
  </si>
  <si>
    <t>ENC. DIVISIÓN REGISTRO Y CONTROL DE NÓMINA</t>
  </si>
  <si>
    <t xml:space="preserve">DIVISIÓN DE COOPERACIÓN INTERNACIONAL </t>
  </si>
  <si>
    <t xml:space="preserve">       CONCEPTO PAGO SUELDO 000018 - EMPLEADOS TEMPORALES CORRESPONDIENTE AL MES DE MAYO 2025</t>
  </si>
  <si>
    <t>NANCY YOCASTA SANTANA SÁNCHEZ</t>
  </si>
  <si>
    <t>MARÍA MAGDALENA HERNÁNDEZ HERNÁNDEZ</t>
  </si>
  <si>
    <t>ANDRÉS HERNÁNDEZ REINOSO</t>
  </si>
  <si>
    <t>NIEMIA LANTIGUA FERNÁNDEZ</t>
  </si>
  <si>
    <t>CARMEN PATRICIA RODRÍGUEZ SUERO</t>
  </si>
  <si>
    <t>ROSA MARGARITA GONZÁLEZ ENCARNACIÓN</t>
  </si>
  <si>
    <t>DINO CÉSAR RODRÍGUEZ</t>
  </si>
  <si>
    <t>DAVID ESTEBAN MEDRANO AGUILÓ</t>
  </si>
  <si>
    <t>JULIO CÉSAR REFAEL CHECO GÓMEZ</t>
  </si>
  <si>
    <t>DIOGENES LÓPEZ CUSTODIA</t>
  </si>
  <si>
    <t>JOSÉ ENRIQUE FORTUNA QUIÑONEZ</t>
  </si>
  <si>
    <t>LEONARDO ALBERTO POCKELS DÍAZ</t>
  </si>
  <si>
    <t>FLOR MARÍA LIMA RODRÍGUEZ</t>
  </si>
  <si>
    <t>CLAUDIA DEL CARMEN GERMOSO NÚÑEZ</t>
  </si>
  <si>
    <t>REMY LUCIANO BRETÓN</t>
  </si>
  <si>
    <t>FANNY MARIEL RAMOS GÓMEZ</t>
  </si>
  <si>
    <t>MIGUEL DE JESÚS DÍAZ PAREDES</t>
  </si>
  <si>
    <t>MARÍA ELAINE GALVÁN ADAMES</t>
  </si>
  <si>
    <t>ÓSCAR REYES SUERO</t>
  </si>
  <si>
    <t>ARISMILY MASSIEL RODRÍGUEZ REGALADO</t>
  </si>
  <si>
    <t>FRANCIS ALEXANDER RODRÍGUEZ REGALADO</t>
  </si>
  <si>
    <t>NITIDA ISMELKA SÁNCHEZ MARTÍNEZ</t>
  </si>
  <si>
    <t>URI ROLANDO RODRÍGUEZ ALBA</t>
  </si>
  <si>
    <t>MIGUEL LÓPEZ CUEVAS</t>
  </si>
  <si>
    <t>CÁNDIDO ERNESTO POLANCO GRANT</t>
  </si>
  <si>
    <t>DELKA ELIANA ESPINAL DE LEÓN</t>
  </si>
  <si>
    <t>ÁNGEL MERCEDES CONCEPCIÓN</t>
  </si>
  <si>
    <t>ORIBER JOSÉ GÓMEZ LÓPEZ</t>
  </si>
  <si>
    <t>SAMUEL ANTONIO JIMÉNEZ PICHARDO</t>
  </si>
  <si>
    <t>CARMEN DIONNIS MARTÍNEZ CASTILLO</t>
  </si>
  <si>
    <t>RAISA ALEXANDRA MARTÍNEZ SANTANA</t>
  </si>
  <si>
    <t>MARIAN JOSELYN VARGAS HERNÁNDEZ</t>
  </si>
  <si>
    <t>CLARISSA ALTAGRACIA CAPELLÁN ORTEGA</t>
  </si>
  <si>
    <t>ELVIN ANTONIO DUVAL SOLER</t>
  </si>
  <si>
    <t>JHONNY GREGORIO OLIVERO GARCÍA</t>
  </si>
  <si>
    <t>CARLOS ANTONIO ALCALÁ FRANCISCO</t>
  </si>
  <si>
    <t>JENIFFER MILAGROS SUÁREZ ALMONTE</t>
  </si>
  <si>
    <t>ROBERT MICHAEL GÓMEZ HERNÁNDEZ</t>
  </si>
  <si>
    <t>DESCARTES BATISTA FELIZ</t>
  </si>
  <si>
    <t>EDGAR ARIEL FELIZ JIMÉNEZ</t>
  </si>
  <si>
    <t>ANIELKA LÓPEZ INFANTE</t>
  </si>
  <si>
    <t>MALTVIA ABIGAIL MERCEDES ADAMES</t>
  </si>
  <si>
    <t>DANIEL PÉREZ VALDEZ</t>
  </si>
  <si>
    <t>KEILAN FRANCISCO DURÁN</t>
  </si>
  <si>
    <t>GABRIEL GONZÁLEZ PAYANO</t>
  </si>
  <si>
    <t>JOSÉ ALFONSO HO MARTÍNEZ</t>
  </si>
  <si>
    <t>EURÍPIDES ANTONIO DE JESÚS LÓPEZ</t>
  </si>
  <si>
    <t>JAIME TOMÁS MARTÍNEZ RODRÍGUEZ</t>
  </si>
  <si>
    <t>ERIEL EZEQUIEL REYES SAVIÑÓN</t>
  </si>
  <si>
    <t>NÉSTOR DAVID ALCALÁ OJEDA</t>
  </si>
  <si>
    <t>JESÚS SEVERINO</t>
  </si>
  <si>
    <t>CONCEPTO PAGO SUELDO 000007 - PERSONAL DE VIGILANCIA CORRESPONDIENTE AL MES DE MAYO 2025</t>
  </si>
  <si>
    <t>AMADO YUNIOR SÁNCHEZ FORTUNA</t>
  </si>
  <si>
    <t>ADRIÁN ALEXANDER SUAZO MARTÍR</t>
  </si>
  <si>
    <t>JOSÉ ALBERTO MORETA FLORENTINO</t>
  </si>
  <si>
    <t>NATHANAEL ARIAS MEJÍA</t>
  </si>
  <si>
    <t>JOSÉ LUIS BAUTISTA DURÁN</t>
  </si>
  <si>
    <t xml:space="preserve">SECCIÓN DE MAYORDOMIA </t>
  </si>
  <si>
    <t>TÉCNICO DE PROGRAMACIÓN</t>
  </si>
  <si>
    <t xml:space="preserve">TÉCNICO MANEJO DE DRONES </t>
  </si>
  <si>
    <t xml:space="preserve">TÉCNICO DE INSTRUMENTACIÓN DE ESTRUCTURA </t>
  </si>
  <si>
    <t>CONCEPTO PAGO SUELDO 150-18 - INTERINATO CORRESPONDIENTE AL MES DE MAYO 2025</t>
  </si>
  <si>
    <t>CONCEPTO PAGO SUELDO 120-01- SUPLENCIA CORRESPONDIENTE AL MES DE MAYO 2025</t>
  </si>
  <si>
    <t>JOSÉ FRANCISCO CORDERO ARIAS</t>
  </si>
  <si>
    <t>JUDITH VALERA BELTRÁN</t>
  </si>
  <si>
    <t>CRISTIAN FERNANDO PÉREZ ESPINAL</t>
  </si>
  <si>
    <t>CANDY ROCÍO MORFA PAULINO</t>
  </si>
  <si>
    <t>CONCEPTO PAGO SUELDO 000018 - FIJOS CORRESPONDIENTE AL MES DE MAYO 2025</t>
  </si>
  <si>
    <t>LEONARDO DE JESÚS REYES MADERA</t>
  </si>
  <si>
    <t>JOSÉ SALVADOR VELÁZQUEZ FERNANDEZ</t>
  </si>
  <si>
    <t>PETRA ALCÁNTARA CUEVAS</t>
  </si>
  <si>
    <t>JOSE RAMÓN SANTANA RAMÍREZ</t>
  </si>
  <si>
    <t>CÉSAR NUÑEZ LUNA</t>
  </si>
  <si>
    <t xml:space="preserve">ARICELYS PÉREZ </t>
  </si>
  <si>
    <t xml:space="preserve">JESÚS MANUEL LAHOZ AMARANTE </t>
  </si>
  <si>
    <t>PASCUAL DÍAZ</t>
  </si>
  <si>
    <t>JOHANNY MINORIS HERNÁNDEZ MORALES</t>
  </si>
  <si>
    <t xml:space="preserve">ROCÍO DEL ALBA MERCEDES SUERO </t>
  </si>
  <si>
    <t>ESTHER DEL CARMEN CÁCERES DE MEJÍA</t>
  </si>
  <si>
    <t>ÁNGEL LUÍS GERMÁN ANICASIO</t>
  </si>
  <si>
    <t>LINET CABRERA DÍAZ</t>
  </si>
  <si>
    <t>LEÓN ARAMIS JIMÉNEZ GONZÁLEZ</t>
  </si>
  <si>
    <t>JULIO DÍAZ RODRÍGUEZ</t>
  </si>
  <si>
    <t xml:space="preserve">JOSÉ DE LEÓN </t>
  </si>
  <si>
    <t>JULIO CÉSAR VASQUEZ</t>
  </si>
  <si>
    <t>JOSÉ IGNACIO MARTÍNEZ</t>
  </si>
  <si>
    <t xml:space="preserve">FREDDY RAMÓN CELESTINO PERALTA </t>
  </si>
  <si>
    <t>JUAN BERNABÉ DE JESÚS RODRIGUEZ ORTIZ</t>
  </si>
  <si>
    <t>SECCIÓN DE MAYORDOMÍA</t>
  </si>
  <si>
    <t xml:space="preserve">NORMA DÍAZ LEBRÓN                                        </t>
  </si>
  <si>
    <t xml:space="preserve">LUZ ÁNGELA OZUNA </t>
  </si>
  <si>
    <t>MARÍA LUISA LUNA</t>
  </si>
  <si>
    <t xml:space="preserve">YBESI SERRANO FÉLIZ </t>
  </si>
  <si>
    <t xml:space="preserve">MARÍA BOCIO ENCARNACIÓN </t>
  </si>
  <si>
    <t xml:space="preserve">DAMIANA GUZMÁN VARGAS </t>
  </si>
  <si>
    <t>BÁRBARA PAYANO SORIANO</t>
  </si>
  <si>
    <t>TÉCNICO DE CONTABILIDAD</t>
  </si>
  <si>
    <t>LUZ DEL ALBA MARTÍNEZ CAMPAÑA</t>
  </si>
  <si>
    <t>TÉCNICO DE COMPRAS Y CONTRATACIONES</t>
  </si>
  <si>
    <t>FÁTIMA MARCELINA ALMONTE ESTRELLA</t>
  </si>
  <si>
    <t xml:space="preserve">CONTADOR </t>
  </si>
  <si>
    <t xml:space="preserve">
FAUSTO ALBERTO ESTÉVEZ ROJAS</t>
  </si>
  <si>
    <t>SKARLEM RODRÍGUEZ BRITO</t>
  </si>
  <si>
    <t xml:space="preserve">ESTHERLIANNY ALMONTE VALDÉZ </t>
  </si>
  <si>
    <t>DIVISIÓN DE FORMULACIÓN, MONITOREO Y EVALUACIÓN DE PLANES PROGRAMAS Y PROYECTOS</t>
  </si>
  <si>
    <t>DEPARTAMENTO DE TECNOLOGÍA DE INFORMACIÓN DE COMUNICACIÓN</t>
  </si>
  <si>
    <t>SOPORTE TÉCNICO INFORMÁTICO</t>
  </si>
  <si>
    <t>DISEÑADOR GRÁFICO</t>
  </si>
  <si>
    <t>CLARA CLEIDER MONTERO GÓMEZ</t>
  </si>
  <si>
    <t>PEDRO IVÁN MÁRQUEZ MERCERÓN</t>
  </si>
  <si>
    <t>DIRECTOR CIENTÍFICO SISMORRESISTE</t>
  </si>
  <si>
    <t>RAÚL SOSA CRUZ</t>
  </si>
  <si>
    <t>CLAUDIA MICHELLE DE LAS MERCEDES DEVEA</t>
  </si>
  <si>
    <t>HILARY PATRICIA SÁNCHEZ SÁNCHEZ</t>
  </si>
  <si>
    <t>ALEXANDER MÉNDEZ PINEDA</t>
  </si>
  <si>
    <t>DEPARTAMENTO DE EVALUACIÓN Y DISEÑO ARQUITECTÓNICO</t>
  </si>
  <si>
    <t>CEXNIA MARÍA BUENO ORTEGA</t>
  </si>
  <si>
    <t>HENRY BELTRÁN DE PAULA</t>
  </si>
  <si>
    <t xml:space="preserve">ENRIQUE ADALBERTO HERNÁNDEZ CASTILLO </t>
  </si>
  <si>
    <t>ARQUITECTA I</t>
  </si>
  <si>
    <t>HÉCTOR ANTONIO CEDEÑO ALMONTE</t>
  </si>
  <si>
    <t>SAÚL OTTONIEL PÉREZ RAMÍREZ</t>
  </si>
  <si>
    <t>WILLIE MANUEL FÉLIX</t>
  </si>
  <si>
    <t>WILSON JOSÉ BELIARD PÉREZ</t>
  </si>
  <si>
    <t xml:space="preserve">JAIRO SÁNCHEZ BELÉN
</t>
  </si>
  <si>
    <t xml:space="preserve">ISAAC JIMÉNEZ DÍAZ </t>
  </si>
  <si>
    <t>MARIEL TERESA RINCÓN BOCK</t>
  </si>
  <si>
    <t>SAMUEL ALEJANDRO RICHARDS FERNÁNDEZ</t>
  </si>
  <si>
    <t>YAHIR DE JESÚS GUILLÉN SANTANA</t>
  </si>
  <si>
    <t>ENC. DELEGACIÓN REGIONAL NORTE</t>
  </si>
  <si>
    <t>FLAVIO ENRIQUE GARCÍA PÉREZ</t>
  </si>
  <si>
    <t>ENC. DELEGACIÓN REGIONAL ESTE</t>
  </si>
  <si>
    <t>MARISOL MIRANDA LÓPEZ</t>
  </si>
  <si>
    <t>KENIA MARÍA MARTINEZ</t>
  </si>
  <si>
    <t>ALEJANDRINA RUIZ FÉLIZ</t>
  </si>
  <si>
    <t>ESTRELLA COVADONGA RODRÍGUEZ DÍAZ</t>
  </si>
  <si>
    <t>SMARLYN DESIRÉE FERMÍN CASTRO</t>
  </si>
  <si>
    <t>LAURY ESTHER GUEVARA RAMÍREZ</t>
  </si>
  <si>
    <t>RAULÍN ARIEL VARGAS ROGRÍGUEZ</t>
  </si>
  <si>
    <t>VÍCTOR MANUEL OZUNA MATOS</t>
  </si>
  <si>
    <t xml:space="preserve">LEONARDO DE JESÚS FERNANDEZ PEÑALO </t>
  </si>
  <si>
    <t xml:space="preserve">FRANCISCO JOSÉ CASTILLO ROSARIO </t>
  </si>
  <si>
    <t xml:space="preserve">LOURDES ELENA </t>
  </si>
  <si>
    <t>LOURDES YLEANA GOMEZ MARTÍNEZ</t>
  </si>
  <si>
    <t>VERÓNICA ALTAGRACIA CABRERA MENDOZA</t>
  </si>
  <si>
    <t xml:space="preserve">JUANA CASTILLO BÁEZ </t>
  </si>
  <si>
    <t>RÓMULO DE OLEO</t>
  </si>
  <si>
    <t xml:space="preserve">ONÉXIMO RUBIO FÉLIZ </t>
  </si>
  <si>
    <t>PEDRO PABLO PÉREZ</t>
  </si>
  <si>
    <t>HANNLET RAFAEL GARCÍA SUERO</t>
  </si>
  <si>
    <t xml:space="preserve">JUAN ELÍAS HERRERA RAMIREZ </t>
  </si>
  <si>
    <t xml:space="preserve">ADRIÁN ARTURO SILVERIO GÓMEZ </t>
  </si>
  <si>
    <t xml:space="preserve">AMAURY CASTILLO RODRÍGUEZ </t>
  </si>
  <si>
    <t xml:space="preserve">FRANCISCO ENGELS JAVIER GALUTÉN </t>
  </si>
  <si>
    <t>NÉSTOR ANDRÉS TIRADO DÍAZ</t>
  </si>
  <si>
    <t xml:space="preserve">OFICINA DE LIBRE ACCESO A LA INFORMACIÓN </t>
  </si>
  <si>
    <t>CONCEPTO PAGO SUELDO 000005- TRAMITE DE PENSIÓN CORRESPONDIENTE AL MES DE MAYO 2025</t>
  </si>
  <si>
    <t xml:space="preserve">ARQUITECTA </t>
  </si>
  <si>
    <t>IVÁN RADHAMÉS ASENCIO FADUL</t>
  </si>
  <si>
    <t>DELEGACIÓN REGIONAL NORTE</t>
  </si>
  <si>
    <t>DELEGACIÓN REGIONAL SUR</t>
  </si>
  <si>
    <t>DELEGACIÓN REGIONAL ESTE</t>
  </si>
  <si>
    <t xml:space="preserve">DEPARTAMENTO DELEGACIÓN REGIONAL  NORTE SANTIAGO </t>
  </si>
  <si>
    <t xml:space="preserve">DEPARTAMENTO DELEGACIÓN REGIONAL ESTE  LA ROMANA </t>
  </si>
  <si>
    <t xml:space="preserve">DEPARTAMENTO DELEGACIÓN REGIONAL NORTE  PUERTO PLATA </t>
  </si>
  <si>
    <t xml:space="preserve">DEPARTAMENTO DELEGACIÓN REGIONAL SUR BARAHONA </t>
  </si>
  <si>
    <t xml:space="preserve">ENC. DIVISIÓN DE RECLUTAMIENTO, SELECCIÓN Y CAPACITACIÓN DE PERSONAL </t>
  </si>
  <si>
    <t xml:space="preserve">DIVISIÓN DE RECLUTAMIENTO, SELECCIÓN Y CAPACITACIÓN DE PERSONAL </t>
  </si>
  <si>
    <t xml:space="preserve">                Enc. División Registro y Control de  Nómina</t>
  </si>
  <si>
    <t>CONCEPTO PAGO SUELDO 000018 - FIJOS CORRESPONDIENTE AL MES DE JUNIO 2025</t>
  </si>
  <si>
    <t xml:space="preserve">EDDY REYES DE LA ROSA </t>
  </si>
  <si>
    <t xml:space="preserve">       CONCEPTO PAGO SUELDO 000018 - EMPLEADOS TEMPORALES CORRESPONDIENTE AL MES DE JUNIO 2025</t>
  </si>
  <si>
    <t xml:space="preserve">ANALISTA DE COMPRAS </t>
  </si>
  <si>
    <t xml:space="preserve">CLARA CLEIDER MONTERO GÓMEZ </t>
  </si>
  <si>
    <t xml:space="preserve">SOPORTE TÉCNICO </t>
  </si>
  <si>
    <t xml:space="preserve">ZORAIDA DISLA MORALES </t>
  </si>
  <si>
    <t xml:space="preserve">ENCARGADA DEPARTAMENTO DE EVALUACIÓN Y DISEÑO ARQUITECTONICO </t>
  </si>
  <si>
    <t xml:space="preserve">MARIEL TERESA RINCON BOCK </t>
  </si>
  <si>
    <t xml:space="preserve">ENC. DEPTO. DE INSTRUMENTACIÓN Y MONITOREO </t>
  </si>
  <si>
    <t>CONCEPTO PAGO SUELDO 150-18 - INTERINATO CORRESPONDIENTE AL MES DE JUNIO 2025</t>
  </si>
  <si>
    <t>CONCEPTO PAGO SUELDO 120-01- SUPLENCIA CORRESPONDIENTE AL MES DE JUNIO 2025</t>
  </si>
  <si>
    <t>CONCEPTO PAGO SUELDO 000005- TRAMITE DE PENSIÓN CORRESPONDIENTE AL MES DE JUNIO 2025</t>
  </si>
  <si>
    <t>CONCEPTO PAGO SUELDO 000007 - PERSONAL DE VIGILANCIA CORRESPONDIENTE AL MES DE JUNIO 2025</t>
  </si>
  <si>
    <t xml:space="preserve">DEPARTAMENTO DELEGACIONES REGIONALES </t>
  </si>
  <si>
    <t>DELEGACIÓN REGIONAL NORTE SANTIAGO</t>
  </si>
  <si>
    <t xml:space="preserve">DELEGACIÓN REGIONAL ESTE PUERTO PLATA </t>
  </si>
  <si>
    <t>DELEGACIÓN REGIONAL SUR BARAHONA</t>
  </si>
  <si>
    <t xml:space="preserve">PEDRO PABLO  ROSA PIERRE </t>
  </si>
  <si>
    <t xml:space="preserve">RAYMOND ELIZARDO ESPINAL SEGURA </t>
  </si>
  <si>
    <t xml:space="preserve">STARLING JAVIER ARACENAS ROJAS </t>
  </si>
  <si>
    <t xml:space="preserve">SUBTOTAL </t>
  </si>
  <si>
    <t>CONCEPTO PAGO SUELDO 000018 - FIJOS CORRESPONDIENTE AL MES DE JULIO 2025</t>
  </si>
  <si>
    <t xml:space="preserve">       CONCEPTO PAGO SUELDO 000018 - EMPLEADOS TEMPORALES CORRESPONDIENTE AL MES DE JULIO 2025</t>
  </si>
  <si>
    <t>CONCEPTO PAGO SUELDO 150-18 - INTERINATO CORRESPONDIENTE AL MES DE JULIO 2025</t>
  </si>
  <si>
    <t>CONCEPTO PAGO SUELDO 120-01- SUPLENCIA CORRESPONDIENTE AL MES DE JULIO 2025</t>
  </si>
  <si>
    <t xml:space="preserve">INGENIERA CIVIL </t>
  </si>
  <si>
    <t xml:space="preserve">ARQUITECTO </t>
  </si>
  <si>
    <t>DEPARTAMENTO DELEGACIÓN REGIONAL ESTE (SAN PEDRO DE MACORÍS)</t>
  </si>
  <si>
    <t xml:space="preserve">DEPARTAMENTO DELEGACIÓN REGIONAL NORTE ( PUERTO PLATA) </t>
  </si>
  <si>
    <t xml:space="preserve">DEPARTAMENTO DELEGACIÓN REGIONAL SUR (BARAHONA) </t>
  </si>
  <si>
    <t>FOTÓGRAFO</t>
  </si>
  <si>
    <t>SUPERVISOR DE MAYORDOMÍA</t>
  </si>
  <si>
    <t xml:space="preserve">HECTOR FELIZ FELIZ </t>
  </si>
  <si>
    <t>DANIEL AGRAMONTE PANIAGUA</t>
  </si>
  <si>
    <t>YANNY ESTHER CABRAL DE LAHOZ</t>
  </si>
  <si>
    <t>ENC. DE LA DELEGACIÓN NORTE</t>
  </si>
  <si>
    <t>SECCIÓN DE ATENCIÓN AL USUARIO</t>
  </si>
  <si>
    <t>OFICIAL DE ATENCIÓN AL USUARIO</t>
  </si>
  <si>
    <t>YULISSA MERCEDES ALMONTE ALMONTE</t>
  </si>
  <si>
    <t>GREGORY MIGUEL PEQUERO PEQUERO</t>
  </si>
  <si>
    <t>ELVI DE JESÚS CHECO GÓMEZ</t>
  </si>
  <si>
    <t>DELEGACIÓN REGIONAL NORTE (SANTIAGO)</t>
  </si>
  <si>
    <t>DELEGACIÓN REGIONAL ESTE (PUERTO PLATA)</t>
  </si>
  <si>
    <t>DELEGACIÓN REGIONAL SUR (BARAHONA)</t>
  </si>
  <si>
    <t xml:space="preserve">DEPARTAMENTO DE COMUNICACIONES </t>
  </si>
  <si>
    <t>FRANCIS ALEXANDER RODRÍGUEZ REYES</t>
  </si>
  <si>
    <t>ANA ANYELINA LOPEZ SANTOS</t>
  </si>
  <si>
    <t>ENC. DEPARTAMENTO DE COMUNICACIÓN</t>
  </si>
  <si>
    <t xml:space="preserve">TOMAS ELÍAS CONCEPCIÓN </t>
  </si>
  <si>
    <t xml:space="preserve">RAYLIN MORDAN ABAD </t>
  </si>
  <si>
    <t>FRANKLIN GREGORIO VALDEZ</t>
  </si>
  <si>
    <t>ELIZANDRO RAYMOND ESPINAL SEGURA</t>
  </si>
  <si>
    <t>WANDOL AMADOR</t>
  </si>
  <si>
    <t>AMBIORYS REYES SÁNCHEZ</t>
  </si>
  <si>
    <t>ANDRÉS JULIO MATEO MATEO</t>
  </si>
  <si>
    <t xml:space="preserve">PEDRO PABLO ROSA PIERRE </t>
  </si>
  <si>
    <t>CONCEPTO PAGO SUELDO 000007 - PERSONAL DE VIGILANCIA CORRESPONDIENTE AL MES DE JULIO 2025</t>
  </si>
  <si>
    <t xml:space="preserve">DEPARTAMENTO DELEGACIÓN REGIONAL ESTE (SAN PEDRO DE MACORÍS) </t>
  </si>
  <si>
    <t>CONCEPTO PAGO SUELDO 000018 - FIJOS CORRESPONDIENTE AL MES DE AGOSTO 2025</t>
  </si>
  <si>
    <t>SUB DIRECTORA</t>
  </si>
  <si>
    <t>EDWIN JOSÉ GARCIA</t>
  </si>
  <si>
    <t>DAVID ENRIQUE ALCANTARA FELIZ</t>
  </si>
  <si>
    <t>.</t>
  </si>
  <si>
    <t>CONCEPTO PAGO SUELDO 150-18 - INTERINATO CORRESPONDIENTE AL MES DE AGOSTO 2025</t>
  </si>
  <si>
    <t>CONCEPTO PAGO SUELDO 120-01- SUPLENCIA CORRESPONDIENTE AL MES DE AGOSTO 2025</t>
  </si>
  <si>
    <t>CONCEPTO PAGO SUELDO 000007 - PERSONAL DE VIGILANCIA CORRESPONDIENTE AL MES DE AGOSTO 2025</t>
  </si>
  <si>
    <t xml:space="preserve">   Enc. División Registro y Control de Nómina</t>
  </si>
  <si>
    <t xml:space="preserve">       CONCEPTO PAGO SUELDO 000018 - EMPLEADOS TEMPORALES CORRESPONDIENTE AL MES DE AGOSTO 2025</t>
  </si>
  <si>
    <t>CONCEPTO PAGO SUELDO 000018 - FIJOS CORRESPONDIENTE AL MES DE SEPTIEMBRE 2025</t>
  </si>
  <si>
    <t xml:space="preserve">       CONCEPTO PAGO SUELDO 000018 - EMPLEADOS TEMPORALES CORRESPONDIENTE AL MES DE SEPTIEMBRE 2025</t>
  </si>
  <si>
    <t>CONCEPTO PAGO SUELDO 150-18 - INTERINATO CORRESPONDIENTE AL MES DE SEPTIEMBRE 2025</t>
  </si>
  <si>
    <t>CONCEPTO PAGO SUELDO 120-01- SUPLENCIA CORRESPONDIENTE AL MES DE SEPTIEMBRE 2025</t>
  </si>
  <si>
    <t>CONCEPTO PAGO SUELDO 000007 - PERSONAL DE VIGILANCIA CORRESPONDIENTE AL MES DE SEPTIEMBRE 2025</t>
  </si>
  <si>
    <t>DILEISY LINAREZ</t>
  </si>
  <si>
    <t>RABZARIS GARVIN CORREA BIERD</t>
  </si>
  <si>
    <t>DIVISÓN DE RECLUTAMIENTO SELECCIÓN Y CAPACITACIÓN DE PERSONAL</t>
  </si>
  <si>
    <t>LESLI ALTAGRACIA PIMENTEL</t>
  </si>
  <si>
    <t>ANALISTA DE CAPACITACIÓN Y DESARROLLO</t>
  </si>
  <si>
    <t>MARIA CAROLINA DUVERGE VARGAS</t>
  </si>
  <si>
    <t>ANALISTA DESARROLLO INSTITUCIONAL</t>
  </si>
  <si>
    <t>JONAS GABRIEL LORENZO BALBUENA</t>
  </si>
  <si>
    <t>CONCEPTO PAGO SUELDO 000018 - FIJOS CORRESPONDIENTE AL MES DE OCTUBRE 2025</t>
  </si>
  <si>
    <t xml:space="preserve">       CONCEPTO PAGO SUELDO 000018 - EMPLEADOS TEMPORALES CORRESPONDIENTE AL MES DE OCTUBRE 2025</t>
  </si>
  <si>
    <t>CONCEPTO PAGO SUELDO 150-18 - INTERINATO CORRESPONDIENTE AL MES DE OCTUBRE 2025</t>
  </si>
  <si>
    <t>CONCEPTO PAGO SUELDO 120-01- SUPLENCIA CORRESPONDIENTE AL MES DE OCTUBRE 2025</t>
  </si>
  <si>
    <t>CONCEPTO PAGO SUELDO 000007 - PERSONAL DE VIGILANCIA CORRESPONDIENTE AL MES DE OCTUBRE 2025</t>
  </si>
  <si>
    <t>ALEXANDRA BRITO DE LA CRUZ</t>
  </si>
  <si>
    <t>GUILLERMO ENRIQUE LÓPEZ DÍAZ</t>
  </si>
  <si>
    <t>CONCEPTO PAGO SUELDO 000018 - FIJOS CORRESPONDIENTE AL MES DE NOVIEMBRE 2025</t>
  </si>
  <si>
    <t xml:space="preserve">       CONCEPTO PAGO SUELDO 000018 - EMPLEADOS TEMPORALES CORRESPONDIENTE AL MES DE NOVIEMBRE 2025</t>
  </si>
  <si>
    <t>CONCEPTO PAGO SUELDO 120-01- SUPLENCIA CORRESPONDIENTE AL MES DE NOVIEMBRE 2025</t>
  </si>
  <si>
    <t>CONCEPTO PAGO SUELDO 000007 - PERSONAL DE VIGILANCIA CORRESPONDIENTE AL MES DE NOVIEMBRE 2025</t>
  </si>
  <si>
    <t>RAILENY MICHELLE PÉREZ BRITO</t>
  </si>
  <si>
    <t>HAMINGTON ELIEZER TORRES GARCIA</t>
  </si>
  <si>
    <t>CHOFER I</t>
  </si>
  <si>
    <t>ENC. DE LA DIVISIÓN DE CONTABILIDAD</t>
  </si>
  <si>
    <t>ENC. DIVISIÓN DE SERVICIOS GENERALES</t>
  </si>
  <si>
    <t>MANUELA PERALTA PICHARDO</t>
  </si>
  <si>
    <t>ENC. SECCIÓN DE PRESUPUESTO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</si>
</sst>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_(* #,##0.00_);_(* \(#,##0.00\);_(* \-??_);_(@_)"/>
    <numFmt numFmtId="165" formatCode="_([$$-1C0A]* #,##0.00_);_([$$-1C0A]* \(#,##0.00\);_([$$-1C0A]* &quot;-&quot;??_);_(@_)"/>
    <numFmt numFmtId="166" formatCode="dd/mm/yyyy;@"/>
  </numFmts>
  <fonts count="63" x14ac:knownFonts="1">
    <font>
      <sz val="11"/>
      <color indexed="8"/>
      <name val="Calibri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6"/>
      <color indexed="8"/>
      <name val="Calibri"/>
      <family val="2"/>
      <scheme val="minor"/>
    </font>
    <font>
      <sz val="10"/>
      <color theme="0"/>
      <name val="Calibri"/>
      <family val="2"/>
    </font>
    <font>
      <sz val="8"/>
      <name val="Calibri"/>
      <family val="2"/>
    </font>
    <font>
      <b/>
      <sz val="14"/>
      <color theme="1"/>
      <name val="Calibri"/>
      <family val="2"/>
      <scheme val="minor"/>
    </font>
    <font>
      <b/>
      <sz val="11"/>
      <color rgb="FF000000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14"/>
      <color indexed="8"/>
      <name val="Calibri"/>
      <family val="2"/>
    </font>
    <font>
      <b/>
      <sz val="14"/>
      <color rgb="FF000000"/>
      <name val="Calibri"/>
      <family val="2"/>
      <scheme val="minor"/>
    </font>
    <font>
      <b/>
      <sz val="10"/>
      <color theme="1"/>
      <name val="Calibri"/>
      <family val="2"/>
      <scheme val="minor"/>
    </font>
    <font>
      <b/>
      <sz val="9"/>
      <color indexed="8"/>
      <name val="Calibri"/>
      <family val="2"/>
    </font>
  </fonts>
  <fills count="17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79998168889431442"/>
        <bgColor indexed="64"/>
      </patternFill>
    </fill>
  </fills>
  <borders count="99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</borders>
  <cellStyleXfs count="5">
    <xf numFmtId="0" fontId="0" fillId="0" borderId="0"/>
    <xf numFmtId="164" fontId="11" fillId="0" borderId="0" applyFill="0" applyBorder="0" applyAlignment="0" applyProtection="0"/>
    <xf numFmtId="164" fontId="11" fillId="0" borderId="0" applyFill="0" applyBorder="0" applyAlignment="0" applyProtection="0"/>
    <xf numFmtId="44" fontId="2" fillId="0" borderId="0" applyFill="0" applyBorder="0" applyAlignment="0" applyProtection="0"/>
    <xf numFmtId="0" fontId="11" fillId="0" borderId="0"/>
  </cellStyleXfs>
  <cellXfs count="1774">
    <xf numFmtId="0" fontId="0" fillId="0" borderId="0" xfId="0"/>
    <xf numFmtId="0" fontId="4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3" fillId="2" borderId="1" xfId="0" applyFont="1" applyFill="1" applyBorder="1" applyAlignment="1">
      <alignment horizontal="center"/>
    </xf>
    <xf numFmtId="0" fontId="3" fillId="2" borderId="2" xfId="0" applyFont="1" applyFill="1" applyBorder="1" applyAlignment="1">
      <alignment horizontal="center"/>
    </xf>
    <xf numFmtId="0" fontId="3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3" fillId="0" borderId="0" xfId="0" applyFont="1" applyAlignment="1">
      <alignment horizontal="center"/>
    </xf>
    <xf numFmtId="0" fontId="0" fillId="0" borderId="0" xfId="0" applyAlignment="1">
      <alignment horizontal="center"/>
    </xf>
    <xf numFmtId="14" fontId="0" fillId="0" borderId="4" xfId="0" applyNumberFormat="1" applyBorder="1" applyAlignment="1">
      <alignment horizontal="left"/>
    </xf>
    <xf numFmtId="14" fontId="0" fillId="0" borderId="4" xfId="0" applyNumberFormat="1" applyBorder="1" applyAlignment="1">
      <alignment horizontal="center"/>
    </xf>
    <xf numFmtId="14" fontId="0" fillId="0" borderId="7" xfId="0" applyNumberFormat="1" applyBorder="1" applyAlignment="1">
      <alignment horizontal="left"/>
    </xf>
    <xf numFmtId="14" fontId="0" fillId="0" borderId="7" xfId="0" applyNumberFormat="1" applyBorder="1" applyAlignment="1">
      <alignment horizontal="center"/>
    </xf>
    <xf numFmtId="0" fontId="0" fillId="0" borderId="12" xfId="0" applyBorder="1"/>
    <xf numFmtId="14" fontId="0" fillId="0" borderId="12" xfId="0" applyNumberFormat="1" applyBorder="1" applyAlignment="1">
      <alignment horizontal="left"/>
    </xf>
    <xf numFmtId="1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5" fillId="0" borderId="14" xfId="0" applyFont="1" applyBorder="1" applyAlignment="1">
      <alignment horizontal="center"/>
    </xf>
    <xf numFmtId="0" fontId="3" fillId="2" borderId="15" xfId="0" applyFont="1" applyFill="1" applyBorder="1" applyAlignment="1">
      <alignment horizontal="center"/>
    </xf>
    <xf numFmtId="0" fontId="3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3" fillId="2" borderId="21" xfId="0" applyNumberFormat="1" applyFont="1" applyFill="1" applyBorder="1"/>
    <xf numFmtId="4" fontId="3" fillId="2" borderId="16" xfId="0" applyNumberFormat="1" applyFont="1" applyFill="1" applyBorder="1"/>
    <xf numFmtId="4" fontId="0" fillId="0" borderId="0" xfId="0" applyNumberFormat="1"/>
    <xf numFmtId="0" fontId="3" fillId="0" borderId="17" xfId="0" applyFont="1" applyBorder="1"/>
    <xf numFmtId="0" fontId="3" fillId="0" borderId="7" xfId="0" applyFont="1" applyBorder="1"/>
    <xf numFmtId="0" fontId="3" fillId="2" borderId="1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3" fillId="2" borderId="16" xfId="0" applyNumberFormat="1" applyFont="1" applyFill="1" applyBorder="1" applyAlignment="1">
      <alignment horizontal="center" vertical="center"/>
    </xf>
    <xf numFmtId="2" fontId="3" fillId="2" borderId="16" xfId="0" applyNumberFormat="1" applyFont="1" applyFill="1" applyBorder="1" applyAlignment="1">
      <alignment horizontal="center" vertical="center"/>
    </xf>
    <xf numFmtId="4" fontId="3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4" fontId="0" fillId="0" borderId="18" xfId="0" applyNumberFormat="1" applyBorder="1" applyAlignment="1">
      <alignment horizontal="left"/>
    </xf>
    <xf numFmtId="1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4" fontId="0" fillId="0" borderId="10" xfId="0" applyNumberFormat="1" applyBorder="1" applyAlignment="1">
      <alignment horizontal="left"/>
    </xf>
    <xf numFmtId="1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4" fontId="0" fillId="0" borderId="15" xfId="0" applyNumberFormat="1" applyBorder="1" applyAlignment="1">
      <alignment horizontal="left"/>
    </xf>
    <xf numFmtId="1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3" fillId="0" borderId="0" xfId="0" applyFont="1" applyAlignment="1">
      <alignment horizontal="center" vertical="center" wrapText="1"/>
    </xf>
    <xf numFmtId="4" fontId="3" fillId="0" borderId="0" xfId="0" applyNumberFormat="1" applyFont="1" applyAlignment="1">
      <alignment horizontal="center" vertical="center"/>
    </xf>
    <xf numFmtId="2" fontId="3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4" fontId="4" fillId="0" borderId="0" xfId="0" applyNumberFormat="1" applyFont="1" applyAlignment="1">
      <alignment horizontal="center"/>
    </xf>
    <xf numFmtId="0" fontId="6" fillId="3" borderId="0" xfId="0" applyFont="1" applyFill="1" applyAlignment="1">
      <alignment horizontal="center" vertical="center" wrapText="1"/>
    </xf>
    <xf numFmtId="4" fontId="3" fillId="3" borderId="0" xfId="0" applyNumberFormat="1" applyFont="1" applyFill="1" applyAlignment="1">
      <alignment horizontal="center" vertical="center"/>
    </xf>
    <xf numFmtId="2" fontId="3" fillId="3" borderId="0" xfId="0" applyNumberFormat="1" applyFont="1" applyFill="1" applyAlignment="1">
      <alignment horizontal="center" vertical="center"/>
    </xf>
    <xf numFmtId="0" fontId="8" fillId="0" borderId="0" xfId="0" applyFont="1" applyAlignment="1">
      <alignment horizontal="center"/>
    </xf>
    <xf numFmtId="0" fontId="9" fillId="0" borderId="0" xfId="0" applyFont="1" applyAlignment="1">
      <alignment horizontal="center"/>
    </xf>
    <xf numFmtId="0" fontId="7" fillId="2" borderId="15" xfId="0" applyFont="1" applyFill="1" applyBorder="1" applyAlignment="1">
      <alignment horizontal="center"/>
    </xf>
    <xf numFmtId="0" fontId="7" fillId="2" borderId="16" xfId="0" applyFont="1" applyFill="1" applyBorder="1"/>
    <xf numFmtId="0" fontId="9" fillId="0" borderId="0" xfId="0" applyFont="1"/>
    <xf numFmtId="0" fontId="7" fillId="0" borderId="17" xfId="0" applyFont="1" applyBorder="1"/>
    <xf numFmtId="0" fontId="9" fillId="0" borderId="3" xfId="0" applyFont="1" applyBorder="1"/>
    <xf numFmtId="0" fontId="9" fillId="0" borderId="4" xfId="0" applyFont="1" applyBorder="1" applyAlignment="1">
      <alignment horizontal="center"/>
    </xf>
    <xf numFmtId="0" fontId="9" fillId="0" borderId="4" xfId="0" applyFont="1" applyBorder="1"/>
    <xf numFmtId="0" fontId="9" fillId="0" borderId="18" xfId="0" applyFont="1" applyBorder="1" applyAlignment="1">
      <alignment horizontal="center" vertical="center" wrapText="1"/>
    </xf>
    <xf numFmtId="4" fontId="9" fillId="0" borderId="4" xfId="0" applyNumberFormat="1" applyFont="1" applyBorder="1"/>
    <xf numFmtId="2" fontId="9" fillId="0" borderId="4" xfId="0" applyNumberFormat="1" applyFont="1" applyBorder="1"/>
    <xf numFmtId="4" fontId="9" fillId="0" borderId="7" xfId="0" applyNumberFormat="1" applyFont="1" applyBorder="1"/>
    <xf numFmtId="2" fontId="9" fillId="0" borderId="7" xfId="0" applyNumberFormat="1" applyFont="1" applyBorder="1"/>
    <xf numFmtId="0" fontId="7" fillId="0" borderId="7" xfId="0" applyFont="1" applyBorder="1"/>
    <xf numFmtId="0" fontId="9" fillId="0" borderId="7" xfId="0" applyFont="1" applyBorder="1"/>
    <xf numFmtId="4" fontId="9" fillId="0" borderId="21" xfId="0" applyNumberFormat="1" applyFont="1" applyBorder="1"/>
    <xf numFmtId="0" fontId="9" fillId="0" borderId="24" xfId="0" applyFont="1" applyBorder="1"/>
    <xf numFmtId="2" fontId="9" fillId="0" borderId="10" xfId="0" applyNumberFormat="1" applyFont="1" applyBorder="1"/>
    <xf numFmtId="4" fontId="9" fillId="0" borderId="10" xfId="0" applyNumberFormat="1" applyFont="1" applyBorder="1"/>
    <xf numFmtId="0" fontId="9" fillId="0" borderId="20" xfId="0" applyFont="1" applyBorder="1"/>
    <xf numFmtId="0" fontId="9" fillId="0" borderId="10" xfId="0" applyFont="1" applyBorder="1" applyAlignment="1">
      <alignment horizontal="center"/>
    </xf>
    <xf numFmtId="0" fontId="9" fillId="0" borderId="10" xfId="0" applyFont="1" applyBorder="1"/>
    <xf numFmtId="0" fontId="9" fillId="0" borderId="10" xfId="0" applyFont="1" applyBorder="1" applyAlignment="1">
      <alignment horizontal="center" vertical="center" wrapText="1"/>
    </xf>
    <xf numFmtId="0" fontId="7" fillId="2" borderId="0" xfId="0" applyFont="1" applyFill="1" applyAlignment="1">
      <alignment horizontal="center" wrapText="1"/>
    </xf>
    <xf numFmtId="4" fontId="7" fillId="2" borderId="0" xfId="0" applyNumberFormat="1" applyFont="1" applyFill="1" applyAlignment="1">
      <alignment horizontal="right"/>
    </xf>
    <xf numFmtId="2" fontId="7" fillId="2" borderId="0" xfId="0" applyNumberFormat="1" applyFont="1" applyFill="1" applyAlignment="1">
      <alignment horizontal="right"/>
    </xf>
    <xf numFmtId="0" fontId="7" fillId="3" borderId="0" xfId="0" applyFont="1" applyFill="1" applyAlignment="1">
      <alignment horizontal="center" wrapText="1"/>
    </xf>
    <xf numFmtId="4" fontId="7" fillId="3" borderId="0" xfId="0" applyNumberFormat="1" applyFont="1" applyFill="1" applyAlignment="1">
      <alignment horizontal="right"/>
    </xf>
    <xf numFmtId="2" fontId="7" fillId="3" borderId="0" xfId="0" applyNumberFormat="1" applyFont="1" applyFill="1" applyAlignment="1">
      <alignment horizontal="right"/>
    </xf>
    <xf numFmtId="0" fontId="7" fillId="0" borderId="0" xfId="0" applyFont="1" applyAlignment="1">
      <alignment horizontal="center"/>
    </xf>
    <xf numFmtId="0" fontId="7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4" fontId="0" fillId="3" borderId="7" xfId="0" applyNumberFormat="1" applyFill="1" applyBorder="1" applyAlignment="1">
      <alignment horizontal="center"/>
    </xf>
    <xf numFmtId="14" fontId="0" fillId="3" borderId="10" xfId="0" applyNumberFormat="1" applyFill="1" applyBorder="1" applyAlignment="1">
      <alignment horizontal="center"/>
    </xf>
    <xf numFmtId="0" fontId="7" fillId="2" borderId="7" xfId="0" applyFont="1" applyFill="1" applyBorder="1" applyAlignment="1">
      <alignment horizontal="center"/>
    </xf>
    <xf numFmtId="0" fontId="7" fillId="2" borderId="7" xfId="0" applyFont="1" applyFill="1" applyBorder="1"/>
    <xf numFmtId="0" fontId="9" fillId="3" borderId="7" xfId="0" applyFont="1" applyFill="1" applyBorder="1"/>
    <xf numFmtId="0" fontId="9" fillId="0" borderId="7" xfId="0" applyFont="1" applyBorder="1" applyAlignment="1">
      <alignment horizontal="center"/>
    </xf>
    <xf numFmtId="0" fontId="9" fillId="0" borderId="7" xfId="0" applyFont="1" applyBorder="1" applyAlignment="1">
      <alignment horizontal="center" vertical="center" wrapText="1"/>
    </xf>
    <xf numFmtId="0" fontId="9" fillId="0" borderId="7" xfId="0" applyFont="1" applyBorder="1" applyAlignment="1">
      <alignment horizontal="left"/>
    </xf>
    <xf numFmtId="0" fontId="10" fillId="3" borderId="7" xfId="0" applyFont="1" applyFill="1" applyBorder="1"/>
    <xf numFmtId="0" fontId="9" fillId="4" borderId="7" xfId="0" applyFont="1" applyFill="1" applyBorder="1"/>
    <xf numFmtId="0" fontId="9" fillId="5" borderId="7" xfId="0" applyFont="1" applyFill="1" applyBorder="1"/>
    <xf numFmtId="0" fontId="3" fillId="0" borderId="0" xfId="0" applyFont="1" applyAlignment="1">
      <alignment horizontal="right"/>
    </xf>
    <xf numFmtId="0" fontId="6" fillId="0" borderId="0" xfId="0" applyFont="1" applyAlignment="1">
      <alignment horizontal="center" vertical="center" wrapText="1"/>
    </xf>
    <xf numFmtId="0" fontId="28" fillId="5" borderId="7" xfId="0" applyFont="1" applyFill="1" applyBorder="1"/>
    <xf numFmtId="0" fontId="29" fillId="4" borderId="7" xfId="0" applyFont="1" applyFill="1" applyBorder="1"/>
    <xf numFmtId="0" fontId="29" fillId="5" borderId="7" xfId="0" applyFont="1" applyFill="1" applyBorder="1" applyAlignment="1">
      <alignment horizontal="center"/>
    </xf>
    <xf numFmtId="0" fontId="29" fillId="5" borderId="7" xfId="0" applyFont="1" applyFill="1" applyBorder="1"/>
    <xf numFmtId="0" fontId="29" fillId="5" borderId="7" xfId="0" applyFont="1" applyFill="1" applyBorder="1" applyAlignment="1">
      <alignment horizontal="center" vertical="center" wrapText="1"/>
    </xf>
    <xf numFmtId="4" fontId="29" fillId="5" borderId="7" xfId="0" applyNumberFormat="1" applyFont="1" applyFill="1" applyBorder="1"/>
    <xf numFmtId="2" fontId="29" fillId="5" borderId="7" xfId="0" applyNumberFormat="1" applyFont="1" applyFill="1" applyBorder="1"/>
    <xf numFmtId="0" fontId="29" fillId="5" borderId="7" xfId="0" applyFont="1" applyFill="1" applyBorder="1" applyAlignment="1">
      <alignment horizontal="left"/>
    </xf>
    <xf numFmtId="0" fontId="29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3" fillId="2" borderId="30" xfId="0" applyNumberFormat="1" applyFont="1" applyFill="1" applyBorder="1" applyAlignment="1">
      <alignment horizontal="center" vertical="center"/>
    </xf>
    <xf numFmtId="2" fontId="3" fillId="2" borderId="30" xfId="0" applyNumberFormat="1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/>
    </xf>
    <xf numFmtId="0" fontId="3" fillId="0" borderId="30" xfId="0" applyFont="1" applyBorder="1"/>
    <xf numFmtId="0" fontId="3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4" fontId="0" fillId="0" borderId="30" xfId="0" applyNumberFormat="1" applyBorder="1" applyAlignment="1">
      <alignment horizontal="center"/>
    </xf>
    <xf numFmtId="14" fontId="30" fillId="0" borderId="30" xfId="0" applyNumberFormat="1" applyFont="1" applyBorder="1" applyAlignment="1">
      <alignment horizontal="left"/>
    </xf>
    <xf numFmtId="14" fontId="30" fillId="0" borderId="30" xfId="0" applyNumberFormat="1" applyFont="1" applyBorder="1" applyAlignment="1">
      <alignment horizontal="center"/>
    </xf>
    <xf numFmtId="0" fontId="0" fillId="6" borderId="30" xfId="0" applyFill="1" applyBorder="1"/>
    <xf numFmtId="14" fontId="30" fillId="6" borderId="30" xfId="0" applyNumberFormat="1" applyFont="1" applyFill="1" applyBorder="1" applyAlignment="1">
      <alignment horizontal="left"/>
    </xf>
    <xf numFmtId="14" fontId="30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3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3" fillId="2" borderId="34" xfId="0" applyNumberFormat="1" applyFont="1" applyFill="1" applyBorder="1" applyAlignment="1">
      <alignment horizontal="center" vertical="center"/>
    </xf>
    <xf numFmtId="0" fontId="31" fillId="5" borderId="7" xfId="0" applyFont="1" applyFill="1" applyBorder="1"/>
    <xf numFmtId="0" fontId="32" fillId="4" borderId="7" xfId="0" applyFont="1" applyFill="1" applyBorder="1"/>
    <xf numFmtId="0" fontId="32" fillId="5" borderId="7" xfId="0" applyFont="1" applyFill="1" applyBorder="1" applyAlignment="1">
      <alignment horizontal="center"/>
    </xf>
    <xf numFmtId="0" fontId="32" fillId="5" borderId="7" xfId="0" applyFont="1" applyFill="1" applyBorder="1"/>
    <xf numFmtId="0" fontId="32" fillId="5" borderId="7" xfId="0" applyFont="1" applyFill="1" applyBorder="1" applyAlignment="1">
      <alignment horizontal="center" vertical="center" wrapText="1"/>
    </xf>
    <xf numFmtId="4" fontId="32" fillId="5" borderId="7" xfId="0" applyNumberFormat="1" applyFont="1" applyFill="1" applyBorder="1"/>
    <xf numFmtId="2" fontId="32" fillId="5" borderId="7" xfId="0" applyNumberFormat="1" applyFont="1" applyFill="1" applyBorder="1"/>
    <xf numFmtId="0" fontId="32" fillId="5" borderId="7" xfId="0" applyFont="1" applyFill="1" applyBorder="1" applyAlignment="1">
      <alignment horizontal="left"/>
    </xf>
    <xf numFmtId="0" fontId="32" fillId="5" borderId="10" xfId="0" applyFont="1" applyFill="1" applyBorder="1"/>
    <xf numFmtId="0" fontId="32" fillId="5" borderId="10" xfId="0" applyFont="1" applyFill="1" applyBorder="1" applyAlignment="1">
      <alignment horizontal="center"/>
    </xf>
    <xf numFmtId="0" fontId="32" fillId="5" borderId="10" xfId="0" applyFont="1" applyFill="1" applyBorder="1" applyAlignment="1">
      <alignment horizontal="left"/>
    </xf>
    <xf numFmtId="0" fontId="32" fillId="5" borderId="10" xfId="0" applyFont="1" applyFill="1" applyBorder="1" applyAlignment="1">
      <alignment horizontal="center" vertical="center" wrapText="1"/>
    </xf>
    <xf numFmtId="4" fontId="32" fillId="5" borderId="10" xfId="0" applyNumberFormat="1" applyFont="1" applyFill="1" applyBorder="1"/>
    <xf numFmtId="2" fontId="32" fillId="5" borderId="10" xfId="0" applyNumberFormat="1" applyFont="1" applyFill="1" applyBorder="1"/>
    <xf numFmtId="4" fontId="31" fillId="2" borderId="35" xfId="0" applyNumberFormat="1" applyFont="1" applyFill="1" applyBorder="1" applyAlignment="1">
      <alignment horizontal="center"/>
    </xf>
    <xf numFmtId="2" fontId="31" fillId="2" borderId="35" xfId="0" applyNumberFormat="1" applyFont="1" applyFill="1" applyBorder="1" applyAlignment="1">
      <alignment horizontal="center"/>
    </xf>
    <xf numFmtId="164" fontId="31" fillId="2" borderId="35" xfId="1" applyFont="1" applyFill="1" applyBorder="1" applyAlignment="1" applyProtection="1">
      <alignment horizontal="center"/>
    </xf>
    <xf numFmtId="4" fontId="31" fillId="2" borderId="36" xfId="0" applyNumberFormat="1" applyFont="1" applyFill="1" applyBorder="1" applyAlignment="1">
      <alignment horizontal="center"/>
    </xf>
    <xf numFmtId="0" fontId="4" fillId="0" borderId="0" xfId="0" applyFont="1" applyAlignment="1">
      <alignment horizontal="left"/>
    </xf>
    <xf numFmtId="0" fontId="3" fillId="0" borderId="0" xfId="0" applyFont="1" applyAlignment="1">
      <alignment horizontal="left"/>
    </xf>
    <xf numFmtId="0" fontId="3" fillId="0" borderId="0" xfId="0" applyFont="1" applyAlignment="1">
      <alignment horizontal="left" vertical="center" wrapText="1"/>
    </xf>
    <xf numFmtId="0" fontId="7" fillId="0" borderId="0" xfId="0" applyFont="1" applyAlignment="1">
      <alignment horizontal="left"/>
    </xf>
    <xf numFmtId="0" fontId="0" fillId="0" borderId="37" xfId="0" applyBorder="1"/>
    <xf numFmtId="0" fontId="3" fillId="2" borderId="38" xfId="0" applyFont="1" applyFill="1" applyBorder="1" applyAlignment="1">
      <alignment horizontal="center" vertical="center"/>
    </xf>
    <xf numFmtId="0" fontId="6" fillId="0" borderId="0" xfId="0" applyFont="1" applyAlignment="1">
      <alignment horizontal="center"/>
    </xf>
    <xf numFmtId="0" fontId="13" fillId="0" borderId="0" xfId="0" applyFont="1"/>
    <xf numFmtId="0" fontId="6" fillId="0" borderId="0" xfId="0" applyFont="1"/>
    <xf numFmtId="0" fontId="13" fillId="0" borderId="0" xfId="0" applyFont="1" applyAlignment="1">
      <alignment horizontal="center"/>
    </xf>
    <xf numFmtId="0" fontId="6" fillId="0" borderId="0" xfId="0" applyFont="1" applyAlignment="1">
      <alignment horizontal="left"/>
    </xf>
    <xf numFmtId="0" fontId="13" fillId="0" borderId="0" xfId="0" applyFont="1" applyAlignment="1">
      <alignment horizontal="left"/>
    </xf>
    <xf numFmtId="0" fontId="3" fillId="3" borderId="30" xfId="0" applyFont="1" applyFill="1" applyBorder="1"/>
    <xf numFmtId="0" fontId="3" fillId="0" borderId="30" xfId="0" applyFont="1" applyBorder="1" applyAlignment="1">
      <alignment horizontal="left"/>
    </xf>
    <xf numFmtId="0" fontId="3" fillId="0" borderId="30" xfId="0" applyFont="1" applyBorder="1" applyAlignment="1">
      <alignment horizontal="right"/>
    </xf>
    <xf numFmtId="164" fontId="11" fillId="0" borderId="0" xfId="1"/>
    <xf numFmtId="164" fontId="11" fillId="0" borderId="30" xfId="1" applyBorder="1"/>
    <xf numFmtId="164" fontId="11" fillId="0" borderId="30" xfId="1" applyBorder="1" applyAlignment="1">
      <alignment horizontal="right"/>
    </xf>
    <xf numFmtId="164" fontId="11" fillId="0" borderId="0" xfId="1" applyFill="1" applyBorder="1" applyAlignment="1">
      <alignment horizontal="center" vertical="center"/>
    </xf>
    <xf numFmtId="164" fontId="3" fillId="0" borderId="30" xfId="1" applyFont="1" applyBorder="1"/>
    <xf numFmtId="2" fontId="11" fillId="0" borderId="30" xfId="1" applyNumberFormat="1" applyBorder="1"/>
    <xf numFmtId="2" fontId="3" fillId="0" borderId="30" xfId="1" applyNumberFormat="1" applyFont="1" applyBorder="1"/>
    <xf numFmtId="164" fontId="3" fillId="2" borderId="30" xfId="1" applyFont="1" applyFill="1" applyBorder="1" applyAlignment="1">
      <alignment horizontal="center" vertical="center"/>
    </xf>
    <xf numFmtId="2" fontId="11" fillId="0" borderId="0" xfId="1" applyNumberFormat="1"/>
    <xf numFmtId="2" fontId="11" fillId="0" borderId="0" xfId="1" applyNumberFormat="1" applyFill="1" applyBorder="1" applyAlignment="1">
      <alignment horizontal="center" vertical="center"/>
    </xf>
    <xf numFmtId="0" fontId="3" fillId="2" borderId="32" xfId="0" applyFont="1" applyFill="1" applyBorder="1" applyAlignment="1">
      <alignment vertical="center" wrapText="1"/>
    </xf>
    <xf numFmtId="0" fontId="3" fillId="2" borderId="30" xfId="0" applyFont="1" applyFill="1" applyBorder="1" applyAlignment="1">
      <alignment vertical="center" wrapText="1"/>
    </xf>
    <xf numFmtId="0" fontId="3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4" fontId="11" fillId="0" borderId="30" xfId="1" applyBorder="1" applyAlignment="1"/>
    <xf numFmtId="164" fontId="11" fillId="0" borderId="0" xfId="1" applyBorder="1"/>
    <xf numFmtId="2" fontId="3" fillId="0" borderId="30" xfId="0" applyNumberFormat="1" applyFont="1" applyBorder="1"/>
    <xf numFmtId="164" fontId="11" fillId="0" borderId="30" xfId="1" applyBorder="1" applyAlignment="1">
      <alignment horizontal="left"/>
    </xf>
    <xf numFmtId="164" fontId="3" fillId="0" borderId="30" xfId="1" applyFont="1" applyBorder="1" applyAlignment="1">
      <alignment horizontal="right"/>
    </xf>
    <xf numFmtId="164" fontId="3" fillId="0" borderId="30" xfId="1" applyFont="1" applyBorder="1" applyAlignment="1">
      <alignment horizontal="left"/>
    </xf>
    <xf numFmtId="164" fontId="3" fillId="0" borderId="0" xfId="1" applyFont="1" applyBorder="1"/>
    <xf numFmtId="2" fontId="3" fillId="0" borderId="30" xfId="1" applyNumberFormat="1" applyFont="1" applyBorder="1" applyAlignment="1">
      <alignment horizontal="right"/>
    </xf>
    <xf numFmtId="164" fontId="3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1" fillId="0" borderId="30" xfId="1" applyNumberFormat="1" applyBorder="1" applyAlignment="1">
      <alignment horizontal="right"/>
    </xf>
    <xf numFmtId="2" fontId="3" fillId="2" borderId="32" xfId="0" applyNumberFormat="1" applyFont="1" applyFill="1" applyBorder="1" applyAlignment="1">
      <alignment horizontal="right" vertical="center" wrapText="1"/>
    </xf>
    <xf numFmtId="2" fontId="11" fillId="0" borderId="0" xfId="1" applyNumberFormat="1" applyBorder="1"/>
    <xf numFmtId="0" fontId="3" fillId="3" borderId="0" xfId="0" applyFont="1" applyFill="1"/>
    <xf numFmtId="2" fontId="3" fillId="0" borderId="0" xfId="0" applyNumberFormat="1" applyFont="1" applyAlignment="1">
      <alignment horizontal="right"/>
    </xf>
    <xf numFmtId="2" fontId="3" fillId="0" borderId="0" xfId="1" applyNumberFormat="1" applyFont="1" applyBorder="1"/>
    <xf numFmtId="0" fontId="3" fillId="2" borderId="32" xfId="0" applyFont="1" applyFill="1" applyBorder="1" applyAlignment="1">
      <alignment horizontal="left" vertical="center" wrapText="1"/>
    </xf>
    <xf numFmtId="0" fontId="3" fillId="3" borderId="31" xfId="0" applyFont="1" applyFill="1" applyBorder="1"/>
    <xf numFmtId="164" fontId="3" fillId="0" borderId="30" xfId="0" applyNumberFormat="1" applyFont="1" applyBorder="1"/>
    <xf numFmtId="164" fontId="11" fillId="3" borderId="30" xfId="1" applyFill="1" applyBorder="1"/>
    <xf numFmtId="2" fontId="11" fillId="3" borderId="30" xfId="1" applyNumberFormat="1" applyFill="1" applyBorder="1"/>
    <xf numFmtId="43" fontId="3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3" fillId="0" borderId="31" xfId="0" applyFont="1" applyBorder="1"/>
    <xf numFmtId="0" fontId="3" fillId="2" borderId="30" xfId="0" applyFont="1" applyFill="1" applyBorder="1" applyAlignment="1">
      <alignment horizontal="center" vertical="center" wrapText="1"/>
    </xf>
    <xf numFmtId="0" fontId="3" fillId="3" borderId="30" xfId="0" applyFont="1" applyFill="1" applyBorder="1" applyAlignment="1">
      <alignment horizontal="center"/>
    </xf>
    <xf numFmtId="0" fontId="3" fillId="3" borderId="30" xfId="0" applyFont="1" applyFill="1" applyBorder="1" applyAlignment="1">
      <alignment horizontal="left" wrapText="1"/>
    </xf>
    <xf numFmtId="0" fontId="3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3" fillId="0" borderId="30" xfId="0" applyFont="1" applyBorder="1" applyAlignment="1">
      <alignment wrapText="1"/>
    </xf>
    <xf numFmtId="0" fontId="3" fillId="0" borderId="0" xfId="0" applyFont="1" applyAlignment="1">
      <alignment wrapText="1"/>
    </xf>
    <xf numFmtId="0" fontId="0" fillId="5" borderId="0" xfId="0" applyFill="1"/>
    <xf numFmtId="0" fontId="5" fillId="5" borderId="0" xfId="0" applyFont="1" applyFill="1" applyAlignment="1">
      <alignment horizontal="center"/>
    </xf>
    <xf numFmtId="0" fontId="7" fillId="4" borderId="0" xfId="0" applyFont="1" applyFill="1" applyAlignment="1">
      <alignment horizontal="center" wrapText="1"/>
    </xf>
    <xf numFmtId="4" fontId="7" fillId="4" borderId="0" xfId="0" applyNumberFormat="1" applyFont="1" applyFill="1" applyAlignment="1">
      <alignment horizontal="right"/>
    </xf>
    <xf numFmtId="2" fontId="7" fillId="4" borderId="0" xfId="0" applyNumberFormat="1" applyFont="1" applyFill="1" applyAlignment="1">
      <alignment horizontal="right"/>
    </xf>
    <xf numFmtId="0" fontId="6" fillId="5" borderId="0" xfId="0" applyFont="1" applyFill="1" applyAlignment="1">
      <alignment horizontal="center"/>
    </xf>
    <xf numFmtId="0" fontId="0" fillId="4" borderId="0" xfId="0" applyFill="1"/>
    <xf numFmtId="164" fontId="11" fillId="5" borderId="0" xfId="1" applyFill="1" applyBorder="1"/>
    <xf numFmtId="0" fontId="13" fillId="5" borderId="0" xfId="0" applyFont="1" applyFill="1" applyAlignment="1">
      <alignment horizontal="center"/>
    </xf>
    <xf numFmtId="0" fontId="13" fillId="5" borderId="0" xfId="0" applyFont="1" applyFill="1"/>
    <xf numFmtId="2" fontId="11" fillId="5" borderId="0" xfId="1" applyNumberFormat="1" applyFill="1"/>
    <xf numFmtId="0" fontId="6" fillId="5" borderId="0" xfId="0" applyFont="1" applyFill="1"/>
    <xf numFmtId="164" fontId="11" fillId="5" borderId="0" xfId="1" applyFill="1"/>
    <xf numFmtId="0" fontId="32" fillId="5" borderId="30" xfId="0" applyFont="1" applyFill="1" applyBorder="1" applyAlignment="1">
      <alignment horizontal="center" vertical="center" wrapText="1"/>
    </xf>
    <xf numFmtId="4" fontId="32" fillId="5" borderId="30" xfId="0" applyNumberFormat="1" applyFont="1" applyFill="1" applyBorder="1"/>
    <xf numFmtId="2" fontId="32" fillId="5" borderId="30" xfId="0" applyNumberFormat="1" applyFont="1" applyFill="1" applyBorder="1"/>
    <xf numFmtId="0" fontId="32" fillId="5" borderId="30" xfId="0" applyFont="1" applyFill="1" applyBorder="1" applyAlignment="1">
      <alignment horizontal="left"/>
    </xf>
    <xf numFmtId="0" fontId="6" fillId="3" borderId="30" xfId="0" applyFont="1" applyFill="1" applyBorder="1"/>
    <xf numFmtId="4" fontId="31" fillId="7" borderId="30" xfId="0" applyNumberFormat="1" applyFont="1" applyFill="1" applyBorder="1" applyAlignment="1">
      <alignment horizontal="center"/>
    </xf>
    <xf numFmtId="2" fontId="31" fillId="7" borderId="30" xfId="0" applyNumberFormat="1" applyFont="1" applyFill="1" applyBorder="1" applyAlignment="1">
      <alignment horizontal="center"/>
    </xf>
    <xf numFmtId="164" fontId="31" fillId="7" borderId="30" xfId="1" applyFont="1" applyFill="1" applyBorder="1" applyAlignment="1" applyProtection="1">
      <alignment horizontal="center"/>
    </xf>
    <xf numFmtId="0" fontId="32" fillId="0" borderId="30" xfId="0" applyFont="1" applyBorder="1"/>
    <xf numFmtId="0" fontId="32" fillId="0" borderId="30" xfId="0" applyFont="1" applyBorder="1" applyAlignment="1">
      <alignment horizontal="center"/>
    </xf>
    <xf numFmtId="0" fontId="32" fillId="0" borderId="30" xfId="0" applyFont="1" applyBorder="1" applyAlignment="1">
      <alignment wrapText="1"/>
    </xf>
    <xf numFmtId="0" fontId="32" fillId="0" borderId="30" xfId="0" applyFont="1" applyBorder="1" applyAlignment="1">
      <alignment horizontal="center" vertical="center" wrapText="1"/>
    </xf>
    <xf numFmtId="4" fontId="32" fillId="0" borderId="30" xfId="0" applyNumberFormat="1" applyFont="1" applyBorder="1"/>
    <xf numFmtId="2" fontId="32" fillId="0" borderId="30" xfId="0" applyNumberFormat="1" applyFont="1" applyBorder="1"/>
    <xf numFmtId="0" fontId="32" fillId="0" borderId="30" xfId="0" applyFont="1" applyBorder="1" applyAlignment="1">
      <alignment horizontal="left"/>
    </xf>
    <xf numFmtId="2" fontId="31" fillId="7" borderId="30" xfId="0" applyNumberFormat="1" applyFont="1" applyFill="1" applyBorder="1" applyAlignment="1">
      <alignment horizontal="right"/>
    </xf>
    <xf numFmtId="0" fontId="3" fillId="2" borderId="30" xfId="0" applyFont="1" applyFill="1" applyBorder="1" applyAlignment="1">
      <alignment horizontal="right" vertical="center" wrapText="1"/>
    </xf>
    <xf numFmtId="0" fontId="3" fillId="2" borderId="31" xfId="0" applyFont="1" applyFill="1" applyBorder="1" applyAlignment="1">
      <alignment horizontal="left" vertical="center"/>
    </xf>
    <xf numFmtId="0" fontId="3" fillId="2" borderId="31" xfId="0" applyFont="1" applyFill="1" applyBorder="1" applyAlignment="1">
      <alignment horizontal="center" vertical="center"/>
    </xf>
    <xf numFmtId="0" fontId="6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3" fillId="0" borderId="30" xfId="0" applyFont="1" applyBorder="1" applyAlignment="1">
      <alignment horizontal="right" vertical="center"/>
    </xf>
    <xf numFmtId="0" fontId="3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3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6" fillId="2" borderId="30" xfId="0" applyFont="1" applyFill="1" applyBorder="1" applyAlignment="1">
      <alignment vertical="center" wrapText="1"/>
    </xf>
    <xf numFmtId="2" fontId="3" fillId="2" borderId="30" xfId="1" applyNumberFormat="1" applyFont="1" applyFill="1" applyBorder="1" applyAlignment="1">
      <alignment horizontal="right" vertical="center"/>
    </xf>
    <xf numFmtId="166" fontId="0" fillId="0" borderId="30" xfId="0" applyNumberFormat="1" applyBorder="1"/>
    <xf numFmtId="166" fontId="3" fillId="0" borderId="30" xfId="0" applyNumberFormat="1" applyFont="1" applyBorder="1"/>
    <xf numFmtId="166" fontId="0" fillId="0" borderId="30" xfId="0" applyNumberFormat="1" applyBorder="1" applyAlignment="1">
      <alignment horizontal="right"/>
    </xf>
    <xf numFmtId="164" fontId="3" fillId="2" borderId="39" xfId="1" applyFont="1" applyFill="1" applyBorder="1" applyAlignment="1">
      <alignment horizontal="center" vertical="center"/>
    </xf>
    <xf numFmtId="164" fontId="3" fillId="2" borderId="38" xfId="1" applyFont="1" applyFill="1" applyBorder="1" applyAlignment="1">
      <alignment horizontal="center" vertical="center"/>
    </xf>
    <xf numFmtId="164" fontId="3" fillId="2" borderId="1" xfId="1" applyFont="1" applyFill="1" applyBorder="1" applyAlignment="1">
      <alignment horizontal="center" vertical="center"/>
    </xf>
    <xf numFmtId="0" fontId="9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9" fillId="5" borderId="0" xfId="0" applyFont="1" applyFill="1"/>
    <xf numFmtId="0" fontId="7" fillId="0" borderId="31" xfId="0" applyFont="1" applyBorder="1"/>
    <xf numFmtId="0" fontId="9" fillId="0" borderId="30" xfId="0" applyFont="1" applyBorder="1" applyAlignment="1">
      <alignment horizontal="center"/>
    </xf>
    <xf numFmtId="0" fontId="9" fillId="0" borderId="30" xfId="0" applyFont="1" applyBorder="1"/>
    <xf numFmtId="164" fontId="9" fillId="0" borderId="30" xfId="1" applyFont="1" applyBorder="1"/>
    <xf numFmtId="2" fontId="9" fillId="0" borderId="30" xfId="1" applyNumberFormat="1" applyFont="1" applyBorder="1" applyAlignment="1">
      <alignment horizontal="right"/>
    </xf>
    <xf numFmtId="0" fontId="9" fillId="0" borderId="31" xfId="0" applyFont="1" applyBorder="1" applyAlignment="1">
      <alignment vertical="center"/>
    </xf>
    <xf numFmtId="0" fontId="9" fillId="0" borderId="30" xfId="0" applyFont="1" applyBorder="1" applyAlignment="1">
      <alignment horizontal="center" vertical="center" wrapText="1"/>
    </xf>
    <xf numFmtId="2" fontId="9" fillId="0" borderId="30" xfId="1" applyNumberFormat="1" applyFont="1" applyBorder="1"/>
    <xf numFmtId="164" fontId="9" fillId="0" borderId="30" xfId="1" applyFont="1" applyBorder="1" applyAlignment="1"/>
    <xf numFmtId="164" fontId="9" fillId="0" borderId="30" xfId="1" applyFont="1" applyBorder="1" applyAlignment="1">
      <alignment horizontal="right"/>
    </xf>
    <xf numFmtId="0" fontId="7" fillId="3" borderId="31" xfId="0" applyFont="1" applyFill="1" applyBorder="1"/>
    <xf numFmtId="0" fontId="7" fillId="3" borderId="30" xfId="0" applyFont="1" applyFill="1" applyBorder="1" applyAlignment="1">
      <alignment horizontal="center"/>
    </xf>
    <xf numFmtId="0" fontId="7" fillId="0" borderId="30" xfId="0" applyFont="1" applyBorder="1" applyAlignment="1">
      <alignment horizontal="right" vertical="center"/>
    </xf>
    <xf numFmtId="0" fontId="7" fillId="0" borderId="30" xfId="0" applyFont="1" applyBorder="1"/>
    <xf numFmtId="164" fontId="7" fillId="0" borderId="30" xfId="0" applyNumberFormat="1" applyFont="1" applyBorder="1"/>
    <xf numFmtId="2" fontId="7" fillId="0" borderId="30" xfId="0" applyNumberFormat="1" applyFont="1" applyBorder="1"/>
    <xf numFmtId="0" fontId="7" fillId="0" borderId="30" xfId="0" applyFont="1" applyBorder="1" applyAlignment="1">
      <alignment vertical="center"/>
    </xf>
    <xf numFmtId="164" fontId="7" fillId="0" borderId="30" xfId="1" applyFont="1" applyBorder="1" applyAlignment="1">
      <alignment horizontal="left"/>
    </xf>
    <xf numFmtId="2" fontId="7" fillId="0" borderId="30" xfId="1" applyNumberFormat="1" applyFont="1" applyBorder="1" applyAlignment="1">
      <alignment horizontal="right"/>
    </xf>
    <xf numFmtId="164" fontId="7" fillId="0" borderId="30" xfId="1" applyFont="1" applyBorder="1"/>
    <xf numFmtId="0" fontId="9" fillId="3" borderId="31" xfId="0" applyFont="1" applyFill="1" applyBorder="1" applyAlignment="1">
      <alignment vertical="center"/>
    </xf>
    <xf numFmtId="0" fontId="9" fillId="3" borderId="30" xfId="0" applyFont="1" applyFill="1" applyBorder="1" applyAlignment="1">
      <alignment horizontal="center"/>
    </xf>
    <xf numFmtId="0" fontId="9" fillId="3" borderId="30" xfId="0" applyFont="1" applyFill="1" applyBorder="1" applyAlignment="1">
      <alignment vertical="center" wrapText="1"/>
    </xf>
    <xf numFmtId="164" fontId="9" fillId="3" borderId="30" xfId="1" applyFont="1" applyFill="1" applyBorder="1"/>
    <xf numFmtId="2" fontId="9" fillId="3" borderId="30" xfId="1" applyNumberFormat="1" applyFont="1" applyFill="1" applyBorder="1"/>
    <xf numFmtId="0" fontId="7" fillId="0" borderId="30" xfId="0" applyFont="1" applyBorder="1" applyAlignment="1">
      <alignment horizontal="right"/>
    </xf>
    <xf numFmtId="0" fontId="7" fillId="2" borderId="30" xfId="0" applyFont="1" applyFill="1" applyBorder="1" applyAlignment="1">
      <alignment vertical="center" wrapText="1"/>
    </xf>
    <xf numFmtId="0" fontId="7" fillId="2" borderId="30" xfId="0" applyFont="1" applyFill="1" applyBorder="1" applyAlignment="1">
      <alignment horizontal="center" vertical="center" wrapText="1"/>
    </xf>
    <xf numFmtId="0" fontId="7" fillId="2" borderId="30" xfId="0" applyFont="1" applyFill="1" applyBorder="1" applyAlignment="1">
      <alignment horizontal="right" vertical="center" wrapText="1"/>
    </xf>
    <xf numFmtId="0" fontId="7" fillId="2" borderId="30" xfId="0" applyFont="1" applyFill="1" applyBorder="1" applyAlignment="1">
      <alignment horizontal="left" vertical="center" wrapText="1"/>
    </xf>
    <xf numFmtId="43" fontId="7" fillId="2" borderId="32" xfId="0" applyNumberFormat="1" applyFont="1" applyFill="1" applyBorder="1" applyAlignment="1">
      <alignment horizontal="left" vertical="center" wrapText="1"/>
    </xf>
    <xf numFmtId="2" fontId="7" fillId="2" borderId="32" xfId="0" applyNumberFormat="1" applyFont="1" applyFill="1" applyBorder="1" applyAlignment="1">
      <alignment horizontal="right" vertical="center" wrapText="1"/>
    </xf>
    <xf numFmtId="0" fontId="14" fillId="0" borderId="0" xfId="0" applyFont="1"/>
    <xf numFmtId="0" fontId="14" fillId="0" borderId="0" xfId="0" applyFont="1" applyAlignment="1">
      <alignment horizontal="center"/>
    </xf>
    <xf numFmtId="164" fontId="14" fillId="0" borderId="0" xfId="1" applyFont="1"/>
    <xf numFmtId="2" fontId="14" fillId="0" borderId="0" xfId="1" applyNumberFormat="1" applyFont="1"/>
    <xf numFmtId="0" fontId="15" fillId="0" borderId="30" xfId="0" applyFont="1" applyBorder="1"/>
    <xf numFmtId="0" fontId="14" fillId="0" borderId="30" xfId="0" applyFont="1" applyBorder="1" applyAlignment="1">
      <alignment horizontal="center"/>
    </xf>
    <xf numFmtId="164" fontId="14" fillId="0" borderId="30" xfId="1" applyFont="1" applyBorder="1"/>
    <xf numFmtId="2" fontId="14" fillId="0" borderId="30" xfId="1" applyNumberFormat="1" applyFont="1" applyBorder="1"/>
    <xf numFmtId="0" fontId="14" fillId="0" borderId="30" xfId="0" applyFont="1" applyBorder="1"/>
    <xf numFmtId="164" fontId="14" fillId="0" borderId="30" xfId="1" applyFont="1" applyBorder="1" applyAlignment="1">
      <alignment horizontal="right"/>
    </xf>
    <xf numFmtId="0" fontId="14" fillId="0" borderId="30" xfId="0" applyFont="1" applyBorder="1" applyAlignment="1">
      <alignment horizontal="left"/>
    </xf>
    <xf numFmtId="164" fontId="15" fillId="0" borderId="30" xfId="1" applyFont="1" applyBorder="1"/>
    <xf numFmtId="0" fontId="15" fillId="0" borderId="30" xfId="0" applyFont="1" applyBorder="1" applyAlignment="1">
      <alignment horizontal="center"/>
    </xf>
    <xf numFmtId="0" fontId="15" fillId="0" borderId="30" xfId="0" applyFont="1" applyBorder="1" applyAlignment="1">
      <alignment horizontal="left"/>
    </xf>
    <xf numFmtId="0" fontId="15" fillId="3" borderId="30" xfId="0" applyFont="1" applyFill="1" applyBorder="1" applyAlignment="1">
      <alignment horizontal="left" wrapText="1"/>
    </xf>
    <xf numFmtId="0" fontId="15" fillId="2" borderId="30" xfId="0" applyFont="1" applyFill="1" applyBorder="1" applyAlignment="1">
      <alignment vertical="center" wrapText="1"/>
    </xf>
    <xf numFmtId="0" fontId="15" fillId="2" borderId="30" xfId="0" applyFont="1" applyFill="1" applyBorder="1" applyAlignment="1">
      <alignment horizontal="center" vertical="center" wrapText="1"/>
    </xf>
    <xf numFmtId="0" fontId="14" fillId="0" borderId="0" xfId="0" applyFont="1" applyAlignment="1">
      <alignment wrapText="1"/>
    </xf>
    <xf numFmtId="2" fontId="14" fillId="0" borderId="0" xfId="0" applyNumberFormat="1" applyFont="1" applyAlignment="1">
      <alignment horizontal="right"/>
    </xf>
    <xf numFmtId="0" fontId="14" fillId="0" borderId="30" xfId="0" applyFont="1" applyBorder="1" applyAlignment="1">
      <alignment wrapText="1"/>
    </xf>
    <xf numFmtId="2" fontId="14" fillId="0" borderId="30" xfId="1" applyNumberFormat="1" applyFont="1" applyBorder="1" applyAlignment="1">
      <alignment horizontal="right"/>
    </xf>
    <xf numFmtId="166" fontId="14" fillId="0" borderId="30" xfId="0" applyNumberFormat="1" applyFont="1" applyBorder="1"/>
    <xf numFmtId="164" fontId="14" fillId="0" borderId="30" xfId="1" applyFont="1" applyBorder="1" applyAlignment="1"/>
    <xf numFmtId="0" fontId="15" fillId="3" borderId="30" xfId="0" applyFont="1" applyFill="1" applyBorder="1" applyAlignment="1">
      <alignment horizontal="left"/>
    </xf>
    <xf numFmtId="0" fontId="15" fillId="3" borderId="30" xfId="0" applyFont="1" applyFill="1" applyBorder="1" applyAlignment="1">
      <alignment horizontal="center"/>
    </xf>
    <xf numFmtId="0" fontId="15" fillId="0" borderId="30" xfId="0" applyFont="1" applyBorder="1" applyAlignment="1">
      <alignment wrapText="1"/>
    </xf>
    <xf numFmtId="166" fontId="15" fillId="0" borderId="30" xfId="0" applyNumberFormat="1" applyFont="1" applyBorder="1"/>
    <xf numFmtId="164" fontId="15" fillId="0" borderId="30" xfId="1" applyFont="1" applyBorder="1" applyAlignment="1">
      <alignment horizontal="left"/>
    </xf>
    <xf numFmtId="2" fontId="15" fillId="0" borderId="30" xfId="1" applyNumberFormat="1" applyFont="1" applyBorder="1" applyAlignment="1">
      <alignment horizontal="right"/>
    </xf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164" fontId="14" fillId="0" borderId="30" xfId="1" applyFont="1" applyBorder="1" applyAlignment="1">
      <alignment horizontal="left"/>
    </xf>
    <xf numFmtId="164" fontId="15" fillId="0" borderId="30" xfId="1" applyFont="1" applyBorder="1" applyAlignment="1">
      <alignment horizontal="right"/>
    </xf>
    <xf numFmtId="166" fontId="14" fillId="0" borderId="30" xfId="0" applyNumberFormat="1" applyFont="1" applyBorder="1" applyAlignment="1">
      <alignment horizontal="right"/>
    </xf>
    <xf numFmtId="0" fontId="15" fillId="2" borderId="32" xfId="0" applyFont="1" applyFill="1" applyBorder="1" applyAlignment="1">
      <alignment horizontal="left" vertical="center" wrapText="1"/>
    </xf>
    <xf numFmtId="164" fontId="15" fillId="2" borderId="32" xfId="0" applyNumberFormat="1" applyFont="1" applyFill="1" applyBorder="1" applyAlignment="1">
      <alignment vertical="center" wrapText="1"/>
    </xf>
    <xf numFmtId="2" fontId="15" fillId="2" borderId="32" xfId="0" applyNumberFormat="1" applyFont="1" applyFill="1" applyBorder="1" applyAlignment="1">
      <alignment horizontal="right" vertical="center" wrapText="1"/>
    </xf>
    <xf numFmtId="0" fontId="18" fillId="0" borderId="0" xfId="0" applyFont="1" applyAlignment="1">
      <alignment horizontal="center"/>
    </xf>
    <xf numFmtId="0" fontId="18" fillId="0" borderId="0" xfId="0" applyFont="1"/>
    <xf numFmtId="0" fontId="17" fillId="0" borderId="0" xfId="0" applyFont="1" applyAlignment="1">
      <alignment horizontal="center"/>
    </xf>
    <xf numFmtId="164" fontId="15" fillId="2" borderId="30" xfId="1" applyFont="1" applyFill="1" applyBorder="1" applyAlignment="1">
      <alignment horizontal="center" vertical="center"/>
    </xf>
    <xf numFmtId="164" fontId="9" fillId="0" borderId="0" xfId="1" applyFont="1"/>
    <xf numFmtId="2" fontId="9" fillId="0" borderId="0" xfId="1" applyNumberFormat="1" applyFont="1"/>
    <xf numFmtId="0" fontId="7" fillId="0" borderId="0" xfId="0" applyFont="1" applyAlignment="1">
      <alignment horizontal="center" vertical="center" wrapText="1"/>
    </xf>
    <xf numFmtId="164" fontId="9" fillId="0" borderId="0" xfId="1" applyFont="1" applyFill="1" applyBorder="1" applyAlignment="1">
      <alignment horizontal="center" vertical="center"/>
    </xf>
    <xf numFmtId="2" fontId="9" fillId="0" borderId="0" xfId="1" applyNumberFormat="1" applyFont="1" applyFill="1" applyBorder="1" applyAlignment="1">
      <alignment horizontal="center" vertical="center"/>
    </xf>
    <xf numFmtId="164" fontId="27" fillId="2" borderId="30" xfId="1" applyFont="1" applyFill="1" applyBorder="1" applyAlignment="1">
      <alignment horizontal="center" vertical="center"/>
    </xf>
    <xf numFmtId="164" fontId="19" fillId="2" borderId="40" xfId="1" applyFont="1" applyFill="1" applyBorder="1" applyAlignment="1">
      <alignment horizontal="center" vertical="center"/>
    </xf>
    <xf numFmtId="164" fontId="19" fillId="2" borderId="41" xfId="1" applyFont="1" applyFill="1" applyBorder="1" applyAlignment="1">
      <alignment horizontal="center" vertical="center"/>
    </xf>
    <xf numFmtId="0" fontId="19" fillId="0" borderId="30" xfId="0" applyFont="1" applyBorder="1"/>
    <xf numFmtId="0" fontId="20" fillId="0" borderId="30" xfId="0" applyFont="1" applyBorder="1" applyAlignment="1">
      <alignment horizontal="center"/>
    </xf>
    <xf numFmtId="0" fontId="19" fillId="0" borderId="42" xfId="0" applyFont="1" applyBorder="1"/>
    <xf numFmtId="164" fontId="20" fillId="0" borderId="42" xfId="1" applyFont="1" applyBorder="1"/>
    <xf numFmtId="2" fontId="20" fillId="0" borderId="30" xfId="1" applyNumberFormat="1" applyFont="1" applyBorder="1"/>
    <xf numFmtId="164" fontId="20" fillId="0" borderId="30" xfId="1" applyFont="1" applyBorder="1"/>
    <xf numFmtId="0" fontId="20" fillId="0" borderId="30" xfId="0" applyFont="1" applyBorder="1"/>
    <xf numFmtId="164" fontId="20" fillId="0" borderId="30" xfId="1" applyFont="1" applyBorder="1" applyAlignment="1">
      <alignment horizontal="right"/>
    </xf>
    <xf numFmtId="0" fontId="20" fillId="3" borderId="30" xfId="0" applyFont="1" applyFill="1" applyBorder="1"/>
    <xf numFmtId="0" fontId="33" fillId="0" borderId="30" xfId="0" applyFont="1" applyBorder="1" applyAlignment="1">
      <alignment horizontal="left"/>
    </xf>
    <xf numFmtId="0" fontId="20" fillId="0" borderId="30" xfId="0" applyFont="1" applyBorder="1" applyAlignment="1">
      <alignment horizontal="left"/>
    </xf>
    <xf numFmtId="0" fontId="19" fillId="3" borderId="30" xfId="0" applyFont="1" applyFill="1" applyBorder="1"/>
    <xf numFmtId="0" fontId="19" fillId="0" borderId="30" xfId="0" applyFont="1" applyBorder="1" applyAlignment="1">
      <alignment horizontal="right"/>
    </xf>
    <xf numFmtId="164" fontId="19" fillId="0" borderId="30" xfId="1" applyFont="1" applyBorder="1"/>
    <xf numFmtId="2" fontId="19" fillId="0" borderId="30" xfId="1" applyNumberFormat="1" applyFont="1" applyBorder="1"/>
    <xf numFmtId="0" fontId="19" fillId="0" borderId="30" xfId="0" applyFont="1" applyBorder="1" applyAlignment="1">
      <alignment horizontal="center"/>
    </xf>
    <xf numFmtId="0" fontId="19" fillId="0" borderId="30" xfId="0" applyFont="1" applyBorder="1" applyAlignment="1">
      <alignment horizontal="left"/>
    </xf>
    <xf numFmtId="0" fontId="20" fillId="0" borderId="0" xfId="0" applyFont="1"/>
    <xf numFmtId="164" fontId="20" fillId="0" borderId="30" xfId="1" applyFont="1" applyFill="1" applyBorder="1"/>
    <xf numFmtId="0" fontId="19" fillId="3" borderId="30" xfId="0" applyFont="1" applyFill="1" applyBorder="1" applyAlignment="1">
      <alignment horizontal="left" wrapText="1"/>
    </xf>
    <xf numFmtId="0" fontId="20" fillId="3" borderId="30" xfId="0" applyFont="1" applyFill="1" applyBorder="1" applyAlignment="1">
      <alignment horizontal="left" vertical="top" wrapText="1"/>
    </xf>
    <xf numFmtId="164" fontId="20" fillId="0" borderId="33" xfId="1" applyFont="1" applyBorder="1"/>
    <xf numFmtId="0" fontId="19" fillId="2" borderId="30" xfId="0" applyFont="1" applyFill="1" applyBorder="1" applyAlignment="1">
      <alignment vertical="center" wrapText="1"/>
    </xf>
    <xf numFmtId="0" fontId="19" fillId="2" borderId="30" xfId="0" applyFont="1" applyFill="1" applyBorder="1" applyAlignment="1">
      <alignment horizontal="center" vertical="center" wrapText="1"/>
    </xf>
    <xf numFmtId="0" fontId="19" fillId="2" borderId="30" xfId="0" applyFont="1" applyFill="1" applyBorder="1" applyAlignment="1">
      <alignment horizontal="right" vertical="center" wrapText="1"/>
    </xf>
    <xf numFmtId="0" fontId="19" fillId="2" borderId="32" xfId="0" applyFont="1" applyFill="1" applyBorder="1" applyAlignment="1">
      <alignment vertical="center" wrapText="1"/>
    </xf>
    <xf numFmtId="164" fontId="19" fillId="2" borderId="30" xfId="1" applyFont="1" applyFill="1" applyBorder="1" applyAlignment="1">
      <alignment horizontal="center" vertical="center"/>
    </xf>
    <xf numFmtId="2" fontId="19" fillId="2" borderId="30" xfId="1" applyNumberFormat="1" applyFont="1" applyFill="1" applyBorder="1" applyAlignment="1">
      <alignment horizontal="right" vertical="center"/>
    </xf>
    <xf numFmtId="164" fontId="28" fillId="2" borderId="30" xfId="1" applyFont="1" applyFill="1" applyBorder="1" applyAlignment="1">
      <alignment horizontal="center" vertical="center"/>
    </xf>
    <xf numFmtId="0" fontId="28" fillId="0" borderId="31" xfId="0" applyFont="1" applyBorder="1"/>
    <xf numFmtId="0" fontId="29" fillId="0" borderId="30" xfId="0" applyFont="1" applyBorder="1" applyAlignment="1">
      <alignment horizontal="center"/>
    </xf>
    <xf numFmtId="0" fontId="29" fillId="0" borderId="30" xfId="0" applyFont="1" applyBorder="1"/>
    <xf numFmtId="164" fontId="29" fillId="0" borderId="30" xfId="1" applyFont="1" applyBorder="1"/>
    <xf numFmtId="2" fontId="29" fillId="0" borderId="30" xfId="1" applyNumberFormat="1" applyFont="1" applyBorder="1" applyAlignment="1">
      <alignment horizontal="right"/>
    </xf>
    <xf numFmtId="0" fontId="29" fillId="0" borderId="31" xfId="0" applyFont="1" applyBorder="1" applyAlignment="1">
      <alignment vertical="center"/>
    </xf>
    <xf numFmtId="0" fontId="29" fillId="0" borderId="30" xfId="0" applyFont="1" applyBorder="1" applyAlignment="1">
      <alignment horizontal="center" vertical="center" wrapText="1"/>
    </xf>
    <xf numFmtId="2" fontId="29" fillId="0" borderId="30" xfId="1" applyNumberFormat="1" applyFont="1" applyBorder="1"/>
    <xf numFmtId="164" fontId="29" fillId="0" borderId="30" xfId="1" applyFont="1" applyBorder="1" applyAlignment="1"/>
    <xf numFmtId="164" fontId="29" fillId="0" borderId="30" xfId="1" applyFont="1" applyBorder="1" applyAlignment="1">
      <alignment horizontal="right"/>
    </xf>
    <xf numFmtId="0" fontId="28" fillId="3" borderId="31" xfId="0" applyFont="1" applyFill="1" applyBorder="1"/>
    <xf numFmtId="0" fontId="28" fillId="3" borderId="30" xfId="0" applyFont="1" applyFill="1" applyBorder="1" applyAlignment="1">
      <alignment horizontal="center"/>
    </xf>
    <xf numFmtId="0" fontId="28" fillId="0" borderId="30" xfId="0" applyFont="1" applyBorder="1" applyAlignment="1">
      <alignment horizontal="right" vertical="center"/>
    </xf>
    <xf numFmtId="0" fontId="28" fillId="0" borderId="30" xfId="0" applyFont="1" applyBorder="1"/>
    <xf numFmtId="16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vertical="center"/>
    </xf>
    <xf numFmtId="164" fontId="28" fillId="0" borderId="30" xfId="1" applyFont="1" applyBorder="1" applyAlignment="1">
      <alignment horizontal="left"/>
    </xf>
    <xf numFmtId="2" fontId="28" fillId="0" borderId="30" xfId="1" applyNumberFormat="1" applyFont="1" applyBorder="1" applyAlignment="1">
      <alignment horizontal="right"/>
    </xf>
    <xf numFmtId="164" fontId="28" fillId="0" borderId="30" xfId="1" applyFont="1" applyBorder="1"/>
    <xf numFmtId="0" fontId="29" fillId="3" borderId="31" xfId="0" applyFont="1" applyFill="1" applyBorder="1" applyAlignment="1">
      <alignment vertical="center"/>
    </xf>
    <xf numFmtId="0" fontId="29" fillId="3" borderId="30" xfId="0" applyFont="1" applyFill="1" applyBorder="1" applyAlignment="1">
      <alignment horizontal="center"/>
    </xf>
    <xf numFmtId="0" fontId="29" fillId="3" borderId="30" xfId="0" applyFont="1" applyFill="1" applyBorder="1" applyAlignment="1">
      <alignment vertical="center" wrapText="1"/>
    </xf>
    <xf numFmtId="164" fontId="29" fillId="3" borderId="30" xfId="1" applyFont="1" applyFill="1" applyBorder="1"/>
    <xf numFmtId="2" fontId="29" fillId="3" borderId="30" xfId="1" applyNumberFormat="1" applyFont="1" applyFill="1" applyBorder="1"/>
    <xf numFmtId="0" fontId="28" fillId="0" borderId="30" xfId="0" applyFont="1" applyBorder="1" applyAlignment="1">
      <alignment horizontal="right"/>
    </xf>
    <xf numFmtId="0" fontId="28" fillId="2" borderId="30" xfId="0" applyFont="1" applyFill="1" applyBorder="1" applyAlignment="1">
      <alignment vertical="center" wrapText="1"/>
    </xf>
    <xf numFmtId="0" fontId="28" fillId="2" borderId="30" xfId="0" applyFont="1" applyFill="1" applyBorder="1" applyAlignment="1">
      <alignment horizontal="center" vertical="center" wrapText="1"/>
    </xf>
    <xf numFmtId="0" fontId="28" fillId="2" borderId="30" xfId="0" applyFont="1" applyFill="1" applyBorder="1" applyAlignment="1">
      <alignment horizontal="left" vertical="center" wrapText="1"/>
    </xf>
    <xf numFmtId="164" fontId="31" fillId="2" borderId="40" xfId="1" applyFont="1" applyFill="1" applyBorder="1" applyAlignment="1">
      <alignment horizontal="center" vertical="center"/>
    </xf>
    <xf numFmtId="164" fontId="31" fillId="2" borderId="41" xfId="1" applyFont="1" applyFill="1" applyBorder="1" applyAlignment="1">
      <alignment horizontal="center" vertical="center"/>
    </xf>
    <xf numFmtId="0" fontId="31" fillId="0" borderId="30" xfId="0" applyFont="1" applyBorder="1"/>
    <xf numFmtId="0" fontId="31" fillId="0" borderId="42" xfId="0" applyFont="1" applyBorder="1"/>
    <xf numFmtId="164" fontId="32" fillId="0" borderId="42" xfId="1" applyFont="1" applyBorder="1"/>
    <xf numFmtId="2" fontId="32" fillId="0" borderId="30" xfId="1" applyNumberFormat="1" applyFont="1" applyBorder="1"/>
    <xf numFmtId="164" fontId="32" fillId="0" borderId="30" xfId="1" applyFont="1" applyBorder="1"/>
    <xf numFmtId="164" fontId="32" fillId="0" borderId="30" xfId="1" applyFont="1" applyBorder="1" applyAlignment="1">
      <alignment horizontal="right"/>
    </xf>
    <xf numFmtId="0" fontId="32" fillId="3" borderId="30" xfId="0" applyFont="1" applyFill="1" applyBorder="1"/>
    <xf numFmtId="0" fontId="34" fillId="0" borderId="30" xfId="0" applyFont="1" applyBorder="1" applyAlignment="1">
      <alignment horizontal="left"/>
    </xf>
    <xf numFmtId="0" fontId="31" fillId="3" borderId="30" xfId="0" applyFont="1" applyFill="1" applyBorder="1"/>
    <xf numFmtId="0" fontId="31" fillId="0" borderId="30" xfId="0" applyFont="1" applyBorder="1" applyAlignment="1">
      <alignment horizontal="right"/>
    </xf>
    <xf numFmtId="164" fontId="31" fillId="0" borderId="30" xfId="1" applyFont="1" applyBorder="1"/>
    <xf numFmtId="2" fontId="31" fillId="0" borderId="30" xfId="1" applyNumberFormat="1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horizontal="left"/>
    </xf>
    <xf numFmtId="0" fontId="32" fillId="0" borderId="0" xfId="0" applyFont="1"/>
    <xf numFmtId="164" fontId="32" fillId="0" borderId="30" xfId="1" applyFont="1" applyFill="1" applyBorder="1"/>
    <xf numFmtId="0" fontId="31" fillId="3" borderId="30" xfId="0" applyFont="1" applyFill="1" applyBorder="1" applyAlignment="1">
      <alignment horizontal="left" wrapText="1"/>
    </xf>
    <xf numFmtId="0" fontId="32" fillId="3" borderId="30" xfId="0" applyFont="1" applyFill="1" applyBorder="1" applyAlignment="1">
      <alignment horizontal="left" vertical="top" wrapText="1"/>
    </xf>
    <xf numFmtId="164" fontId="32" fillId="0" borderId="33" xfId="1" applyFont="1" applyBorder="1"/>
    <xf numFmtId="0" fontId="31" fillId="2" borderId="30" xfId="0" applyFont="1" applyFill="1" applyBorder="1" applyAlignment="1">
      <alignment vertical="center" wrapText="1"/>
    </xf>
    <xf numFmtId="0" fontId="31" fillId="2" borderId="30" xfId="0" applyFont="1" applyFill="1" applyBorder="1" applyAlignment="1">
      <alignment horizontal="center" vertical="center" wrapText="1"/>
    </xf>
    <xf numFmtId="0" fontId="31" fillId="2" borderId="30" xfId="0" applyFont="1" applyFill="1" applyBorder="1" applyAlignment="1">
      <alignment horizontal="right" vertical="center" wrapText="1"/>
    </xf>
    <xf numFmtId="0" fontId="31" fillId="2" borderId="32" xfId="0" applyFont="1" applyFill="1" applyBorder="1" applyAlignment="1">
      <alignment vertical="center" wrapText="1"/>
    </xf>
    <xf numFmtId="164" fontId="31" fillId="2" borderId="30" xfId="1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right" vertical="center"/>
    </xf>
    <xf numFmtId="0" fontId="29" fillId="0" borderId="0" xfId="0" applyFont="1"/>
    <xf numFmtId="0" fontId="28" fillId="0" borderId="0" xfId="0" applyFont="1" applyAlignment="1">
      <alignment horizontal="center" vertical="center" wrapText="1"/>
    </xf>
    <xf numFmtId="164" fontId="29" fillId="0" borderId="0" xfId="1" applyFont="1" applyFill="1" applyBorder="1" applyAlignment="1">
      <alignment horizontal="center" vertical="center"/>
    </xf>
    <xf numFmtId="2" fontId="29" fillId="0" borderId="0" xfId="1" applyNumberFormat="1" applyFont="1" applyFill="1" applyBorder="1" applyAlignment="1">
      <alignment horizontal="center" vertical="center"/>
    </xf>
    <xf numFmtId="0" fontId="31" fillId="0" borderId="0" xfId="0" applyFont="1" applyAlignment="1">
      <alignment horizontal="center"/>
    </xf>
    <xf numFmtId="0" fontId="32" fillId="0" borderId="0" xfId="0" applyFont="1" applyAlignment="1">
      <alignment horizontal="center"/>
    </xf>
    <xf numFmtId="164" fontId="29" fillId="0" borderId="0" xfId="1" applyFont="1"/>
    <xf numFmtId="2" fontId="32" fillId="0" borderId="0" xfId="1" applyNumberFormat="1" applyFont="1"/>
    <xf numFmtId="164" fontId="32" fillId="0" borderId="0" xfId="1" applyFont="1"/>
    <xf numFmtId="2" fontId="32" fillId="0" borderId="30" xfId="1" applyNumberFormat="1" applyFont="1" applyBorder="1" applyAlignment="1">
      <alignment horizontal="right"/>
    </xf>
    <xf numFmtId="166" fontId="32" fillId="0" borderId="30" xfId="0" applyNumberFormat="1" applyFont="1" applyBorder="1"/>
    <xf numFmtId="164" fontId="32" fillId="0" borderId="30" xfId="1" applyFont="1" applyBorder="1" applyAlignment="1"/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0" fontId="31" fillId="0" borderId="30" xfId="0" applyFont="1" applyBorder="1" applyAlignment="1">
      <alignment wrapText="1"/>
    </xf>
    <xf numFmtId="166" fontId="31" fillId="0" borderId="30" xfId="0" applyNumberFormat="1" applyFont="1" applyBorder="1"/>
    <xf numFmtId="164" fontId="31" fillId="0" borderId="30" xfId="1" applyFont="1" applyBorder="1" applyAlignment="1">
      <alignment horizontal="left"/>
    </xf>
    <xf numFmtId="2" fontId="31" fillId="0" borderId="30" xfId="1" applyNumberFormat="1" applyFont="1" applyBorder="1" applyAlignment="1">
      <alignment horizontal="right"/>
    </xf>
    <xf numFmtId="0" fontId="32" fillId="3" borderId="30" xfId="0" applyFont="1" applyFill="1" applyBorder="1" applyAlignment="1">
      <alignment horizontal="left"/>
    </xf>
    <xf numFmtId="0" fontId="32" fillId="3" borderId="30" xfId="0" applyFont="1" applyFill="1" applyBorder="1" applyAlignment="1">
      <alignment horizontal="center"/>
    </xf>
    <xf numFmtId="164" fontId="32" fillId="0" borderId="30" xfId="1" applyFont="1" applyBorder="1" applyAlignment="1">
      <alignment horizontal="left"/>
    </xf>
    <xf numFmtId="164" fontId="31" fillId="0" borderId="30" xfId="1" applyFont="1" applyBorder="1" applyAlignment="1">
      <alignment horizontal="right"/>
    </xf>
    <xf numFmtId="166" fontId="32" fillId="0" borderId="30" xfId="0" applyNumberFormat="1" applyFont="1" applyBorder="1" applyAlignment="1">
      <alignment horizontal="right"/>
    </xf>
    <xf numFmtId="0" fontId="31" fillId="2" borderId="32" xfId="0" applyFont="1" applyFill="1" applyBorder="1" applyAlignment="1">
      <alignment horizontal="left" vertical="center" wrapText="1"/>
    </xf>
    <xf numFmtId="164" fontId="31" fillId="2" borderId="32" xfId="0" applyNumberFormat="1" applyFont="1" applyFill="1" applyBorder="1" applyAlignment="1">
      <alignment vertical="center" wrapText="1"/>
    </xf>
    <xf numFmtId="2" fontId="31" fillId="2" borderId="32" xfId="0" applyNumberFormat="1" applyFont="1" applyFill="1" applyBorder="1" applyAlignment="1">
      <alignment horizontal="right" vertical="center" wrapText="1"/>
    </xf>
    <xf numFmtId="0" fontId="32" fillId="3" borderId="0" xfId="0" applyFont="1" applyFill="1"/>
    <xf numFmtId="0" fontId="32" fillId="3" borderId="0" xfId="0" applyFont="1" applyFill="1" applyAlignment="1">
      <alignment horizontal="center"/>
    </xf>
    <xf numFmtId="0" fontId="32" fillId="0" borderId="0" xfId="0" applyFont="1" applyAlignment="1">
      <alignment wrapText="1"/>
    </xf>
    <xf numFmtId="0" fontId="32" fillId="0" borderId="0" xfId="0" applyFont="1" applyAlignment="1">
      <alignment horizontal="left"/>
    </xf>
    <xf numFmtId="2" fontId="32" fillId="0" borderId="0" xfId="0" applyNumberFormat="1" applyFont="1" applyAlignment="1">
      <alignment horizontal="right"/>
    </xf>
    <xf numFmtId="164" fontId="32" fillId="0" borderId="0" xfId="1" applyFont="1" applyBorder="1"/>
    <xf numFmtId="2" fontId="32" fillId="0" borderId="0" xfId="1" applyNumberFormat="1" applyFont="1" applyBorder="1"/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/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4" fontId="31" fillId="0" borderId="0" xfId="1" applyFont="1" applyBorder="1"/>
    <xf numFmtId="2" fontId="31" fillId="0" borderId="0" xfId="1" applyNumberFormat="1" applyFont="1" applyBorder="1"/>
    <xf numFmtId="0" fontId="35" fillId="0" borderId="0" xfId="0" applyFont="1" applyAlignment="1">
      <alignment horizontal="center"/>
    </xf>
    <xf numFmtId="0" fontId="35" fillId="0" borderId="0" xfId="0" applyFont="1"/>
    <xf numFmtId="0" fontId="36" fillId="0" borderId="0" xfId="0" applyFont="1" applyAlignment="1">
      <alignment horizontal="center"/>
    </xf>
    <xf numFmtId="164" fontId="31" fillId="0" borderId="30" xfId="1" applyFont="1" applyBorder="1" applyAlignment="1"/>
    <xf numFmtId="0" fontId="31" fillId="0" borderId="31" xfId="0" applyFont="1" applyBorder="1"/>
    <xf numFmtId="0" fontId="31" fillId="3" borderId="31" xfId="0" applyFont="1" applyFill="1" applyBorder="1"/>
    <xf numFmtId="164" fontId="31" fillId="0" borderId="30" xfId="0" applyNumberFormat="1" applyFont="1" applyBorder="1"/>
    <xf numFmtId="2" fontId="31" fillId="0" borderId="30" xfId="0" applyNumberFormat="1" applyFont="1" applyBorder="1"/>
    <xf numFmtId="0" fontId="31" fillId="2" borderId="30" xfId="0" applyFont="1" applyFill="1" applyBorder="1" applyAlignment="1">
      <alignment horizontal="left" vertical="center" wrapText="1"/>
    </xf>
    <xf numFmtId="43" fontId="31" fillId="2" borderId="32" xfId="0" applyNumberFormat="1" applyFont="1" applyFill="1" applyBorder="1" applyAlignment="1">
      <alignment horizontal="left" vertical="center" wrapText="1"/>
    </xf>
    <xf numFmtId="0" fontId="32" fillId="0" borderId="31" xfId="0" applyFont="1" applyBorder="1"/>
    <xf numFmtId="0" fontId="32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3" fillId="4" borderId="0" xfId="0" applyFont="1" applyFill="1" applyAlignment="1">
      <alignment horizontal="center" wrapText="1"/>
    </xf>
    <xf numFmtId="4" fontId="3" fillId="4" borderId="0" xfId="0" applyNumberFormat="1" applyFont="1" applyFill="1" applyAlignment="1">
      <alignment horizontal="right"/>
    </xf>
    <xf numFmtId="2" fontId="3" fillId="4" borderId="0" xfId="0" applyNumberFormat="1" applyFont="1" applyFill="1" applyAlignment="1">
      <alignment horizontal="right"/>
    </xf>
    <xf numFmtId="0" fontId="3" fillId="5" borderId="0" xfId="0" applyFont="1" applyFill="1" applyAlignment="1">
      <alignment horizontal="center"/>
    </xf>
    <xf numFmtId="0" fontId="3" fillId="5" borderId="0" xfId="0" applyFont="1" applyFill="1"/>
    <xf numFmtId="0" fontId="32" fillId="5" borderId="0" xfId="0" applyFont="1" applyFill="1"/>
    <xf numFmtId="0" fontId="32" fillId="4" borderId="0" xfId="0" applyFont="1" applyFill="1"/>
    <xf numFmtId="164" fontId="32" fillId="5" borderId="0" xfId="1" applyFont="1" applyFill="1" applyBorder="1"/>
    <xf numFmtId="2" fontId="32" fillId="5" borderId="0" xfId="1" applyNumberFormat="1" applyFont="1" applyFill="1"/>
    <xf numFmtId="164" fontId="32" fillId="5" borderId="0" xfId="1" applyFont="1" applyFill="1"/>
    <xf numFmtId="0" fontId="32" fillId="5" borderId="0" xfId="0" applyFont="1" applyFill="1" applyAlignment="1">
      <alignment horizontal="center"/>
    </xf>
    <xf numFmtId="0" fontId="31" fillId="4" borderId="0" xfId="0" applyFont="1" applyFill="1" applyAlignment="1">
      <alignment horizontal="center" wrapText="1"/>
    </xf>
    <xf numFmtId="4" fontId="31" fillId="4" borderId="0" xfId="0" applyNumberFormat="1" applyFont="1" applyFill="1" applyAlignment="1">
      <alignment horizontal="right"/>
    </xf>
    <xf numFmtId="2" fontId="31" fillId="4" borderId="0" xfId="0" applyNumberFormat="1" applyFont="1" applyFill="1" applyAlignment="1">
      <alignment horizontal="right"/>
    </xf>
    <xf numFmtId="0" fontId="31" fillId="5" borderId="0" xfId="0" applyFont="1" applyFill="1" applyAlignment="1">
      <alignment horizontal="center"/>
    </xf>
    <xf numFmtId="0" fontId="31" fillId="5" borderId="0" xfId="0" applyFont="1" applyFill="1"/>
    <xf numFmtId="0" fontId="29" fillId="0" borderId="30" xfId="0" applyFont="1" applyBorder="1" applyAlignment="1">
      <alignment wrapText="1"/>
    </xf>
    <xf numFmtId="4" fontId="29" fillId="0" borderId="30" xfId="0" applyNumberFormat="1" applyFont="1" applyBorder="1"/>
    <xf numFmtId="2" fontId="29" fillId="0" borderId="30" xfId="0" applyNumberFormat="1" applyFont="1" applyBorder="1"/>
    <xf numFmtId="0" fontId="29" fillId="0" borderId="30" xfId="0" applyFont="1" applyBorder="1" applyAlignment="1">
      <alignment horizontal="left"/>
    </xf>
    <xf numFmtId="0" fontId="28" fillId="3" borderId="30" xfId="0" applyFont="1" applyFill="1" applyBorder="1"/>
    <xf numFmtId="0" fontId="29" fillId="5" borderId="30" xfId="0" applyFont="1" applyFill="1" applyBorder="1" applyAlignment="1">
      <alignment horizontal="left"/>
    </xf>
    <xf numFmtId="0" fontId="29" fillId="5" borderId="30" xfId="0" applyFont="1" applyFill="1" applyBorder="1" applyAlignment="1">
      <alignment horizontal="center" vertical="center" wrapText="1"/>
    </xf>
    <xf numFmtId="4" fontId="29" fillId="5" borderId="30" xfId="0" applyNumberFormat="1" applyFont="1" applyFill="1" applyBorder="1"/>
    <xf numFmtId="2" fontId="29" fillId="5" borderId="30" xfId="0" applyNumberFormat="1" applyFont="1" applyFill="1" applyBorder="1"/>
    <xf numFmtId="0" fontId="28" fillId="2" borderId="31" xfId="0" applyFont="1" applyFill="1" applyBorder="1" applyAlignment="1">
      <alignment horizontal="center" vertical="center"/>
    </xf>
    <xf numFmtId="0" fontId="28" fillId="2" borderId="31" xfId="0" applyFont="1" applyFill="1" applyBorder="1" applyAlignment="1">
      <alignment horizontal="left" vertical="center"/>
    </xf>
    <xf numFmtId="4" fontId="28" fillId="7" borderId="30" xfId="0" applyNumberFormat="1" applyFont="1" applyFill="1" applyBorder="1" applyAlignment="1">
      <alignment horizontal="center"/>
    </xf>
    <xf numFmtId="2" fontId="28" fillId="7" borderId="30" xfId="0" applyNumberFormat="1" applyFont="1" applyFill="1" applyBorder="1" applyAlignment="1">
      <alignment horizontal="center"/>
    </xf>
    <xf numFmtId="164" fontId="28" fillId="7" borderId="30" xfId="1" applyFont="1" applyFill="1" applyBorder="1" applyAlignment="1" applyProtection="1">
      <alignment horizontal="center"/>
    </xf>
    <xf numFmtId="2" fontId="28" fillId="7" borderId="30" xfId="0" applyNumberFormat="1" applyFont="1" applyFill="1" applyBorder="1" applyAlignment="1">
      <alignment horizontal="right"/>
    </xf>
    <xf numFmtId="43" fontId="28" fillId="2" borderId="32" xfId="0" applyNumberFormat="1" applyFont="1" applyFill="1" applyBorder="1" applyAlignment="1">
      <alignment horizontal="left" wrapText="1"/>
    </xf>
    <xf numFmtId="2" fontId="28" fillId="2" borderId="32" xfId="0" applyNumberFormat="1" applyFont="1" applyFill="1" applyBorder="1" applyAlignment="1">
      <alignment horizontal="right" wrapText="1"/>
    </xf>
    <xf numFmtId="0" fontId="28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4" fontId="0" fillId="0" borderId="0" xfId="1" applyFont="1"/>
    <xf numFmtId="0" fontId="32" fillId="0" borderId="43" xfId="0" applyFont="1" applyBorder="1" applyAlignment="1">
      <alignment wrapText="1"/>
    </xf>
    <xf numFmtId="0" fontId="31" fillId="0" borderId="30" xfId="0" applyFont="1" applyBorder="1" applyAlignment="1">
      <alignment horizontal="center" vertical="center"/>
    </xf>
    <xf numFmtId="0" fontId="31" fillId="0" borderId="30" xfId="0" applyFont="1" applyBorder="1" applyAlignment="1">
      <alignment horizontal="center" vertical="center" wrapText="1"/>
    </xf>
    <xf numFmtId="164" fontId="31" fillId="0" borderId="30" xfId="1" applyFont="1" applyFill="1" applyBorder="1" applyAlignment="1">
      <alignment horizontal="center" vertical="center"/>
    </xf>
    <xf numFmtId="2" fontId="31" fillId="0" borderId="30" xfId="1" applyNumberFormat="1" applyFont="1" applyFill="1" applyBorder="1" applyAlignment="1">
      <alignment horizontal="right" vertical="center"/>
    </xf>
    <xf numFmtId="0" fontId="34" fillId="3" borderId="30" xfId="0" applyFont="1" applyFill="1" applyBorder="1" applyAlignment="1">
      <alignment horizontal="left"/>
    </xf>
    <xf numFmtId="0" fontId="28" fillId="3" borderId="30" xfId="0" applyFont="1" applyFill="1" applyBorder="1" applyAlignment="1">
      <alignment horizontal="left"/>
    </xf>
    <xf numFmtId="0" fontId="28" fillId="0" borderId="30" xfId="0" applyFont="1" applyBorder="1" applyAlignment="1">
      <alignment wrapText="1"/>
    </xf>
    <xf numFmtId="0" fontId="28" fillId="0" borderId="30" xfId="0" applyFont="1" applyBorder="1" applyAlignment="1">
      <alignment horizontal="center"/>
    </xf>
    <xf numFmtId="166" fontId="28" fillId="0" borderId="30" xfId="0" applyNumberFormat="1" applyFont="1" applyBorder="1"/>
    <xf numFmtId="0" fontId="29" fillId="3" borderId="30" xfId="0" applyFont="1" applyFill="1" applyBorder="1" applyAlignment="1">
      <alignment horizontal="left"/>
    </xf>
    <xf numFmtId="166" fontId="29" fillId="0" borderId="30" xfId="0" applyNumberFormat="1" applyFont="1" applyBorder="1"/>
    <xf numFmtId="164" fontId="29" fillId="0" borderId="30" xfId="1" applyFont="1" applyBorder="1" applyAlignment="1">
      <alignment horizontal="left"/>
    </xf>
    <xf numFmtId="0" fontId="28" fillId="0" borderId="30" xfId="0" applyFont="1" applyBorder="1" applyAlignment="1">
      <alignment horizontal="left"/>
    </xf>
    <xf numFmtId="164" fontId="28" fillId="0" borderId="30" xfId="1" applyFont="1" applyBorder="1" applyAlignment="1">
      <alignment horizontal="right"/>
    </xf>
    <xf numFmtId="166" fontId="29" fillId="0" borderId="30" xfId="0" applyNumberFormat="1" applyFont="1" applyBorder="1" applyAlignment="1">
      <alignment horizontal="right"/>
    </xf>
    <xf numFmtId="0" fontId="28" fillId="2" borderId="30" xfId="0" applyFont="1" applyFill="1" applyBorder="1" applyAlignment="1">
      <alignment wrapText="1"/>
    </xf>
    <xf numFmtId="0" fontId="28" fillId="2" borderId="30" xfId="0" applyFont="1" applyFill="1" applyBorder="1" applyAlignment="1">
      <alignment horizontal="center" wrapText="1"/>
    </xf>
    <xf numFmtId="0" fontId="28" fillId="2" borderId="32" xfId="0" applyFont="1" applyFill="1" applyBorder="1" applyAlignment="1">
      <alignment horizontal="left" wrapText="1"/>
    </xf>
    <xf numFmtId="164" fontId="28" fillId="2" borderId="32" xfId="0" applyNumberFormat="1" applyFont="1" applyFill="1" applyBorder="1" applyAlignment="1">
      <alignment wrapText="1"/>
    </xf>
    <xf numFmtId="164" fontId="31" fillId="0" borderId="32" xfId="1" applyFont="1" applyBorder="1" applyAlignment="1">
      <alignment horizontal="left"/>
    </xf>
    <xf numFmtId="2" fontId="31" fillId="0" borderId="32" xfId="1" applyNumberFormat="1" applyFont="1" applyBorder="1" applyAlignment="1">
      <alignment horizontal="right"/>
    </xf>
    <xf numFmtId="0" fontId="29" fillId="3" borderId="30" xfId="0" applyFont="1" applyFill="1" applyBorder="1" applyAlignment="1">
      <alignment horizontal="center" vertical="center" wrapText="1"/>
    </xf>
    <xf numFmtId="0" fontId="29" fillId="0" borderId="30" xfId="0" applyFont="1" applyBorder="1" applyAlignment="1">
      <alignment horizontal="center" wrapText="1"/>
    </xf>
    <xf numFmtId="164" fontId="28" fillId="3" borderId="30" xfId="1" applyFont="1" applyFill="1" applyBorder="1"/>
    <xf numFmtId="2" fontId="28" fillId="3" borderId="30" xfId="1" applyNumberFormat="1" applyFont="1" applyFill="1" applyBorder="1"/>
    <xf numFmtId="164" fontId="28" fillId="3" borderId="32" xfId="1" applyFont="1" applyFill="1" applyBorder="1"/>
    <xf numFmtId="2" fontId="28" fillId="3" borderId="32" xfId="1" applyNumberFormat="1" applyFont="1" applyFill="1" applyBorder="1"/>
    <xf numFmtId="164" fontId="28" fillId="0" borderId="32" xfId="0" applyNumberFormat="1" applyFont="1" applyBorder="1"/>
    <xf numFmtId="0" fontId="37" fillId="3" borderId="30" xfId="0" applyFont="1" applyFill="1" applyBorder="1"/>
    <xf numFmtId="0" fontId="29" fillId="5" borderId="30" xfId="0" applyFont="1" applyFill="1" applyBorder="1" applyAlignment="1">
      <alignment horizontal="right"/>
    </xf>
    <xf numFmtId="0" fontId="28" fillId="2" borderId="31" xfId="0" applyFont="1" applyFill="1" applyBorder="1" applyAlignment="1">
      <alignment horizontal="right" vertical="center"/>
    </xf>
    <xf numFmtId="0" fontId="31" fillId="0" borderId="32" xfId="0" applyFont="1" applyBorder="1" applyAlignment="1">
      <alignment wrapText="1"/>
    </xf>
    <xf numFmtId="0" fontId="34" fillId="0" borderId="30" xfId="0" applyFont="1" applyBorder="1" applyAlignment="1">
      <alignment horizontal="center"/>
    </xf>
    <xf numFmtId="0" fontId="34" fillId="3" borderId="30" xfId="0" applyFont="1" applyFill="1" applyBorder="1" applyAlignment="1">
      <alignment horizontal="center"/>
    </xf>
    <xf numFmtId="0" fontId="31" fillId="3" borderId="30" xfId="0" applyFont="1" applyFill="1" applyBorder="1" applyAlignment="1">
      <alignment horizontal="center" wrapText="1"/>
    </xf>
    <xf numFmtId="0" fontId="29" fillId="0" borderId="31" xfId="0" applyFont="1" applyBorder="1" applyAlignment="1">
      <alignment horizontal="center" vertical="center"/>
    </xf>
    <xf numFmtId="0" fontId="28" fillId="3" borderId="31" xfId="0" applyFont="1" applyFill="1" applyBorder="1" applyAlignment="1">
      <alignment horizontal="center"/>
    </xf>
    <xf numFmtId="0" fontId="29" fillId="3" borderId="31" xfId="0" applyFont="1" applyFill="1" applyBorder="1" applyAlignment="1">
      <alignment horizontal="center" vertical="center"/>
    </xf>
    <xf numFmtId="0" fontId="37" fillId="3" borderId="30" xfId="0" applyFont="1" applyFill="1" applyBorder="1" applyAlignment="1">
      <alignment horizontal="center"/>
    </xf>
    <xf numFmtId="0" fontId="28" fillId="2" borderId="31" xfId="0" applyFont="1" applyFill="1" applyBorder="1" applyAlignment="1">
      <alignment horizontal="center" vertical="center" wrapText="1"/>
    </xf>
    <xf numFmtId="0" fontId="31" fillId="2" borderId="31" xfId="0" applyFont="1" applyFill="1" applyBorder="1" applyAlignment="1">
      <alignment vertical="center" wrapText="1"/>
    </xf>
    <xf numFmtId="0" fontId="31" fillId="0" borderId="44" xfId="0" applyFont="1" applyBorder="1" applyAlignment="1">
      <alignment horizontal="center"/>
    </xf>
    <xf numFmtId="164" fontId="9" fillId="5" borderId="0" xfId="1" applyFont="1" applyFill="1"/>
    <xf numFmtId="2" fontId="9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4" fillId="5" borderId="0" xfId="0" applyFont="1" applyFill="1"/>
    <xf numFmtId="0" fontId="14" fillId="5" borderId="0" xfId="0" applyFont="1" applyFill="1" applyAlignment="1">
      <alignment wrapText="1"/>
    </xf>
    <xf numFmtId="0" fontId="14" fillId="5" borderId="0" xfId="0" applyFont="1" applyFill="1" applyAlignment="1">
      <alignment horizontal="center"/>
    </xf>
    <xf numFmtId="2" fontId="14" fillId="5" borderId="0" xfId="0" applyNumberFormat="1" applyFont="1" applyFill="1" applyAlignment="1">
      <alignment horizontal="right"/>
    </xf>
    <xf numFmtId="0" fontId="29" fillId="5" borderId="0" xfId="0" applyFont="1" applyFill="1" applyAlignment="1">
      <alignment horizontal="center"/>
    </xf>
    <xf numFmtId="0" fontId="28" fillId="5" borderId="0" xfId="0" applyFont="1" applyFill="1" applyAlignment="1">
      <alignment horizontal="center"/>
    </xf>
    <xf numFmtId="0" fontId="28" fillId="5" borderId="0" xfId="0" applyFont="1" applyFill="1" applyAlignment="1">
      <alignment wrapText="1"/>
    </xf>
    <xf numFmtId="0" fontId="35" fillId="5" borderId="0" xfId="0" applyFont="1" applyFill="1"/>
    <xf numFmtId="0" fontId="9" fillId="5" borderId="0" xfId="0" applyFont="1" applyFill="1" applyAlignment="1">
      <alignment wrapText="1"/>
    </xf>
    <xf numFmtId="2" fontId="9" fillId="5" borderId="0" xfId="0" applyNumberFormat="1" applyFont="1" applyFill="1" applyAlignment="1">
      <alignment horizontal="right"/>
    </xf>
    <xf numFmtId="0" fontId="34" fillId="0" borderId="30" xfId="0" applyFont="1" applyBorder="1" applyAlignment="1">
      <alignment wrapText="1"/>
    </xf>
    <xf numFmtId="164" fontId="32" fillId="0" borderId="30" xfId="1" applyFont="1" applyFill="1" applyBorder="1" applyAlignment="1">
      <alignment horizontal="left"/>
    </xf>
    <xf numFmtId="2" fontId="32" fillId="0" borderId="30" xfId="1" applyNumberFormat="1" applyFont="1" applyFill="1" applyBorder="1" applyAlignment="1">
      <alignment horizontal="right"/>
    </xf>
    <xf numFmtId="164" fontId="32" fillId="0" borderId="30" xfId="1" applyFont="1" applyFill="1" applyBorder="1" applyAlignment="1"/>
    <xf numFmtId="0" fontId="29" fillId="0" borderId="30" xfId="0" applyFont="1" applyBorder="1" applyAlignment="1">
      <alignment horizontal="right"/>
    </xf>
    <xf numFmtId="43" fontId="31" fillId="7" borderId="32" xfId="0" applyNumberFormat="1" applyFont="1" applyFill="1" applyBorder="1" applyAlignment="1">
      <alignment horizontal="left" vertical="center" wrapText="1"/>
    </xf>
    <xf numFmtId="2" fontId="31" fillId="7" borderId="32" xfId="0" applyNumberFormat="1" applyFont="1" applyFill="1" applyBorder="1" applyAlignment="1">
      <alignment horizontal="right" vertical="center" wrapText="1"/>
    </xf>
    <xf numFmtId="2" fontId="31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1" fillId="3" borderId="31" xfId="0" applyFont="1" applyFill="1" applyBorder="1" applyAlignment="1">
      <alignment horizontal="center"/>
    </xf>
    <xf numFmtId="0" fontId="31" fillId="0" borderId="30" xfId="0" applyFont="1" applyBorder="1" applyAlignment="1">
      <alignment horizontal="right" vertical="center"/>
    </xf>
    <xf numFmtId="0" fontId="31" fillId="0" borderId="30" xfId="0" applyFont="1" applyBorder="1" applyAlignment="1">
      <alignment horizontal="left" vertical="center"/>
    </xf>
    <xf numFmtId="0" fontId="32" fillId="0" borderId="30" xfId="0" applyFont="1" applyBorder="1" applyAlignment="1">
      <alignment horizontal="center" wrapText="1"/>
    </xf>
    <xf numFmtId="164" fontId="32" fillId="3" borderId="30" xfId="1" applyFont="1" applyFill="1" applyBorder="1"/>
    <xf numFmtId="2" fontId="32" fillId="3" borderId="30" xfId="1" applyNumberFormat="1" applyFont="1" applyFill="1" applyBorder="1"/>
    <xf numFmtId="164" fontId="31" fillId="3" borderId="30" xfId="1" applyFont="1" applyFill="1" applyBorder="1"/>
    <xf numFmtId="0" fontId="32" fillId="3" borderId="31" xfId="0" applyFont="1" applyFill="1" applyBorder="1" applyAlignment="1">
      <alignment vertical="center"/>
    </xf>
    <xf numFmtId="0" fontId="32" fillId="3" borderId="31" xfId="0" applyFont="1" applyFill="1" applyBorder="1" applyAlignment="1">
      <alignment horizontal="center" vertical="center"/>
    </xf>
    <xf numFmtId="0" fontId="32" fillId="3" borderId="30" xfId="0" applyFont="1" applyFill="1" applyBorder="1" applyAlignment="1">
      <alignment horizontal="left" vertical="center" wrapText="1"/>
    </xf>
    <xf numFmtId="2" fontId="31" fillId="3" borderId="30" xfId="1" applyNumberFormat="1" applyFont="1" applyFill="1" applyBorder="1"/>
    <xf numFmtId="164" fontId="31" fillId="3" borderId="32" xfId="1" applyFont="1" applyFill="1" applyBorder="1"/>
    <xf numFmtId="2" fontId="31" fillId="3" borderId="32" xfId="1" applyNumberFormat="1" applyFont="1" applyFill="1" applyBorder="1"/>
    <xf numFmtId="164" fontId="31" fillId="0" borderId="32" xfId="0" applyNumberFormat="1" applyFont="1" applyBorder="1"/>
    <xf numFmtId="0" fontId="31" fillId="2" borderId="30" xfId="0" applyFont="1" applyFill="1" applyBorder="1" applyAlignment="1">
      <alignment horizontal="right" wrapText="1"/>
    </xf>
    <xf numFmtId="43" fontId="31" fillId="2" borderId="32" xfId="0" applyNumberFormat="1" applyFont="1" applyFill="1" applyBorder="1" applyAlignment="1">
      <alignment horizontal="left" wrapText="1"/>
    </xf>
    <xf numFmtId="2" fontId="31" fillId="2" borderId="32" xfId="0" applyNumberFormat="1" applyFont="1" applyFill="1" applyBorder="1" applyAlignment="1">
      <alignment horizontal="right" wrapText="1"/>
    </xf>
    <xf numFmtId="164" fontId="31" fillId="8" borderId="30" xfId="1" applyFont="1" applyFill="1" applyBorder="1"/>
    <xf numFmtId="0" fontId="32" fillId="0" borderId="42" xfId="0" applyFont="1" applyBorder="1" applyAlignment="1">
      <alignment horizontal="center"/>
    </xf>
    <xf numFmtId="2" fontId="32" fillId="0" borderId="42" xfId="1" applyNumberFormat="1" applyFont="1" applyBorder="1"/>
    <xf numFmtId="0" fontId="31" fillId="9" borderId="30" xfId="0" applyFont="1" applyFill="1" applyBorder="1" applyAlignment="1">
      <alignment vertical="center" wrapText="1"/>
    </xf>
    <xf numFmtId="43" fontId="31" fillId="9" borderId="32" xfId="0" applyNumberFormat="1" applyFont="1" applyFill="1" applyBorder="1" applyAlignment="1">
      <alignment horizontal="left" vertical="center" wrapText="1"/>
    </xf>
    <xf numFmtId="2" fontId="31" fillId="9" borderId="32" xfId="0" applyNumberFormat="1" applyFont="1" applyFill="1" applyBorder="1" applyAlignment="1">
      <alignment horizontal="right" vertical="center" wrapText="1"/>
    </xf>
    <xf numFmtId="164" fontId="31" fillId="10" borderId="30" xfId="1" applyFont="1" applyFill="1" applyBorder="1" applyAlignment="1"/>
    <xf numFmtId="2" fontId="31" fillId="10" borderId="30" xfId="0" applyNumberFormat="1" applyFont="1" applyFill="1" applyBorder="1"/>
    <xf numFmtId="164" fontId="31" fillId="10" borderId="30" xfId="1" applyFont="1" applyFill="1" applyBorder="1"/>
    <xf numFmtId="164" fontId="0" fillId="5" borderId="0" xfId="0" applyNumberFormat="1" applyFill="1"/>
    <xf numFmtId="4" fontId="32" fillId="0" borderId="30" xfId="1" applyNumberFormat="1" applyFont="1" applyBorder="1"/>
    <xf numFmtId="0" fontId="31" fillId="11" borderId="30" xfId="0" applyFont="1" applyFill="1" applyBorder="1" applyAlignment="1">
      <alignment horizontal="center" vertical="center"/>
    </xf>
    <xf numFmtId="0" fontId="31" fillId="11" borderId="42" xfId="0" applyFont="1" applyFill="1" applyBorder="1" applyAlignment="1">
      <alignment horizontal="center" vertical="center"/>
    </xf>
    <xf numFmtId="0" fontId="31" fillId="11" borderId="30" xfId="0" applyFont="1" applyFill="1" applyBorder="1" applyAlignment="1">
      <alignment horizontal="center" vertical="center" wrapText="1"/>
    </xf>
    <xf numFmtId="164" fontId="31" fillId="11" borderId="30" xfId="1" applyFont="1" applyFill="1" applyBorder="1" applyAlignment="1">
      <alignment horizontal="center" vertical="center"/>
    </xf>
    <xf numFmtId="2" fontId="31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5" fillId="5" borderId="0" xfId="0" applyFont="1" applyFill="1" applyAlignment="1">
      <alignment horizontal="center"/>
    </xf>
    <xf numFmtId="164" fontId="31" fillId="2" borderId="30" xfId="1" applyFont="1" applyFill="1" applyBorder="1" applyAlignment="1">
      <alignment horizontal="center"/>
    </xf>
    <xf numFmtId="2" fontId="31" fillId="2" borderId="30" xfId="1" applyNumberFormat="1" applyFont="1" applyFill="1" applyBorder="1" applyAlignment="1">
      <alignment horizontal="right"/>
    </xf>
    <xf numFmtId="0" fontId="32" fillId="0" borderId="31" xfId="0" applyFont="1" applyBorder="1" applyAlignment="1">
      <alignment horizontal="center"/>
    </xf>
    <xf numFmtId="0" fontId="29" fillId="0" borderId="30" xfId="0" applyFont="1" applyBorder="1" applyAlignment="1">
      <alignment vertical="center" wrapText="1"/>
    </xf>
    <xf numFmtId="0" fontId="31" fillId="5" borderId="0" xfId="0" applyFont="1" applyFill="1" applyAlignment="1">
      <alignment wrapText="1"/>
    </xf>
    <xf numFmtId="4" fontId="31" fillId="4" borderId="0" xfId="0" applyNumberFormat="1" applyFont="1" applyFill="1"/>
    <xf numFmtId="164" fontId="32" fillId="5" borderId="30" xfId="1" applyFont="1" applyFill="1" applyBorder="1"/>
    <xf numFmtId="164" fontId="31" fillId="5" borderId="30" xfId="1" applyFont="1" applyFill="1" applyBorder="1"/>
    <xf numFmtId="164" fontId="32" fillId="4" borderId="30" xfId="1" applyFont="1" applyFill="1" applyBorder="1"/>
    <xf numFmtId="164" fontId="32" fillId="5" borderId="30" xfId="1" applyFont="1" applyFill="1" applyBorder="1" applyAlignment="1">
      <alignment horizontal="right"/>
    </xf>
    <xf numFmtId="164" fontId="31" fillId="4" borderId="30" xfId="1" applyFont="1" applyFill="1" applyBorder="1"/>
    <xf numFmtId="43" fontId="0" fillId="0" borderId="30" xfId="0" applyNumberFormat="1" applyBorder="1" applyAlignment="1">
      <alignment horizontal="center"/>
    </xf>
    <xf numFmtId="164" fontId="31" fillId="2" borderId="30" xfId="0" applyNumberFormat="1" applyFont="1" applyFill="1" applyBorder="1" applyAlignment="1">
      <alignment vertical="center" wrapText="1"/>
    </xf>
    <xf numFmtId="2" fontId="31" fillId="2" borderId="30" xfId="0" applyNumberFormat="1" applyFont="1" applyFill="1" applyBorder="1" applyAlignment="1">
      <alignment horizontal="right" vertical="center" wrapText="1"/>
    </xf>
    <xf numFmtId="0" fontId="32" fillId="3" borderId="30" xfId="0" applyFont="1" applyFill="1" applyBorder="1" applyAlignment="1">
      <alignment vertical="center"/>
    </xf>
    <xf numFmtId="0" fontId="32" fillId="3" borderId="30" xfId="0" applyFont="1" applyFill="1" applyBorder="1" applyAlignment="1">
      <alignment horizontal="center" vertical="center"/>
    </xf>
    <xf numFmtId="0" fontId="32" fillId="0" borderId="30" xfId="0" applyFont="1" applyBorder="1" applyAlignment="1">
      <alignment horizontal="center" vertical="center"/>
    </xf>
    <xf numFmtId="4" fontId="31" fillId="0" borderId="30" xfId="1" applyNumberFormat="1" applyFont="1" applyBorder="1"/>
    <xf numFmtId="0" fontId="31" fillId="2" borderId="30" xfId="0" applyFont="1" applyFill="1" applyBorder="1" applyAlignment="1">
      <alignment wrapText="1"/>
    </xf>
    <xf numFmtId="164" fontId="31" fillId="2" borderId="30" xfId="0" applyNumberFormat="1" applyFont="1" applyFill="1" applyBorder="1" applyAlignment="1">
      <alignment wrapText="1"/>
    </xf>
    <xf numFmtId="2" fontId="31" fillId="2" borderId="30" xfId="0" applyNumberFormat="1" applyFont="1" applyFill="1" applyBorder="1" applyAlignment="1">
      <alignment horizontal="right" wrapText="1"/>
    </xf>
    <xf numFmtId="0" fontId="32" fillId="4" borderId="30" xfId="0" applyFont="1" applyFill="1" applyBorder="1" applyAlignment="1">
      <alignment horizontal="left"/>
    </xf>
    <xf numFmtId="164" fontId="31" fillId="4" borderId="0" xfId="0" applyNumberFormat="1" applyFont="1" applyFill="1" applyAlignment="1">
      <alignment horizontal="center" wrapText="1"/>
    </xf>
    <xf numFmtId="164" fontId="31" fillId="11" borderId="0" xfId="0" applyNumberFormat="1" applyFont="1" applyFill="1" applyAlignment="1">
      <alignment wrapText="1"/>
    </xf>
    <xf numFmtId="0" fontId="34" fillId="3" borderId="30" xfId="0" applyFont="1" applyFill="1" applyBorder="1" applyAlignment="1">
      <alignment horizontal="left" wrapText="1"/>
    </xf>
    <xf numFmtId="0" fontId="34" fillId="3" borderId="30" xfId="0" applyFont="1" applyFill="1" applyBorder="1" applyAlignment="1">
      <alignment horizontal="center" wrapText="1"/>
    </xf>
    <xf numFmtId="164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4" fontId="31" fillId="0" borderId="30" xfId="1" applyFont="1" applyFill="1" applyBorder="1"/>
    <xf numFmtId="164" fontId="31" fillId="0" borderId="30" xfId="1" applyFont="1" applyFill="1" applyBorder="1" applyAlignment="1"/>
    <xf numFmtId="0" fontId="32" fillId="0" borderId="30" xfId="0" applyFont="1" applyBorder="1" applyAlignment="1">
      <alignment vertical="center"/>
    </xf>
    <xf numFmtId="4" fontId="28" fillId="7" borderId="30" xfId="0" applyNumberFormat="1" applyFont="1" applyFill="1" applyBorder="1" applyAlignment="1">
      <alignment horizontal="right"/>
    </xf>
    <xf numFmtId="0" fontId="28" fillId="2" borderId="31" xfId="0" applyFont="1" applyFill="1" applyBorder="1" applyAlignment="1">
      <alignment horizontal="right" wrapText="1"/>
    </xf>
    <xf numFmtId="0" fontId="28" fillId="2" borderId="31" xfId="0" applyFont="1" applyFill="1" applyBorder="1" applyAlignment="1">
      <alignment horizontal="right"/>
    </xf>
    <xf numFmtId="164" fontId="28" fillId="7" borderId="30" xfId="1" applyFont="1" applyFill="1" applyBorder="1" applyAlignment="1" applyProtection="1">
      <alignment horizontal="right"/>
    </xf>
    <xf numFmtId="14" fontId="32" fillId="3" borderId="30" xfId="0" applyNumberFormat="1" applyFont="1" applyFill="1" applyBorder="1" applyAlignment="1">
      <alignment horizontal="right"/>
    </xf>
    <xf numFmtId="14" fontId="32" fillId="0" borderId="30" xfId="0" applyNumberFormat="1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0" fontId="32" fillId="3" borderId="30" xfId="0" applyFont="1" applyFill="1" applyBorder="1" applyAlignment="1">
      <alignment horizontal="right"/>
    </xf>
    <xf numFmtId="0" fontId="32" fillId="0" borderId="30" xfId="0" applyFont="1" applyBorder="1" applyAlignment="1">
      <alignment horizontal="right" wrapText="1"/>
    </xf>
    <xf numFmtId="14" fontId="34" fillId="3" borderId="30" xfId="0" applyNumberFormat="1" applyFont="1" applyFill="1" applyBorder="1" applyAlignment="1">
      <alignment horizontal="right"/>
    </xf>
    <xf numFmtId="14" fontId="34" fillId="0" borderId="30" xfId="0" applyNumberFormat="1" applyFont="1" applyBorder="1" applyAlignment="1">
      <alignment horizontal="right" wrapText="1"/>
    </xf>
    <xf numFmtId="2" fontId="32" fillId="0" borderId="30" xfId="1" applyNumberFormat="1" applyFont="1" applyFill="1" applyBorder="1"/>
    <xf numFmtId="0" fontId="31" fillId="2" borderId="31" xfId="0" applyFont="1" applyFill="1" applyBorder="1" applyAlignment="1">
      <alignment horizontal="right" wrapText="1"/>
    </xf>
    <xf numFmtId="0" fontId="31" fillId="2" borderId="31" xfId="0" applyFont="1" applyFill="1" applyBorder="1" applyAlignment="1">
      <alignment horizontal="right"/>
    </xf>
    <xf numFmtId="0" fontId="31" fillId="7" borderId="31" xfId="0" applyFont="1" applyFill="1" applyBorder="1" applyAlignment="1">
      <alignment horizontal="right"/>
    </xf>
    <xf numFmtId="4" fontId="31" fillId="8" borderId="30" xfId="0" applyNumberFormat="1" applyFont="1" applyFill="1" applyBorder="1"/>
    <xf numFmtId="14" fontId="35" fillId="0" borderId="30" xfId="0" applyNumberFormat="1" applyFont="1" applyBorder="1" applyAlignment="1">
      <alignment horizontal="right" wrapText="1"/>
    </xf>
    <xf numFmtId="164" fontId="36" fillId="2" borderId="30" xfId="1" applyFont="1" applyFill="1" applyBorder="1" applyAlignment="1">
      <alignment horizontal="center"/>
    </xf>
    <xf numFmtId="2" fontId="36" fillId="2" borderId="30" xfId="1" applyNumberFormat="1" applyFont="1" applyFill="1" applyBorder="1" applyAlignment="1">
      <alignment horizontal="right"/>
    </xf>
    <xf numFmtId="0" fontId="36" fillId="2" borderId="30" xfId="0" applyFont="1" applyFill="1" applyBorder="1" applyAlignment="1">
      <alignment horizontal="right" wrapText="1"/>
    </xf>
    <xf numFmtId="4" fontId="20" fillId="0" borderId="30" xfId="0" applyNumberFormat="1" applyFont="1" applyBorder="1"/>
    <xf numFmtId="4" fontId="20" fillId="5" borderId="30" xfId="0" applyNumberFormat="1" applyFont="1" applyFill="1" applyBorder="1"/>
    <xf numFmtId="4" fontId="19" fillId="8" borderId="30" xfId="0" applyNumberFormat="1" applyFont="1" applyFill="1" applyBorder="1"/>
    <xf numFmtId="0" fontId="34" fillId="3" borderId="30" xfId="0" applyFont="1" applyFill="1" applyBorder="1"/>
    <xf numFmtId="0" fontId="32" fillId="0" borderId="30" xfId="0" applyFont="1" applyBorder="1" applyAlignment="1">
      <alignment horizontal="right"/>
    </xf>
    <xf numFmtId="0" fontId="34" fillId="3" borderId="30" xfId="0" applyFont="1" applyFill="1" applyBorder="1" applyAlignment="1">
      <alignment wrapText="1"/>
    </xf>
    <xf numFmtId="164" fontId="27" fillId="2" borderId="37" xfId="1" applyFont="1" applyFill="1" applyBorder="1" applyAlignment="1">
      <alignment horizontal="center" vertical="center"/>
    </xf>
    <xf numFmtId="0" fontId="31" fillId="0" borderId="45" xfId="0" applyFont="1" applyBorder="1"/>
    <xf numFmtId="164" fontId="32" fillId="0" borderId="46" xfId="1" applyFont="1" applyBorder="1"/>
    <xf numFmtId="0" fontId="32" fillId="0" borderId="45" xfId="0" applyFont="1" applyBorder="1"/>
    <xf numFmtId="0" fontId="31" fillId="3" borderId="45" xfId="0" applyFont="1" applyFill="1" applyBorder="1"/>
    <xf numFmtId="164" fontId="31" fillId="0" borderId="46" xfId="1" applyFont="1" applyBorder="1"/>
    <xf numFmtId="0" fontId="31" fillId="9" borderId="47" xfId="0" applyFont="1" applyFill="1" applyBorder="1" applyAlignment="1">
      <alignment vertical="center" wrapText="1"/>
    </xf>
    <xf numFmtId="0" fontId="31" fillId="9" borderId="48" xfId="0" applyFont="1" applyFill="1" applyBorder="1" applyAlignment="1">
      <alignment vertical="center" wrapText="1"/>
    </xf>
    <xf numFmtId="164" fontId="31" fillId="12" borderId="48" xfId="0" applyNumberFormat="1" applyFont="1" applyFill="1" applyBorder="1"/>
    <xf numFmtId="2" fontId="31" fillId="12" borderId="48" xfId="0" applyNumberFormat="1" applyFont="1" applyFill="1" applyBorder="1"/>
    <xf numFmtId="164" fontId="31" fillId="12" borderId="48" xfId="1" applyFont="1" applyFill="1" applyBorder="1" applyAlignment="1"/>
    <xf numFmtId="2" fontId="31" fillId="12" borderId="48" xfId="1" applyNumberFormat="1" applyFont="1" applyFill="1" applyBorder="1"/>
    <xf numFmtId="164" fontId="31" fillId="12" borderId="48" xfId="1" applyFont="1" applyFill="1" applyBorder="1"/>
    <xf numFmtId="164" fontId="31" fillId="12" borderId="41" xfId="1" applyFont="1" applyFill="1" applyBorder="1"/>
    <xf numFmtId="0" fontId="31" fillId="2" borderId="30" xfId="0" applyFont="1" applyFill="1" applyBorder="1" applyAlignment="1">
      <alignment horizontal="right"/>
    </xf>
    <xf numFmtId="0" fontId="31" fillId="7" borderId="30" xfId="0" applyFont="1" applyFill="1" applyBorder="1" applyAlignment="1">
      <alignment horizontal="right"/>
    </xf>
    <xf numFmtId="164" fontId="31" fillId="12" borderId="30" xfId="0" applyNumberFormat="1" applyFont="1" applyFill="1" applyBorder="1"/>
    <xf numFmtId="2" fontId="31" fillId="12" borderId="30" xfId="0" applyNumberFormat="1" applyFont="1" applyFill="1" applyBorder="1"/>
    <xf numFmtId="164" fontId="31" fillId="12" borderId="30" xfId="1" applyFont="1" applyFill="1" applyBorder="1" applyAlignment="1"/>
    <xf numFmtId="2" fontId="31" fillId="12" borderId="30" xfId="1" applyNumberFormat="1" applyFont="1" applyFill="1" applyBorder="1"/>
    <xf numFmtId="164" fontId="31" fillId="12" borderId="30" xfId="1" applyFont="1" applyFill="1" applyBorder="1"/>
    <xf numFmtId="0" fontId="31" fillId="9" borderId="30" xfId="0" applyFont="1" applyFill="1" applyBorder="1" applyAlignment="1">
      <alignment wrapText="1"/>
    </xf>
    <xf numFmtId="0" fontId="32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1" fillId="3" borderId="30" xfId="0" applyFont="1" applyFill="1" applyBorder="1" applyAlignment="1">
      <alignment vertical="center" wrapText="1"/>
    </xf>
    <xf numFmtId="0" fontId="31" fillId="11" borderId="0" xfId="0" applyFont="1" applyFill="1" applyAlignment="1">
      <alignment horizontal="right" wrapText="1"/>
    </xf>
    <xf numFmtId="0" fontId="31" fillId="11" borderId="0" xfId="0" applyFont="1" applyFill="1" applyAlignment="1">
      <alignment horizontal="right"/>
    </xf>
    <xf numFmtId="4" fontId="31" fillId="5" borderId="0" xfId="0" applyNumberFormat="1" applyFont="1" applyFill="1"/>
    <xf numFmtId="2" fontId="31" fillId="5" borderId="0" xfId="0" applyNumberFormat="1" applyFont="1" applyFill="1"/>
    <xf numFmtId="4" fontId="19" fillId="5" borderId="0" xfId="0" applyNumberFormat="1" applyFont="1" applyFill="1"/>
    <xf numFmtId="164" fontId="31" fillId="8" borderId="30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164" fontId="27" fillId="11" borderId="30" xfId="1" applyFont="1" applyFill="1" applyBorder="1" applyAlignment="1">
      <alignment horizontal="center" vertical="center"/>
    </xf>
    <xf numFmtId="2" fontId="27" fillId="11" borderId="30" xfId="1" applyNumberFormat="1" applyFont="1" applyFill="1" applyBorder="1" applyAlignment="1">
      <alignment horizontal="right" vertical="center"/>
    </xf>
    <xf numFmtId="0" fontId="34" fillId="0" borderId="30" xfId="0" applyFont="1" applyBorder="1"/>
    <xf numFmtId="0" fontId="31" fillId="8" borderId="30" xfId="0" applyFont="1" applyFill="1" applyBorder="1" applyAlignment="1">
      <alignment vertical="center" wrapText="1"/>
    </xf>
    <xf numFmtId="0" fontId="31" fillId="8" borderId="30" xfId="0" applyFont="1" applyFill="1" applyBorder="1" applyAlignment="1">
      <alignment wrapText="1"/>
    </xf>
    <xf numFmtId="164" fontId="31" fillId="8" borderId="30" xfId="0" applyNumberFormat="1" applyFont="1" applyFill="1" applyBorder="1" applyAlignment="1">
      <alignment wrapText="1"/>
    </xf>
    <xf numFmtId="2" fontId="31" fillId="8" borderId="30" xfId="0" applyNumberFormat="1" applyFont="1" applyFill="1" applyBorder="1" applyAlignment="1">
      <alignment horizontal="right" wrapText="1"/>
    </xf>
    <xf numFmtId="0" fontId="32" fillId="3" borderId="30" xfId="0" applyFont="1" applyFill="1" applyBorder="1" applyAlignment="1">
      <alignment horizontal="left" wrapText="1"/>
    </xf>
    <xf numFmtId="0" fontId="9" fillId="5" borderId="0" xfId="4" applyFont="1" applyFill="1"/>
    <xf numFmtId="0" fontId="9" fillId="5" borderId="0" xfId="4" applyFont="1" applyFill="1" applyAlignment="1">
      <alignment horizontal="center"/>
    </xf>
    <xf numFmtId="164" fontId="9" fillId="5" borderId="0" xfId="2" applyFont="1" applyFill="1"/>
    <xf numFmtId="2" fontId="9" fillId="5" borderId="0" xfId="2" applyNumberFormat="1" applyFont="1" applyFill="1"/>
    <xf numFmtId="0" fontId="9" fillId="0" borderId="0" xfId="4" applyFont="1"/>
    <xf numFmtId="164" fontId="31" fillId="8" borderId="30" xfId="2" applyFont="1" applyFill="1" applyBorder="1" applyAlignment="1">
      <alignment horizontal="center" vertical="center"/>
    </xf>
    <xf numFmtId="0" fontId="31" fillId="0" borderId="30" xfId="4" applyFont="1" applyBorder="1"/>
    <xf numFmtId="0" fontId="32" fillId="0" borderId="30" xfId="4" applyFont="1" applyBorder="1" applyAlignment="1">
      <alignment horizontal="center"/>
    </xf>
    <xf numFmtId="164" fontId="32" fillId="0" borderId="30" xfId="2" applyFont="1" applyFill="1" applyBorder="1"/>
    <xf numFmtId="2" fontId="32" fillId="0" borderId="30" xfId="2" applyNumberFormat="1" applyFont="1" applyBorder="1"/>
    <xf numFmtId="164" fontId="32" fillId="0" borderId="30" xfId="2" applyFont="1" applyBorder="1"/>
    <xf numFmtId="164" fontId="32" fillId="5" borderId="30" xfId="2" applyFont="1" applyFill="1" applyBorder="1"/>
    <xf numFmtId="0" fontId="32" fillId="0" borderId="30" xfId="4" applyFont="1" applyBorder="1"/>
    <xf numFmtId="164" fontId="32" fillId="0" borderId="30" xfId="2" applyFont="1" applyFill="1" applyBorder="1" applyAlignment="1">
      <alignment horizontal="right"/>
    </xf>
    <xf numFmtId="164" fontId="32" fillId="0" borderId="30" xfId="2" applyFont="1" applyBorder="1" applyAlignment="1">
      <alignment horizontal="right"/>
    </xf>
    <xf numFmtId="0" fontId="32" fillId="3" borderId="30" xfId="4" applyFont="1" applyFill="1" applyBorder="1"/>
    <xf numFmtId="0" fontId="34" fillId="0" borderId="30" xfId="4" applyFont="1" applyBorder="1" applyAlignment="1">
      <alignment horizontal="left"/>
    </xf>
    <xf numFmtId="0" fontId="32" fillId="0" borderId="30" xfId="4" applyFont="1" applyBorder="1" applyAlignment="1">
      <alignment horizontal="left"/>
    </xf>
    <xf numFmtId="0" fontId="31" fillId="3" borderId="30" xfId="4" applyFont="1" applyFill="1" applyBorder="1"/>
    <xf numFmtId="0" fontId="31" fillId="0" borderId="30" xfId="4" applyFont="1" applyBorder="1" applyAlignment="1">
      <alignment horizontal="right"/>
    </xf>
    <xf numFmtId="164" fontId="31" fillId="0" borderId="30" xfId="2" applyFont="1" applyFill="1" applyBorder="1"/>
    <xf numFmtId="2" fontId="31" fillId="0" borderId="30" xfId="2" applyNumberFormat="1" applyFont="1" applyBorder="1"/>
    <xf numFmtId="164" fontId="31" fillId="0" borderId="30" xfId="2" applyFont="1" applyBorder="1"/>
    <xf numFmtId="164" fontId="31" fillId="5" borderId="30" xfId="2" applyFont="1" applyFill="1" applyBorder="1"/>
    <xf numFmtId="0" fontId="31" fillId="0" borderId="30" xfId="4" applyFont="1" applyBorder="1" applyAlignment="1">
      <alignment horizontal="left"/>
    </xf>
    <xf numFmtId="0" fontId="34" fillId="0" borderId="30" xfId="4" applyFont="1" applyBorder="1" applyAlignment="1">
      <alignment horizontal="center"/>
    </xf>
    <xf numFmtId="0" fontId="32" fillId="0" borderId="30" xfId="4" applyFont="1" applyBorder="1" applyAlignment="1">
      <alignment vertical="center"/>
    </xf>
    <xf numFmtId="0" fontId="32" fillId="3" borderId="30" xfId="4" applyFont="1" applyFill="1" applyBorder="1" applyAlignment="1">
      <alignment horizontal="center" vertical="center"/>
    </xf>
    <xf numFmtId="0" fontId="32" fillId="3" borderId="30" xfId="4" applyFont="1" applyFill="1" applyBorder="1" applyAlignment="1">
      <alignment horizontal="left" vertical="center" wrapText="1"/>
    </xf>
    <xf numFmtId="2" fontId="32" fillId="3" borderId="30" xfId="2" applyNumberFormat="1" applyFont="1" applyFill="1" applyBorder="1"/>
    <xf numFmtId="164" fontId="32" fillId="3" borderId="30" xfId="2" applyFont="1" applyFill="1" applyBorder="1"/>
    <xf numFmtId="164" fontId="32" fillId="4" borderId="30" xfId="2" applyFont="1" applyFill="1" applyBorder="1"/>
    <xf numFmtId="2" fontId="32" fillId="0" borderId="30" xfId="2" applyNumberFormat="1" applyFont="1" applyFill="1" applyBorder="1"/>
    <xf numFmtId="0" fontId="31" fillId="3" borderId="30" xfId="4" applyFont="1" applyFill="1" applyBorder="1" applyAlignment="1">
      <alignment vertical="center" wrapText="1"/>
    </xf>
    <xf numFmtId="0" fontId="32" fillId="3" borderId="30" xfId="4" applyFont="1" applyFill="1" applyBorder="1" applyAlignment="1">
      <alignment horizontal="center"/>
    </xf>
    <xf numFmtId="0" fontId="32" fillId="0" borderId="30" xfId="4" applyFont="1" applyBorder="1" applyAlignment="1">
      <alignment wrapText="1"/>
    </xf>
    <xf numFmtId="164" fontId="32" fillId="0" borderId="30" xfId="2" applyFont="1" applyFill="1" applyBorder="1" applyAlignment="1">
      <alignment horizontal="left"/>
    </xf>
    <xf numFmtId="2" fontId="32" fillId="0" borderId="30" xfId="2" applyNumberFormat="1" applyFont="1" applyFill="1" applyBorder="1" applyAlignment="1">
      <alignment horizontal="right"/>
    </xf>
    <xf numFmtId="0" fontId="31" fillId="0" borderId="30" xfId="4" applyFont="1" applyBorder="1" applyAlignment="1">
      <alignment wrapText="1"/>
    </xf>
    <xf numFmtId="0" fontId="31" fillId="3" borderId="30" xfId="4" applyFont="1" applyFill="1" applyBorder="1" applyAlignment="1">
      <alignment horizontal="left" wrapText="1"/>
    </xf>
    <xf numFmtId="0" fontId="32" fillId="3" borderId="30" xfId="4" applyFont="1" applyFill="1" applyBorder="1" applyAlignment="1">
      <alignment horizontal="left"/>
    </xf>
    <xf numFmtId="2" fontId="32" fillId="0" borderId="30" xfId="2" applyNumberFormat="1" applyFont="1" applyBorder="1" applyAlignment="1">
      <alignment horizontal="right"/>
    </xf>
    <xf numFmtId="164" fontId="32" fillId="0" borderId="30" xfId="2" applyFont="1" applyBorder="1" applyAlignment="1"/>
    <xf numFmtId="0" fontId="32" fillId="0" borderId="30" xfId="4" applyFont="1" applyBorder="1" applyAlignment="1">
      <alignment horizontal="center" vertical="center"/>
    </xf>
    <xf numFmtId="164" fontId="32" fillId="5" borderId="30" xfId="2" applyFont="1" applyFill="1" applyBorder="1" applyAlignment="1">
      <alignment horizontal="right"/>
    </xf>
    <xf numFmtId="0" fontId="31" fillId="0" borderId="30" xfId="4" applyFont="1" applyBorder="1" applyAlignment="1">
      <alignment horizontal="center"/>
    </xf>
    <xf numFmtId="0" fontId="31" fillId="0" borderId="30" xfId="4" applyFont="1" applyBorder="1" applyAlignment="1">
      <alignment horizontal="left" vertical="center"/>
    </xf>
    <xf numFmtId="164" fontId="31" fillId="0" borderId="30" xfId="2" applyFont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0" fontId="31" fillId="3" borderId="30" xfId="4" applyFont="1" applyFill="1" applyBorder="1" applyAlignment="1">
      <alignment horizontal="center"/>
    </xf>
    <xf numFmtId="2" fontId="31" fillId="0" borderId="30" xfId="4" applyNumberFormat="1" applyFont="1" applyBorder="1"/>
    <xf numFmtId="164" fontId="31" fillId="3" borderId="30" xfId="2" applyFont="1" applyFill="1" applyBorder="1"/>
    <xf numFmtId="164" fontId="31" fillId="4" borderId="30" xfId="2" applyFont="1" applyFill="1" applyBorder="1"/>
    <xf numFmtId="164" fontId="31" fillId="0" borderId="30" xfId="2" applyFont="1" applyBorder="1" applyAlignment="1">
      <alignment horizontal="right"/>
    </xf>
    <xf numFmtId="0" fontId="31" fillId="3" borderId="30" xfId="4" applyFont="1" applyFill="1" applyBorder="1" applyAlignment="1">
      <alignment horizontal="left"/>
    </xf>
    <xf numFmtId="0" fontId="32" fillId="3" borderId="30" xfId="4" applyFont="1" applyFill="1" applyBorder="1" applyAlignment="1">
      <alignment horizontal="left" vertical="top" wrapText="1"/>
    </xf>
    <xf numFmtId="0" fontId="29" fillId="0" borderId="30" xfId="4" applyFont="1" applyBorder="1" applyAlignment="1">
      <alignment horizontal="center" vertical="center" wrapText="1"/>
    </xf>
    <xf numFmtId="0" fontId="32" fillId="0" borderId="30" xfId="4" applyFont="1" applyBorder="1" applyAlignment="1">
      <alignment horizontal="center" vertical="center" wrapText="1"/>
    </xf>
    <xf numFmtId="164" fontId="24" fillId="0" borderId="30" xfId="2" applyFont="1" applyBorder="1"/>
    <xf numFmtId="0" fontId="36" fillId="2" borderId="30" xfId="4" applyFont="1" applyFill="1" applyBorder="1" applyAlignment="1">
      <alignment horizontal="right" wrapText="1"/>
    </xf>
    <xf numFmtId="0" fontId="31" fillId="2" borderId="30" xfId="4" applyFont="1" applyFill="1" applyBorder="1" applyAlignment="1">
      <alignment vertical="center" wrapText="1"/>
    </xf>
    <xf numFmtId="0" fontId="31" fillId="2" borderId="30" xfId="4" applyFont="1" applyFill="1" applyBorder="1" applyAlignment="1">
      <alignment horizontal="right" wrapText="1"/>
    </xf>
    <xf numFmtId="164" fontId="36" fillId="8" borderId="30" xfId="2" applyFont="1" applyFill="1" applyBorder="1" applyAlignment="1">
      <alignment horizontal="center"/>
    </xf>
    <xf numFmtId="2" fontId="36" fillId="2" borderId="30" xfId="2" applyNumberFormat="1" applyFont="1" applyFill="1" applyBorder="1" applyAlignment="1">
      <alignment horizontal="right"/>
    </xf>
    <xf numFmtId="164" fontId="36" fillId="2" borderId="30" xfId="2" applyFont="1" applyFill="1" applyBorder="1" applyAlignment="1">
      <alignment horizontal="center"/>
    </xf>
    <xf numFmtId="0" fontId="11" fillId="5" borderId="0" xfId="4" applyFill="1"/>
    <xf numFmtId="0" fontId="32" fillId="5" borderId="0" xfId="4" applyFont="1" applyFill="1" applyAlignment="1">
      <alignment horizontal="center"/>
    </xf>
    <xf numFmtId="0" fontId="11" fillId="0" borderId="0" xfId="4"/>
    <xf numFmtId="0" fontId="38" fillId="5" borderId="0" xfId="4" applyFont="1" applyFill="1"/>
    <xf numFmtId="44" fontId="30" fillId="5" borderId="0" xfId="4" applyNumberFormat="1" applyFont="1" applyFill="1"/>
    <xf numFmtId="44" fontId="11" fillId="5" borderId="0" xfId="4" applyNumberFormat="1" applyFill="1"/>
    <xf numFmtId="0" fontId="32" fillId="5" borderId="0" xfId="4" applyFont="1" applyFill="1"/>
    <xf numFmtId="0" fontId="31" fillId="5" borderId="0" xfId="4" applyFont="1" applyFill="1" applyAlignment="1">
      <alignment horizontal="center"/>
    </xf>
    <xf numFmtId="0" fontId="25" fillId="5" borderId="0" xfId="4" applyFont="1" applyFill="1"/>
    <xf numFmtId="0" fontId="26" fillId="5" borderId="0" xfId="4" applyFont="1" applyFill="1" applyAlignment="1">
      <alignment horizontal="center" wrapText="1"/>
    </xf>
    <xf numFmtId="0" fontId="31" fillId="4" borderId="0" xfId="4" applyFont="1" applyFill="1" applyAlignment="1">
      <alignment horizontal="center" wrapText="1"/>
    </xf>
    <xf numFmtId="4" fontId="31" fillId="4" borderId="0" xfId="4" applyNumberFormat="1" applyFont="1" applyFill="1" applyAlignment="1">
      <alignment horizontal="right"/>
    </xf>
    <xf numFmtId="2" fontId="31" fillId="4" borderId="0" xfId="4" applyNumberFormat="1" applyFont="1" applyFill="1" applyAlignment="1">
      <alignment horizontal="right"/>
    </xf>
    <xf numFmtId="4" fontId="31" fillId="4" borderId="0" xfId="4" applyNumberFormat="1" applyFont="1" applyFill="1"/>
    <xf numFmtId="0" fontId="31" fillId="5" borderId="0" xfId="4" applyFont="1" applyFill="1"/>
    <xf numFmtId="2" fontId="32" fillId="5" borderId="0" xfId="2" applyNumberFormat="1" applyFont="1" applyFill="1"/>
    <xf numFmtId="0" fontId="26" fillId="5" borderId="0" xfId="4" applyFont="1" applyFill="1"/>
    <xf numFmtId="164" fontId="32" fillId="5" borderId="0" xfId="2" applyFont="1" applyFill="1"/>
    <xf numFmtId="0" fontId="31" fillId="5" borderId="0" xfId="4" applyFont="1" applyFill="1" applyAlignment="1">
      <alignment wrapText="1"/>
    </xf>
    <xf numFmtId="0" fontId="13" fillId="5" borderId="0" xfId="4" applyFont="1" applyFill="1" applyAlignment="1">
      <alignment horizontal="center"/>
    </xf>
    <xf numFmtId="0" fontId="39" fillId="5" borderId="0" xfId="4" applyFont="1" applyFill="1"/>
    <xf numFmtId="0" fontId="13" fillId="5" borderId="0" xfId="4" applyFont="1" applyFill="1"/>
    <xf numFmtId="0" fontId="32" fillId="3" borderId="30" xfId="4" applyFont="1" applyFill="1" applyBorder="1" applyAlignment="1">
      <alignment horizontal="left" wrapText="1"/>
    </xf>
    <xf numFmtId="166" fontId="32" fillId="0" borderId="30" xfId="0" applyNumberFormat="1" applyFont="1" applyBorder="1" applyAlignment="1">
      <alignment horizontal="right" wrapText="1"/>
    </xf>
    <xf numFmtId="166" fontId="31" fillId="3" borderId="30" xfId="0" applyNumberFormat="1" applyFont="1" applyFill="1" applyBorder="1" applyAlignment="1">
      <alignment horizontal="right"/>
    </xf>
    <xf numFmtId="166" fontId="31" fillId="0" borderId="30" xfId="0" applyNumberFormat="1" applyFont="1" applyBorder="1" applyAlignment="1">
      <alignment horizontal="right" wrapText="1"/>
    </xf>
    <xf numFmtId="166" fontId="32" fillId="3" borderId="30" xfId="0" applyNumberFormat="1" applyFont="1" applyFill="1" applyBorder="1" applyAlignment="1">
      <alignment horizontal="right"/>
    </xf>
    <xf numFmtId="166" fontId="34" fillId="3" borderId="30" xfId="0" applyNumberFormat="1" applyFont="1" applyFill="1" applyBorder="1" applyAlignment="1">
      <alignment horizontal="right"/>
    </xf>
    <xf numFmtId="166" fontId="34" fillId="0" borderId="30" xfId="0" applyNumberFormat="1" applyFont="1" applyBorder="1" applyAlignment="1">
      <alignment horizontal="right" wrapText="1"/>
    </xf>
    <xf numFmtId="4" fontId="32" fillId="0" borderId="30" xfId="1" applyNumberFormat="1" applyFont="1" applyFill="1" applyBorder="1"/>
    <xf numFmtId="43" fontId="0" fillId="0" borderId="0" xfId="0" applyNumberFormat="1"/>
    <xf numFmtId="0" fontId="31" fillId="7" borderId="30" xfId="0" applyFont="1" applyFill="1" applyBorder="1" applyAlignment="1">
      <alignment horizontal="right" wrapText="1"/>
    </xf>
    <xf numFmtId="4" fontId="3" fillId="8" borderId="30" xfId="0" applyNumberFormat="1" applyFont="1" applyFill="1" applyBorder="1"/>
    <xf numFmtId="0" fontId="32" fillId="0" borderId="30" xfId="4" applyFont="1" applyBorder="1" applyAlignment="1">
      <alignment horizontal="left" wrapText="1"/>
    </xf>
    <xf numFmtId="0" fontId="31" fillId="5" borderId="0" xfId="0" applyFont="1" applyFill="1" applyAlignment="1">
      <alignment horizontal="center" wrapText="1"/>
    </xf>
    <xf numFmtId="164" fontId="13" fillId="5" borderId="0" xfId="2" applyFont="1" applyFill="1"/>
    <xf numFmtId="2" fontId="13" fillId="5" borderId="0" xfId="2" applyNumberFormat="1" applyFont="1" applyFill="1"/>
    <xf numFmtId="0" fontId="13" fillId="0" borderId="0" xfId="4" applyFont="1"/>
    <xf numFmtId="164" fontId="36" fillId="8" borderId="30" xfId="2" applyFont="1" applyFill="1" applyBorder="1" applyAlignment="1">
      <alignment horizontal="center" vertical="center"/>
    </xf>
    <xf numFmtId="0" fontId="35" fillId="5" borderId="0" xfId="4" applyFont="1" applyFill="1" applyAlignment="1">
      <alignment horizontal="center"/>
    </xf>
    <xf numFmtId="44" fontId="13" fillId="5" borderId="0" xfId="4" applyNumberFormat="1" applyFont="1" applyFill="1"/>
    <xf numFmtId="0" fontId="35" fillId="5" borderId="0" xfId="4" applyFont="1" applyFill="1"/>
    <xf numFmtId="0" fontId="36" fillId="5" borderId="0" xfId="4" applyFont="1" applyFill="1" applyAlignment="1">
      <alignment horizontal="center"/>
    </xf>
    <xf numFmtId="0" fontId="40" fillId="5" borderId="0" xfId="4" applyFont="1" applyFill="1"/>
    <xf numFmtId="0" fontId="41" fillId="5" borderId="0" xfId="4" applyFont="1" applyFill="1" applyAlignment="1">
      <alignment horizontal="center" wrapText="1"/>
    </xf>
    <xf numFmtId="0" fontId="36" fillId="4" borderId="0" xfId="4" applyFont="1" applyFill="1" applyAlignment="1">
      <alignment horizontal="center" wrapText="1"/>
    </xf>
    <xf numFmtId="4" fontId="36" fillId="4" borderId="0" xfId="4" applyNumberFormat="1" applyFont="1" applyFill="1" applyAlignment="1">
      <alignment horizontal="right"/>
    </xf>
    <xf numFmtId="2" fontId="36" fillId="4" borderId="0" xfId="4" applyNumberFormat="1" applyFont="1" applyFill="1" applyAlignment="1">
      <alignment horizontal="right"/>
    </xf>
    <xf numFmtId="4" fontId="36" fillId="4" borderId="0" xfId="4" applyNumberFormat="1" applyFont="1" applyFill="1"/>
    <xf numFmtId="0" fontId="36" fillId="5" borderId="0" xfId="4" applyFont="1" applyFill="1"/>
    <xf numFmtId="2" fontId="35" fillId="5" borderId="0" xfId="2" applyNumberFormat="1" applyFont="1" applyFill="1"/>
    <xf numFmtId="0" fontId="41" fillId="5" borderId="0" xfId="4" applyFont="1" applyFill="1"/>
    <xf numFmtId="164" fontId="35" fillId="5" borderId="0" xfId="2" applyFont="1" applyFill="1"/>
    <xf numFmtId="0" fontId="36" fillId="5" borderId="0" xfId="4" applyFont="1" applyFill="1" applyAlignment="1">
      <alignment wrapText="1"/>
    </xf>
    <xf numFmtId="0" fontId="22" fillId="5" borderId="0" xfId="0" applyFont="1" applyFill="1"/>
    <xf numFmtId="0" fontId="22" fillId="5" borderId="0" xfId="0" applyFont="1" applyFill="1" applyAlignment="1">
      <alignment horizontal="center"/>
    </xf>
    <xf numFmtId="164" fontId="42" fillId="2" borderId="30" xfId="1" applyFont="1" applyFill="1" applyBorder="1" applyAlignment="1">
      <alignment horizontal="center" vertical="center"/>
    </xf>
    <xf numFmtId="0" fontId="43" fillId="0" borderId="30" xfId="0" applyFont="1" applyBorder="1"/>
    <xf numFmtId="0" fontId="44" fillId="0" borderId="30" xfId="0" applyFont="1" applyBorder="1"/>
    <xf numFmtId="164" fontId="44" fillId="0" borderId="30" xfId="1" applyFont="1" applyBorder="1"/>
    <xf numFmtId="2" fontId="44" fillId="0" borderId="30" xfId="1" applyNumberFormat="1" applyFont="1" applyBorder="1" applyAlignment="1">
      <alignment horizontal="right"/>
    </xf>
    <xf numFmtId="0" fontId="44" fillId="0" borderId="30" xfId="0" applyFont="1" applyBorder="1" applyAlignment="1">
      <alignment horizontal="center" vertical="center"/>
    </xf>
    <xf numFmtId="2" fontId="44" fillId="0" borderId="30" xfId="1" applyNumberFormat="1" applyFont="1" applyBorder="1"/>
    <xf numFmtId="164" fontId="44" fillId="0" borderId="30" xfId="1" applyFont="1" applyBorder="1" applyAlignment="1"/>
    <xf numFmtId="164" fontId="22" fillId="0" borderId="30" xfId="1" applyFont="1" applyBorder="1"/>
    <xf numFmtId="0" fontId="43" fillId="3" borderId="30" xfId="0" applyFont="1" applyFill="1" applyBorder="1"/>
    <xf numFmtId="164" fontId="43" fillId="0" borderId="30" xfId="1" applyFont="1" applyBorder="1"/>
    <xf numFmtId="2" fontId="43" fillId="0" borderId="30" xfId="1" applyNumberFormat="1" applyFont="1" applyBorder="1"/>
    <xf numFmtId="164" fontId="43" fillId="0" borderId="30" xfId="1" applyFont="1" applyBorder="1" applyAlignment="1"/>
    <xf numFmtId="164" fontId="23" fillId="0" borderId="30" xfId="1" applyFont="1" applyBorder="1"/>
    <xf numFmtId="0" fontId="44" fillId="3" borderId="30" xfId="0" applyFont="1" applyFill="1" applyBorder="1"/>
    <xf numFmtId="0" fontId="44" fillId="0" borderId="30" xfId="0" applyFont="1" applyBorder="1" applyAlignment="1">
      <alignment horizontal="center"/>
    </xf>
    <xf numFmtId="164" fontId="44" fillId="0" borderId="30" xfId="1" applyFont="1" applyFill="1" applyBorder="1"/>
    <xf numFmtId="164" fontId="43" fillId="0" borderId="30" xfId="1" applyFont="1" applyFill="1" applyBorder="1"/>
    <xf numFmtId="164" fontId="43" fillId="0" borderId="30" xfId="0" applyNumberFormat="1" applyFont="1" applyBorder="1"/>
    <xf numFmtId="2" fontId="43" fillId="0" borderId="30" xfId="0" applyNumberFormat="1" applyFont="1" applyBorder="1"/>
    <xf numFmtId="0" fontId="43" fillId="3" borderId="30" xfId="0" applyFont="1" applyFill="1" applyBorder="1" applyAlignment="1">
      <alignment horizontal="left" wrapText="1"/>
    </xf>
    <xf numFmtId="0" fontId="43" fillId="9" borderId="30" xfId="0" applyFont="1" applyFill="1" applyBorder="1" applyAlignment="1">
      <alignment vertical="center" wrapText="1"/>
    </xf>
    <xf numFmtId="164" fontId="43" fillId="12" borderId="30" xfId="0" applyNumberFormat="1" applyFont="1" applyFill="1" applyBorder="1"/>
    <xf numFmtId="2" fontId="43" fillId="12" borderId="30" xfId="0" applyNumberFormat="1" applyFont="1" applyFill="1" applyBorder="1"/>
    <xf numFmtId="164" fontId="43" fillId="12" borderId="30" xfId="1" applyFont="1" applyFill="1" applyBorder="1" applyAlignment="1"/>
    <xf numFmtId="2" fontId="43" fillId="12" borderId="30" xfId="1" applyNumberFormat="1" applyFont="1" applyFill="1" applyBorder="1"/>
    <xf numFmtId="164" fontId="43" fillId="12" borderId="30" xfId="1" applyFont="1" applyFill="1" applyBorder="1"/>
    <xf numFmtId="0" fontId="44" fillId="5" borderId="0" xfId="0" applyFont="1" applyFill="1"/>
    <xf numFmtId="0" fontId="44" fillId="5" borderId="0" xfId="0" applyFont="1" applyFill="1" applyAlignment="1">
      <alignment horizontal="center"/>
    </xf>
    <xf numFmtId="0" fontId="43" fillId="4" borderId="0" xfId="0" applyFont="1" applyFill="1" applyAlignment="1">
      <alignment horizontal="center" wrapText="1"/>
    </xf>
    <xf numFmtId="4" fontId="43" fillId="4" borderId="0" xfId="0" applyNumberFormat="1" applyFont="1" applyFill="1" applyAlignment="1">
      <alignment horizontal="right"/>
    </xf>
    <xf numFmtId="2" fontId="43" fillId="4" borderId="0" xfId="0" applyNumberFormat="1" applyFont="1" applyFill="1" applyAlignment="1">
      <alignment horizontal="right"/>
    </xf>
    <xf numFmtId="0" fontId="43" fillId="5" borderId="0" xfId="0" applyFont="1" applyFill="1" applyAlignment="1">
      <alignment horizontal="center"/>
    </xf>
    <xf numFmtId="0" fontId="44" fillId="4" borderId="0" xfId="0" applyFont="1" applyFill="1"/>
    <xf numFmtId="164" fontId="44" fillId="5" borderId="0" xfId="1" applyFont="1" applyFill="1" applyBorder="1"/>
    <xf numFmtId="2" fontId="44" fillId="5" borderId="0" xfId="1" applyNumberFormat="1" applyFont="1" applyFill="1"/>
    <xf numFmtId="164" fontId="44" fillId="5" borderId="0" xfId="1" applyFont="1" applyFill="1"/>
    <xf numFmtId="2" fontId="22" fillId="5" borderId="0" xfId="1" applyNumberFormat="1" applyFont="1" applyFill="1"/>
    <xf numFmtId="164" fontId="22" fillId="5" borderId="0" xfId="1" applyFont="1" applyFill="1"/>
    <xf numFmtId="0" fontId="22" fillId="0" borderId="0" xfId="0" applyFont="1"/>
    <xf numFmtId="0" fontId="35" fillId="5" borderId="0" xfId="0" applyFont="1" applyFill="1" applyAlignment="1">
      <alignment horizontal="center"/>
    </xf>
    <xf numFmtId="0" fontId="36" fillId="5" borderId="49" xfId="4" applyFont="1" applyFill="1" applyBorder="1" applyAlignment="1">
      <alignment horizontal="center" vertical="center"/>
    </xf>
    <xf numFmtId="0" fontId="35" fillId="5" borderId="0" xfId="0" applyFont="1" applyFill="1" applyAlignment="1">
      <alignment horizontal="center" vertical="center"/>
    </xf>
    <xf numFmtId="2" fontId="44" fillId="0" borderId="30" xfId="1" applyNumberFormat="1" applyFont="1" applyFill="1" applyBorder="1" applyAlignment="1">
      <alignment horizontal="right"/>
    </xf>
    <xf numFmtId="2" fontId="44" fillId="0" borderId="30" xfId="1" applyNumberFormat="1" applyFont="1" applyFill="1" applyBorder="1"/>
    <xf numFmtId="164" fontId="44" fillId="0" borderId="30" xfId="1" applyFont="1" applyFill="1" applyBorder="1" applyAlignment="1"/>
    <xf numFmtId="0" fontId="43" fillId="0" borderId="30" xfId="0" applyFont="1" applyBorder="1" applyAlignment="1">
      <alignment horizontal="left"/>
    </xf>
    <xf numFmtId="0" fontId="43" fillId="0" borderId="30" xfId="0" applyFont="1" applyBorder="1" applyAlignment="1">
      <alignment horizontal="center"/>
    </xf>
    <xf numFmtId="164" fontId="43" fillId="0" borderId="30" xfId="1" applyFont="1" applyFill="1" applyBorder="1" applyAlignment="1"/>
    <xf numFmtId="2" fontId="43" fillId="0" borderId="30" xfId="1" applyNumberFormat="1" applyFont="1" applyFill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/>
    <xf numFmtId="0" fontId="45" fillId="0" borderId="30" xfId="0" applyFont="1" applyBorder="1" applyAlignment="1">
      <alignment wrapText="1"/>
    </xf>
    <xf numFmtId="0" fontId="46" fillId="0" borderId="30" xfId="0" applyFont="1" applyBorder="1"/>
    <xf numFmtId="0" fontId="45" fillId="0" borderId="30" xfId="0" applyFont="1" applyBorder="1" applyAlignment="1">
      <alignment horizontal="left"/>
    </xf>
    <xf numFmtId="0" fontId="46" fillId="0" borderId="30" xfId="0" applyFont="1" applyBorder="1" applyAlignment="1">
      <alignment wrapText="1"/>
    </xf>
    <xf numFmtId="0" fontId="45" fillId="0" borderId="30" xfId="0" applyFont="1" applyBorder="1" applyAlignment="1">
      <alignment horizontal="left" wrapText="1"/>
    </xf>
    <xf numFmtId="0" fontId="45" fillId="3" borderId="30" xfId="0" applyFont="1" applyFill="1" applyBorder="1" applyAlignment="1">
      <alignment horizontal="left" wrapText="1"/>
    </xf>
    <xf numFmtId="0" fontId="46" fillId="0" borderId="30" xfId="0" applyFont="1" applyBorder="1" applyAlignment="1">
      <alignment horizontal="left"/>
    </xf>
    <xf numFmtId="0" fontId="45" fillId="3" borderId="30" xfId="0" applyFont="1" applyFill="1" applyBorder="1"/>
    <xf numFmtId="0" fontId="46" fillId="9" borderId="30" xfId="0" applyFont="1" applyFill="1" applyBorder="1" applyAlignment="1">
      <alignment wrapText="1"/>
    </xf>
    <xf numFmtId="0" fontId="47" fillId="0" borderId="30" xfId="4" applyFont="1" applyBorder="1"/>
    <xf numFmtId="0" fontId="48" fillId="0" borderId="30" xfId="4" applyFont="1" applyBorder="1" applyAlignment="1">
      <alignment horizontal="center"/>
    </xf>
    <xf numFmtId="164" fontId="48" fillId="0" borderId="30" xfId="2" applyFont="1" applyFill="1" applyBorder="1"/>
    <xf numFmtId="2" fontId="48" fillId="0" borderId="30" xfId="2" applyNumberFormat="1" applyFont="1" applyBorder="1"/>
    <xf numFmtId="164" fontId="48" fillId="0" borderId="30" xfId="2" applyFont="1" applyBorder="1"/>
    <xf numFmtId="164" fontId="48" fillId="5" borderId="30" xfId="2" applyFont="1" applyFill="1" applyBorder="1"/>
    <xf numFmtId="0" fontId="48" fillId="0" borderId="30" xfId="4" applyFont="1" applyBorder="1"/>
    <xf numFmtId="164" fontId="48" fillId="0" borderId="30" xfId="2" applyFont="1" applyFill="1" applyBorder="1" applyAlignment="1">
      <alignment horizontal="right"/>
    </xf>
    <xf numFmtId="164" fontId="48" fillId="0" borderId="30" xfId="2" applyFont="1" applyBorder="1" applyAlignment="1">
      <alignment horizontal="right"/>
    </xf>
    <xf numFmtId="0" fontId="48" fillId="3" borderId="30" xfId="4" applyFont="1" applyFill="1" applyBorder="1"/>
    <xf numFmtId="0" fontId="49" fillId="0" borderId="30" xfId="4" applyFont="1" applyBorder="1" applyAlignment="1">
      <alignment horizontal="left"/>
    </xf>
    <xf numFmtId="0" fontId="48" fillId="0" borderId="30" xfId="4" applyFont="1" applyBorder="1" applyAlignment="1">
      <alignment horizontal="left"/>
    </xf>
    <xf numFmtId="0" fontId="47" fillId="3" borderId="30" xfId="4" applyFont="1" applyFill="1" applyBorder="1"/>
    <xf numFmtId="0" fontId="47" fillId="0" borderId="30" xfId="4" applyFont="1" applyBorder="1" applyAlignment="1">
      <alignment horizontal="right"/>
    </xf>
    <xf numFmtId="164" fontId="47" fillId="0" borderId="30" xfId="2" applyFont="1" applyFill="1" applyBorder="1"/>
    <xf numFmtId="2" fontId="47" fillId="0" borderId="30" xfId="2" applyNumberFormat="1" applyFont="1" applyBorder="1"/>
    <xf numFmtId="164" fontId="47" fillId="0" borderId="30" xfId="2" applyFont="1" applyBorder="1"/>
    <xf numFmtId="164" fontId="47" fillId="5" borderId="30" xfId="2" applyFont="1" applyFill="1" applyBorder="1"/>
    <xf numFmtId="0" fontId="47" fillId="0" borderId="30" xfId="4" applyFont="1" applyBorder="1" applyAlignment="1">
      <alignment horizontal="left"/>
    </xf>
    <xf numFmtId="0" fontId="49" fillId="0" borderId="30" xfId="4" applyFont="1" applyBorder="1" applyAlignment="1">
      <alignment horizontal="center"/>
    </xf>
    <xf numFmtId="0" fontId="48" fillId="3" borderId="30" xfId="4" applyFont="1" applyFill="1" applyBorder="1" applyAlignment="1">
      <alignment horizontal="center" vertical="center"/>
    </xf>
    <xf numFmtId="0" fontId="48" fillId="3" borderId="30" xfId="4" applyFont="1" applyFill="1" applyBorder="1" applyAlignment="1">
      <alignment horizontal="left" wrapText="1"/>
    </xf>
    <xf numFmtId="2" fontId="48" fillId="3" borderId="30" xfId="2" applyNumberFormat="1" applyFont="1" applyFill="1" applyBorder="1"/>
    <xf numFmtId="164" fontId="48" fillId="3" borderId="30" xfId="2" applyFont="1" applyFill="1" applyBorder="1"/>
    <xf numFmtId="164" fontId="48" fillId="4" borderId="30" xfId="2" applyFont="1" applyFill="1" applyBorder="1"/>
    <xf numFmtId="2" fontId="48" fillId="0" borderId="30" xfId="2" applyNumberFormat="1" applyFont="1" applyFill="1" applyBorder="1"/>
    <xf numFmtId="0" fontId="47" fillId="3" borderId="30" xfId="4" applyFont="1" applyFill="1" applyBorder="1" applyAlignment="1">
      <alignment vertical="center" wrapText="1"/>
    </xf>
    <xf numFmtId="0" fontId="48" fillId="3" borderId="30" xfId="4" applyFont="1" applyFill="1" applyBorder="1" applyAlignment="1">
      <alignment horizontal="center"/>
    </xf>
    <xf numFmtId="0" fontId="48" fillId="0" borderId="30" xfId="4" applyFont="1" applyBorder="1" applyAlignment="1">
      <alignment wrapText="1"/>
    </xf>
    <xf numFmtId="164" fontId="48" fillId="0" borderId="30" xfId="2" applyFont="1" applyFill="1" applyBorder="1" applyAlignment="1">
      <alignment horizontal="left"/>
    </xf>
    <xf numFmtId="2" fontId="48" fillId="0" borderId="30" xfId="2" applyNumberFormat="1" applyFont="1" applyFill="1" applyBorder="1" applyAlignment="1">
      <alignment horizontal="right"/>
    </xf>
    <xf numFmtId="0" fontId="48" fillId="0" borderId="30" xfId="4" applyFont="1" applyBorder="1" applyAlignment="1">
      <alignment horizontal="left" wrapText="1"/>
    </xf>
    <xf numFmtId="0" fontId="47" fillId="0" borderId="30" xfId="4" applyFont="1" applyBorder="1" applyAlignment="1">
      <alignment wrapText="1"/>
    </xf>
    <xf numFmtId="0" fontId="47" fillId="3" borderId="30" xfId="4" applyFont="1" applyFill="1" applyBorder="1" applyAlignment="1">
      <alignment horizontal="left" wrapText="1"/>
    </xf>
    <xf numFmtId="0" fontId="48" fillId="3" borderId="30" xfId="4" applyFont="1" applyFill="1" applyBorder="1" applyAlignment="1">
      <alignment horizontal="left"/>
    </xf>
    <xf numFmtId="2" fontId="48" fillId="0" borderId="30" xfId="2" applyNumberFormat="1" applyFont="1" applyBorder="1" applyAlignment="1">
      <alignment horizontal="right"/>
    </xf>
    <xf numFmtId="164" fontId="48" fillId="0" borderId="30" xfId="2" applyFont="1" applyBorder="1" applyAlignment="1"/>
    <xf numFmtId="0" fontId="48" fillId="0" borderId="30" xfId="4" applyFont="1" applyBorder="1" applyAlignment="1">
      <alignment horizontal="center" vertical="center"/>
    </xf>
    <xf numFmtId="164" fontId="48" fillId="5" borderId="30" xfId="2" applyFont="1" applyFill="1" applyBorder="1" applyAlignment="1">
      <alignment horizontal="right"/>
    </xf>
    <xf numFmtId="0" fontId="47" fillId="0" borderId="30" xfId="4" applyFont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164" fontId="47" fillId="0" borderId="30" xfId="2" applyFont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0" fontId="47" fillId="3" borderId="30" xfId="4" applyFont="1" applyFill="1" applyBorder="1" applyAlignment="1">
      <alignment horizontal="center"/>
    </xf>
    <xf numFmtId="2" fontId="47" fillId="0" borderId="30" xfId="4" applyNumberFormat="1" applyFont="1" applyBorder="1"/>
    <xf numFmtId="164" fontId="47" fillId="3" borderId="30" xfId="2" applyFont="1" applyFill="1" applyBorder="1"/>
    <xf numFmtId="164" fontId="47" fillId="4" borderId="30" xfId="2" applyFont="1" applyFill="1" applyBorder="1"/>
    <xf numFmtId="164" fontId="47" fillId="0" borderId="30" xfId="2" applyFont="1" applyBorder="1" applyAlignment="1">
      <alignment horizontal="right"/>
    </xf>
    <xf numFmtId="0" fontId="47" fillId="3" borderId="30" xfId="4" applyFont="1" applyFill="1" applyBorder="1" applyAlignment="1">
      <alignment horizontal="left"/>
    </xf>
    <xf numFmtId="0" fontId="48" fillId="3" borderId="30" xfId="4" applyFont="1" applyFill="1" applyBorder="1" applyAlignment="1">
      <alignment horizontal="left" vertical="top" wrapText="1"/>
    </xf>
    <xf numFmtId="0" fontId="48" fillId="0" borderId="30" xfId="4" applyFont="1" applyBorder="1" applyAlignment="1">
      <alignment horizontal="center" vertical="center" wrapText="1"/>
    </xf>
    <xf numFmtId="0" fontId="48" fillId="0" borderId="30" xfId="0" applyFont="1" applyBorder="1"/>
    <xf numFmtId="0" fontId="48" fillId="0" borderId="30" xfId="0" applyFont="1" applyBorder="1" applyAlignment="1">
      <alignment horizontal="center"/>
    </xf>
    <xf numFmtId="0" fontId="48" fillId="0" borderId="30" xfId="0" applyFont="1" applyBorder="1" applyAlignment="1">
      <alignment horizontal="left"/>
    </xf>
    <xf numFmtId="164" fontId="48" fillId="0" borderId="30" xfId="1" applyFont="1" applyBorder="1"/>
    <xf numFmtId="2" fontId="48" fillId="0" borderId="30" xfId="1" applyNumberFormat="1" applyFont="1" applyBorder="1"/>
    <xf numFmtId="164" fontId="48" fillId="0" borderId="30" xfId="1" applyFont="1" applyBorder="1" applyAlignment="1"/>
    <xf numFmtId="164" fontId="48" fillId="0" borderId="30" xfId="1" applyFont="1" applyBorder="1" applyAlignment="1">
      <alignment horizontal="right"/>
    </xf>
    <xf numFmtId="164" fontId="50" fillId="0" borderId="30" xfId="2" applyFont="1" applyBorder="1"/>
    <xf numFmtId="0" fontId="47" fillId="2" borderId="30" xfId="4" applyFont="1" applyFill="1" applyBorder="1" applyAlignment="1">
      <alignment horizontal="right" wrapText="1"/>
    </xf>
    <xf numFmtId="0" fontId="47" fillId="2" borderId="30" xfId="4" applyFont="1" applyFill="1" applyBorder="1" applyAlignment="1">
      <alignment vertical="center" wrapText="1"/>
    </xf>
    <xf numFmtId="164" fontId="47" fillId="8" borderId="30" xfId="2" applyFont="1" applyFill="1" applyBorder="1" applyAlignment="1">
      <alignment horizontal="center"/>
    </xf>
    <xf numFmtId="2" fontId="47" fillId="2" borderId="30" xfId="2" applyNumberFormat="1" applyFont="1" applyFill="1" applyBorder="1" applyAlignment="1">
      <alignment horizontal="right"/>
    </xf>
    <xf numFmtId="164" fontId="47" fillId="2" borderId="30" xfId="2" applyFont="1" applyFill="1" applyBorder="1" applyAlignment="1">
      <alignment horizontal="center"/>
    </xf>
    <xf numFmtId="0" fontId="31" fillId="0" borderId="30" xfId="0" applyFont="1" applyBorder="1" applyAlignment="1">
      <alignment horizontal="right" vertical="center" wrapText="1"/>
    </xf>
    <xf numFmtId="0" fontId="31" fillId="0" borderId="30" xfId="0" applyFont="1" applyBorder="1" applyAlignment="1">
      <alignment horizontal="left" wrapText="1"/>
    </xf>
    <xf numFmtId="0" fontId="31" fillId="0" borderId="30" xfId="0" applyFont="1" applyBorder="1" applyAlignment="1">
      <alignment horizontal="center" wrapText="1"/>
    </xf>
    <xf numFmtId="166" fontId="34" fillId="0" borderId="30" xfId="0" applyNumberFormat="1" applyFont="1" applyBorder="1" applyAlignment="1">
      <alignment horizontal="right"/>
    </xf>
    <xf numFmtId="0" fontId="34" fillId="0" borderId="30" xfId="0" applyFont="1" applyBorder="1" applyAlignment="1">
      <alignment horizontal="left" wrapText="1"/>
    </xf>
    <xf numFmtId="0" fontId="34" fillId="0" borderId="30" xfId="0" applyFont="1" applyBorder="1" applyAlignment="1">
      <alignment horizontal="center" wrapText="1"/>
    </xf>
    <xf numFmtId="166" fontId="31" fillId="0" borderId="30" xfId="0" applyNumberFormat="1" applyFont="1" applyBorder="1" applyAlignment="1">
      <alignment horizontal="right"/>
    </xf>
    <xf numFmtId="43" fontId="31" fillId="8" borderId="30" xfId="0" applyNumberFormat="1" applyFont="1" applyFill="1" applyBorder="1" applyAlignment="1">
      <alignment wrapText="1"/>
    </xf>
    <xf numFmtId="43" fontId="47" fillId="2" borderId="30" xfId="4" applyNumberFormat="1" applyFont="1" applyFill="1" applyBorder="1" applyAlignment="1">
      <alignment horizontal="right" wrapText="1"/>
    </xf>
    <xf numFmtId="43" fontId="13" fillId="5" borderId="0" xfId="4" applyNumberFormat="1" applyFont="1" applyFill="1"/>
    <xf numFmtId="0" fontId="13" fillId="5" borderId="43" xfId="4" applyFont="1" applyFill="1" applyBorder="1" applyAlignment="1">
      <alignment horizontal="center"/>
    </xf>
    <xf numFmtId="0" fontId="48" fillId="0" borderId="30" xfId="4" applyFont="1" applyBorder="1" applyAlignment="1">
      <alignment horizontal="left" vertical="center"/>
    </xf>
    <xf numFmtId="0" fontId="48" fillId="0" borderId="30" xfId="0" applyFont="1" applyBorder="1" applyAlignment="1">
      <alignment horizontal="left" vertical="center"/>
    </xf>
    <xf numFmtId="0" fontId="48" fillId="0" borderId="30" xfId="4" applyFont="1" applyBorder="1" applyAlignment="1">
      <alignment vertical="center" wrapText="1"/>
    </xf>
    <xf numFmtId="0" fontId="48" fillId="0" borderId="30" xfId="4" applyFont="1" applyBorder="1" applyAlignment="1">
      <alignment vertical="center"/>
    </xf>
    <xf numFmtId="0" fontId="48" fillId="0" borderId="30" xfId="0" applyFont="1" applyBorder="1" applyAlignment="1">
      <alignment vertical="center"/>
    </xf>
    <xf numFmtId="0" fontId="48" fillId="3" borderId="30" xfId="4" applyFont="1" applyFill="1" applyBorder="1" applyAlignment="1">
      <alignment vertical="center"/>
    </xf>
    <xf numFmtId="0" fontId="48" fillId="3" borderId="30" xfId="4" applyFont="1" applyFill="1" applyBorder="1" applyAlignment="1">
      <alignment horizontal="left" vertical="center"/>
    </xf>
    <xf numFmtId="164" fontId="48" fillId="0" borderId="30" xfId="2" applyFont="1" applyBorder="1" applyAlignment="1">
      <alignment vertical="center"/>
    </xf>
    <xf numFmtId="164" fontId="48" fillId="0" borderId="30" xfId="2" applyFont="1" applyFill="1" applyBorder="1" applyAlignment="1">
      <alignment vertical="center"/>
    </xf>
    <xf numFmtId="164" fontId="48" fillId="0" borderId="30" xfId="1" applyFont="1" applyBorder="1" applyAlignment="1">
      <alignment vertical="center"/>
    </xf>
    <xf numFmtId="164" fontId="48" fillId="0" borderId="30" xfId="1" applyFont="1" applyBorder="1" applyAlignment="1">
      <alignment horizontal="right" vertical="center"/>
    </xf>
    <xf numFmtId="2" fontId="48" fillId="0" borderId="30" xfId="2" applyNumberFormat="1" applyFont="1" applyBorder="1" applyAlignment="1">
      <alignment vertical="center"/>
    </xf>
    <xf numFmtId="2" fontId="48" fillId="0" borderId="30" xfId="2" applyNumberFormat="1" applyFont="1" applyFill="1" applyBorder="1" applyAlignment="1">
      <alignment vertical="center"/>
    </xf>
    <xf numFmtId="164" fontId="11" fillId="0" borderId="30" xfId="1" applyFill="1" applyBorder="1" applyAlignment="1">
      <alignment horizontal="right"/>
    </xf>
    <xf numFmtId="164" fontId="11" fillId="0" borderId="30" xfId="1" applyFill="1" applyBorder="1"/>
    <xf numFmtId="164" fontId="11" fillId="0" borderId="30" xfId="1" applyFill="1" applyBorder="1" applyAlignment="1"/>
    <xf numFmtId="0" fontId="32" fillId="0" borderId="30" xfId="0" applyFont="1" applyBorder="1" applyAlignment="1">
      <alignment vertical="center" wrapText="1"/>
    </xf>
    <xf numFmtId="0" fontId="43" fillId="13" borderId="30" xfId="0" applyFont="1" applyFill="1" applyBorder="1" applyAlignment="1">
      <alignment vertical="center" wrapText="1"/>
    </xf>
    <xf numFmtId="0" fontId="46" fillId="13" borderId="30" xfId="0" applyFont="1" applyFill="1" applyBorder="1" applyAlignment="1">
      <alignment wrapText="1"/>
    </xf>
    <xf numFmtId="164" fontId="43" fillId="14" borderId="30" xfId="0" applyNumberFormat="1" applyFont="1" applyFill="1" applyBorder="1"/>
    <xf numFmtId="2" fontId="43" fillId="14" borderId="30" xfId="0" applyNumberFormat="1" applyFont="1" applyFill="1" applyBorder="1"/>
    <xf numFmtId="2" fontId="43" fillId="14" borderId="30" xfId="1" applyNumberFormat="1" applyFont="1" applyFill="1" applyBorder="1"/>
    <xf numFmtId="164" fontId="42" fillId="13" borderId="30" xfId="1" applyFont="1" applyFill="1" applyBorder="1" applyAlignment="1">
      <alignment horizontal="center" vertical="center"/>
    </xf>
    <xf numFmtId="164" fontId="19" fillId="13" borderId="30" xfId="1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right" wrapText="1"/>
    </xf>
    <xf numFmtId="0" fontId="31" fillId="13" borderId="30" xfId="0" applyFont="1" applyFill="1" applyBorder="1" applyAlignment="1">
      <alignment horizontal="right"/>
    </xf>
    <xf numFmtId="4" fontId="31" fillId="14" borderId="30" xfId="0" applyNumberFormat="1" applyFont="1" applyFill="1" applyBorder="1"/>
    <xf numFmtId="164" fontId="31" fillId="14" borderId="30" xfId="1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right" vertical="center" wrapText="1"/>
    </xf>
    <xf numFmtId="0" fontId="31" fillId="14" borderId="30" xfId="0" applyFont="1" applyFill="1" applyBorder="1" applyAlignment="1">
      <alignment vertical="center" wrapText="1"/>
    </xf>
    <xf numFmtId="0" fontId="31" fillId="14" borderId="30" xfId="0" applyFont="1" applyFill="1" applyBorder="1" applyAlignment="1">
      <alignment wrapText="1"/>
    </xf>
    <xf numFmtId="43" fontId="31" fillId="14" borderId="30" xfId="0" applyNumberFormat="1" applyFont="1" applyFill="1" applyBorder="1" applyAlignment="1">
      <alignment wrapText="1"/>
    </xf>
    <xf numFmtId="2" fontId="31" fillId="14" borderId="30" xfId="1" applyNumberFormat="1" applyFont="1" applyFill="1" applyBorder="1" applyAlignment="1">
      <alignment horizontal="right"/>
    </xf>
    <xf numFmtId="164" fontId="36" fillId="14" borderId="30" xfId="2" applyFont="1" applyFill="1" applyBorder="1" applyAlignment="1">
      <alignment horizontal="center" vertical="center"/>
    </xf>
    <xf numFmtId="0" fontId="47" fillId="13" borderId="30" xfId="4" applyFont="1" applyFill="1" applyBorder="1" applyAlignment="1">
      <alignment horizontal="right" wrapText="1"/>
    </xf>
    <xf numFmtId="0" fontId="47" fillId="13" borderId="30" xfId="4" applyFont="1" applyFill="1" applyBorder="1" applyAlignment="1">
      <alignment vertical="center" wrapText="1"/>
    </xf>
    <xf numFmtId="43" fontId="47" fillId="13" borderId="30" xfId="4" applyNumberFormat="1" applyFont="1" applyFill="1" applyBorder="1" applyAlignment="1">
      <alignment horizontal="right" wrapText="1"/>
    </xf>
    <xf numFmtId="0" fontId="43" fillId="13" borderId="30" xfId="0" applyFont="1" applyFill="1" applyBorder="1" applyAlignment="1">
      <alignment horizontal="right" wrapText="1"/>
    </xf>
    <xf numFmtId="0" fontId="32" fillId="5" borderId="0" xfId="0" applyFont="1" applyFill="1" applyAlignment="1">
      <alignment vertical="center"/>
    </xf>
    <xf numFmtId="0" fontId="31" fillId="13" borderId="30" xfId="0" applyFont="1" applyFill="1" applyBorder="1" applyAlignment="1">
      <alignment vertical="center" wrapText="1"/>
    </xf>
    <xf numFmtId="0" fontId="31" fillId="13" borderId="30" xfId="0" applyFont="1" applyFill="1" applyBorder="1" applyAlignment="1">
      <alignment wrapText="1"/>
    </xf>
    <xf numFmtId="164" fontId="31" fillId="14" borderId="30" xfId="0" applyNumberFormat="1" applyFont="1" applyFill="1" applyBorder="1"/>
    <xf numFmtId="2" fontId="31" fillId="14" borderId="30" xfId="1" applyNumberFormat="1" applyFont="1" applyFill="1" applyBorder="1"/>
    <xf numFmtId="164" fontId="27" fillId="13" borderId="30" xfId="1" applyFont="1" applyFill="1" applyBorder="1" applyAlignment="1">
      <alignment horizontal="center" vertical="center"/>
    </xf>
    <xf numFmtId="164" fontId="3" fillId="14" borderId="30" xfId="1" applyFont="1" applyFill="1" applyBorder="1"/>
    <xf numFmtId="0" fontId="48" fillId="0" borderId="30" xfId="4" applyFont="1" applyBorder="1" applyAlignment="1">
      <alignment horizontal="left" vertical="top" wrapText="1"/>
    </xf>
    <xf numFmtId="164" fontId="48" fillId="0" borderId="30" xfId="2" applyFont="1" applyFill="1" applyBorder="1" applyAlignment="1"/>
    <xf numFmtId="2" fontId="47" fillId="0" borderId="30" xfId="2" applyNumberFormat="1" applyFont="1" applyFill="1" applyBorder="1"/>
    <xf numFmtId="2" fontId="47" fillId="14" borderId="30" xfId="2" applyNumberFormat="1" applyFont="1" applyFill="1" applyBorder="1"/>
    <xf numFmtId="164" fontId="13" fillId="5" borderId="0" xfId="4" applyNumberFormat="1" applyFont="1" applyFill="1"/>
    <xf numFmtId="164" fontId="48" fillId="0" borderId="30" xfId="1" applyFont="1" applyFill="1" applyBorder="1" applyAlignment="1">
      <alignment horizontal="right" vertical="center"/>
    </xf>
    <xf numFmtId="2" fontId="31" fillId="13" borderId="30" xfId="0" applyNumberFormat="1" applyFont="1" applyFill="1" applyBorder="1" applyAlignment="1">
      <alignment wrapText="1"/>
    </xf>
    <xf numFmtId="164" fontId="47" fillId="14" borderId="30" xfId="2" applyFont="1" applyFill="1" applyBorder="1"/>
    <xf numFmtId="164" fontId="43" fillId="14" borderId="30" xfId="1" applyFont="1" applyFill="1" applyBorder="1"/>
    <xf numFmtId="164" fontId="48" fillId="0" borderId="30" xfId="1" applyFont="1" applyFill="1" applyBorder="1"/>
    <xf numFmtId="2" fontId="48" fillId="0" borderId="30" xfId="1" applyNumberFormat="1" applyFont="1" applyFill="1" applyBorder="1"/>
    <xf numFmtId="164" fontId="48" fillId="0" borderId="30" xfId="1" applyFont="1" applyFill="1" applyBorder="1" applyAlignment="1">
      <alignment vertical="center"/>
    </xf>
    <xf numFmtId="164" fontId="48" fillId="0" borderId="30" xfId="1" applyFont="1" applyFill="1" applyBorder="1" applyAlignment="1">
      <alignment horizontal="right"/>
    </xf>
    <xf numFmtId="0" fontId="31" fillId="5" borderId="49" xfId="0" applyFont="1" applyFill="1" applyBorder="1" applyAlignment="1">
      <alignment horizontal="center"/>
    </xf>
    <xf numFmtId="0" fontId="43" fillId="5" borderId="49" xfId="0" applyFont="1" applyFill="1" applyBorder="1" applyAlignment="1">
      <alignment horizontal="center"/>
    </xf>
    <xf numFmtId="166" fontId="32" fillId="0" borderId="30" xfId="0" applyNumberFormat="1" applyFont="1" applyBorder="1" applyAlignment="1">
      <alignment wrapText="1"/>
    </xf>
    <xf numFmtId="0" fontId="44" fillId="3" borderId="30" xfId="0" applyFont="1" applyFill="1" applyBorder="1" applyAlignment="1">
      <alignment horizontal="center"/>
    </xf>
    <xf numFmtId="164" fontId="22" fillId="0" borderId="30" xfId="1" applyFont="1" applyFill="1" applyBorder="1"/>
    <xf numFmtId="0" fontId="31" fillId="13" borderId="30" xfId="0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center" vertical="center" wrapText="1"/>
    </xf>
    <xf numFmtId="164" fontId="13" fillId="0" borderId="0" xfId="2" applyFont="1" applyFill="1"/>
    <xf numFmtId="0" fontId="13" fillId="0" borderId="0" xfId="4" applyFont="1" applyAlignment="1">
      <alignment horizontal="center"/>
    </xf>
    <xf numFmtId="164" fontId="47" fillId="0" borderId="30" xfId="2" applyFont="1" applyFill="1" applyBorder="1" applyAlignment="1">
      <alignment horizontal="right"/>
    </xf>
    <xf numFmtId="164" fontId="13" fillId="0" borderId="0" xfId="4" applyNumberFormat="1" applyFont="1"/>
    <xf numFmtId="43" fontId="13" fillId="0" borderId="0" xfId="4" applyNumberFormat="1" applyFont="1"/>
    <xf numFmtId="0" fontId="35" fillId="0" borderId="0" xfId="4" applyFont="1"/>
    <xf numFmtId="4" fontId="36" fillId="0" borderId="0" xfId="4" applyNumberFormat="1" applyFont="1"/>
    <xf numFmtId="0" fontId="36" fillId="0" borderId="0" xfId="4" applyFont="1" applyAlignment="1">
      <alignment wrapText="1"/>
    </xf>
    <xf numFmtId="4" fontId="31" fillId="0" borderId="0" xfId="0" applyNumberFormat="1" applyFont="1"/>
    <xf numFmtId="164" fontId="31" fillId="5" borderId="30" xfId="1" applyFont="1" applyFill="1" applyBorder="1" applyAlignment="1">
      <alignment horizontal="center" vertical="center"/>
    </xf>
    <xf numFmtId="164" fontId="31" fillId="5" borderId="30" xfId="1" applyFont="1" applyFill="1" applyBorder="1" applyAlignment="1">
      <alignment horizontal="left"/>
    </xf>
    <xf numFmtId="164" fontId="32" fillId="5" borderId="30" xfId="1" applyFont="1" applyFill="1" applyBorder="1" applyAlignment="1">
      <alignment horizontal="left"/>
    </xf>
    <xf numFmtId="4" fontId="32" fillId="5" borderId="30" xfId="1" applyNumberFormat="1" applyFont="1" applyFill="1" applyBorder="1"/>
    <xf numFmtId="4" fontId="31" fillId="5" borderId="30" xfId="1" applyNumberFormat="1" applyFont="1" applyFill="1" applyBorder="1"/>
    <xf numFmtId="164" fontId="11" fillId="5" borderId="30" xfId="1" applyFill="1" applyBorder="1"/>
    <xf numFmtId="164" fontId="3" fillId="13" borderId="30" xfId="1" applyFont="1" applyFill="1" applyBorder="1" applyAlignment="1">
      <alignment horizontal="right"/>
    </xf>
    <xf numFmtId="2" fontId="31" fillId="14" borderId="30" xfId="0" applyNumberFormat="1" applyFont="1" applyFill="1" applyBorder="1"/>
    <xf numFmtId="164" fontId="27" fillId="13" borderId="30" xfId="1" applyFont="1" applyFill="1" applyBorder="1" applyAlignment="1">
      <alignment horizontal="center"/>
    </xf>
    <xf numFmtId="164" fontId="3" fillId="13" borderId="30" xfId="1" applyFont="1" applyFill="1" applyBorder="1" applyAlignment="1">
      <alignment horizontal="center" wrapText="1"/>
    </xf>
    <xf numFmtId="0" fontId="32" fillId="4" borderId="30" xfId="0" applyFont="1" applyFill="1" applyBorder="1"/>
    <xf numFmtId="0" fontId="32" fillId="5" borderId="30" xfId="0" applyFont="1" applyFill="1" applyBorder="1"/>
    <xf numFmtId="0" fontId="32" fillId="4" borderId="30" xfId="0" applyFont="1" applyFill="1" applyBorder="1" applyAlignment="1">
      <alignment horizontal="center"/>
    </xf>
    <xf numFmtId="2" fontId="32" fillId="0" borderId="30" xfId="1" applyNumberFormat="1" applyFont="1" applyBorder="1" applyAlignment="1">
      <alignment horizontal="center"/>
    </xf>
    <xf numFmtId="2" fontId="31" fillId="0" borderId="30" xfId="1" applyNumberFormat="1" applyFont="1" applyBorder="1" applyAlignment="1">
      <alignment horizontal="center"/>
    </xf>
    <xf numFmtId="164" fontId="32" fillId="0" borderId="30" xfId="1" applyFont="1" applyBorder="1" applyAlignment="1">
      <alignment horizontal="center"/>
    </xf>
    <xf numFmtId="2" fontId="31" fillId="14" borderId="30" xfId="1" applyNumberFormat="1" applyFont="1" applyFill="1" applyBorder="1" applyAlignment="1">
      <alignment horizontal="center"/>
    </xf>
    <xf numFmtId="0" fontId="52" fillId="13" borderId="30" xfId="4" applyFont="1" applyFill="1" applyBorder="1" applyAlignment="1">
      <alignment horizontal="right" wrapText="1"/>
    </xf>
    <xf numFmtId="0" fontId="52" fillId="13" borderId="30" xfId="4" applyFont="1" applyFill="1" applyBorder="1" applyAlignment="1">
      <alignment vertical="center" wrapText="1"/>
    </xf>
    <xf numFmtId="164" fontId="52" fillId="14" borderId="30" xfId="2" applyFont="1" applyFill="1" applyBorder="1"/>
    <xf numFmtId="2" fontId="52" fillId="14" borderId="30" xfId="2" applyNumberFormat="1" applyFont="1" applyFill="1" applyBorder="1"/>
    <xf numFmtId="0" fontId="50" fillId="0" borderId="30" xfId="4" applyFont="1" applyBorder="1"/>
    <xf numFmtId="0" fontId="50" fillId="0" borderId="30" xfId="4" applyFont="1" applyBorder="1" applyAlignment="1">
      <alignment horizontal="center"/>
    </xf>
    <xf numFmtId="0" fontId="50" fillId="0" borderId="30" xfId="4" applyFont="1" applyBorder="1" applyAlignment="1">
      <alignment horizontal="left"/>
    </xf>
    <xf numFmtId="164" fontId="50" fillId="0" borderId="30" xfId="2" applyFont="1" applyFill="1" applyBorder="1"/>
    <xf numFmtId="2" fontId="50" fillId="0" borderId="30" xfId="2" applyNumberFormat="1" applyFont="1" applyBorder="1"/>
    <xf numFmtId="0" fontId="30" fillId="0" borderId="0" xfId="0" applyFont="1"/>
    <xf numFmtId="0" fontId="36" fillId="14" borderId="30" xfId="0" applyFont="1" applyFill="1" applyBorder="1" applyAlignment="1">
      <alignment wrapText="1"/>
    </xf>
    <xf numFmtId="43" fontId="36" fillId="14" borderId="30" xfId="0" applyNumberFormat="1" applyFont="1" applyFill="1" applyBorder="1" applyAlignment="1">
      <alignment wrapText="1"/>
    </xf>
    <xf numFmtId="2" fontId="36" fillId="14" borderId="30" xfId="1" applyNumberFormat="1" applyFont="1" applyFill="1" applyBorder="1" applyAlignment="1">
      <alignment horizontal="right"/>
    </xf>
    <xf numFmtId="0" fontId="28" fillId="13" borderId="30" xfId="0" applyFont="1" applyFill="1" applyBorder="1" applyAlignment="1">
      <alignment wrapText="1"/>
    </xf>
    <xf numFmtId="0" fontId="46" fillId="13" borderId="30" xfId="0" applyFont="1" applyFill="1" applyBorder="1" applyAlignment="1">
      <alignment horizontal="right" wrapText="1"/>
    </xf>
    <xf numFmtId="164" fontId="28" fillId="14" borderId="30" xfId="1" applyFont="1" applyFill="1" applyBorder="1" applyAlignment="1">
      <alignment vertical="center"/>
    </xf>
    <xf numFmtId="2" fontId="28" fillId="14" borderId="30" xfId="1" applyNumberFormat="1" applyFont="1" applyFill="1" applyBorder="1" applyAlignment="1">
      <alignment vertical="center"/>
    </xf>
    <xf numFmtId="0" fontId="32" fillId="3" borderId="31" xfId="0" applyFont="1" applyFill="1" applyBorder="1"/>
    <xf numFmtId="0" fontId="32" fillId="3" borderId="31" xfId="0" applyFont="1" applyFill="1" applyBorder="1" applyAlignment="1">
      <alignment horizontal="center"/>
    </xf>
    <xf numFmtId="0" fontId="32" fillId="0" borderId="30" xfId="0" applyFont="1" applyBorder="1" applyAlignment="1">
      <alignment horizontal="left" vertical="center"/>
    </xf>
    <xf numFmtId="164" fontId="32" fillId="0" borderId="30" xfId="0" applyNumberFormat="1" applyFont="1" applyBorder="1"/>
    <xf numFmtId="0" fontId="31" fillId="13" borderId="30" xfId="0" applyFont="1" applyFill="1" applyBorder="1" applyAlignment="1">
      <alignment horizontal="center" wrapText="1"/>
    </xf>
    <xf numFmtId="0" fontId="31" fillId="5" borderId="30" xfId="0" applyFont="1" applyFill="1" applyBorder="1"/>
    <xf numFmtId="0" fontId="31" fillId="4" borderId="30" xfId="0" applyFont="1" applyFill="1" applyBorder="1"/>
    <xf numFmtId="0" fontId="46" fillId="13" borderId="30" xfId="0" applyFont="1" applyFill="1" applyBorder="1" applyAlignment="1">
      <alignment horizontal="center" wrapText="1"/>
    </xf>
    <xf numFmtId="164" fontId="46" fillId="14" borderId="30" xfId="1" applyFont="1" applyFill="1" applyBorder="1" applyAlignment="1">
      <alignment horizontal="center"/>
    </xf>
    <xf numFmtId="2" fontId="46" fillId="14" borderId="30" xfId="1" applyNumberFormat="1" applyFont="1" applyFill="1" applyBorder="1" applyAlignment="1">
      <alignment horizontal="center"/>
    </xf>
    <xf numFmtId="0" fontId="38" fillId="0" borderId="0" xfId="0" applyFont="1"/>
    <xf numFmtId="0" fontId="53" fillId="0" borderId="0" xfId="0" applyFont="1"/>
    <xf numFmtId="2" fontId="31" fillId="0" borderId="30" xfId="1" applyNumberFormat="1" applyFont="1" applyFill="1" applyBorder="1" applyAlignment="1">
      <alignment horizontal="center"/>
    </xf>
    <xf numFmtId="164" fontId="31" fillId="0" borderId="30" xfId="1" applyFont="1" applyFill="1" applyBorder="1" applyAlignment="1">
      <alignment horizontal="center"/>
    </xf>
    <xf numFmtId="164" fontId="31" fillId="5" borderId="30" xfId="1" applyFont="1" applyFill="1" applyBorder="1" applyAlignment="1">
      <alignment horizontal="center"/>
    </xf>
    <xf numFmtId="0" fontId="38" fillId="0" borderId="0" xfId="0" applyFont="1" applyAlignment="1">
      <alignment horizontal="center"/>
    </xf>
    <xf numFmtId="0" fontId="53" fillId="0" borderId="0" xfId="0" applyFont="1" applyAlignment="1">
      <alignment horizontal="center"/>
    </xf>
    <xf numFmtId="164" fontId="32" fillId="0" borderId="30" xfId="1" applyFont="1" applyFill="1" applyBorder="1" applyAlignment="1">
      <alignment horizontal="center"/>
    </xf>
    <xf numFmtId="164" fontId="11" fillId="0" borderId="30" xfId="1" applyFill="1" applyBorder="1" applyAlignment="1">
      <alignment horizontal="center"/>
    </xf>
    <xf numFmtId="43" fontId="36" fillId="14" borderId="30" xfId="0" applyNumberFormat="1" applyFont="1" applyFill="1" applyBorder="1" applyAlignment="1">
      <alignment horizontal="center" wrapText="1"/>
    </xf>
    <xf numFmtId="164" fontId="0" fillId="5" borderId="0" xfId="0" applyNumberFormat="1" applyFill="1" applyAlignment="1">
      <alignment horizontal="center"/>
    </xf>
    <xf numFmtId="4" fontId="31" fillId="0" borderId="0" xfId="0" applyNumberFormat="1" applyFont="1" applyAlignment="1">
      <alignment horizontal="center"/>
    </xf>
    <xf numFmtId="0" fontId="43" fillId="0" borderId="30" xfId="0" applyFont="1" applyBorder="1" applyAlignment="1">
      <alignment horizontal="center" vertical="center"/>
    </xf>
    <xf numFmtId="0" fontId="46" fillId="0" borderId="30" xfId="0" applyFont="1" applyBorder="1" applyAlignment="1">
      <alignment horizontal="center" vertical="center"/>
    </xf>
    <xf numFmtId="164" fontId="42" fillId="0" borderId="30" xfId="1" applyFont="1" applyFill="1" applyBorder="1" applyAlignment="1">
      <alignment horizontal="center" vertical="center"/>
    </xf>
    <xf numFmtId="0" fontId="43" fillId="0" borderId="30" xfId="0" applyFont="1" applyBorder="1" applyAlignment="1">
      <alignment horizontal="left" vertical="center"/>
    </xf>
    <xf numFmtId="0" fontId="42" fillId="0" borderId="30" xfId="1" applyNumberFormat="1" applyFont="1" applyFill="1" applyBorder="1" applyAlignment="1">
      <alignment horizontal="center" vertical="center"/>
    </xf>
    <xf numFmtId="164" fontId="42" fillId="0" borderId="30" xfId="1" applyFont="1" applyFill="1" applyBorder="1" applyAlignment="1">
      <alignment horizontal="right" vertical="center"/>
    </xf>
    <xf numFmtId="2" fontId="42" fillId="0" borderId="30" xfId="1" applyNumberFormat="1" applyFont="1" applyFill="1" applyBorder="1" applyAlignment="1">
      <alignment horizontal="center" vertical="center"/>
    </xf>
    <xf numFmtId="164" fontId="0" fillId="0" borderId="0" xfId="0" applyNumberFormat="1"/>
    <xf numFmtId="0" fontId="44" fillId="0" borderId="30" xfId="0" applyFont="1" applyBorder="1" applyAlignment="1">
      <alignment horizontal="left" vertical="center"/>
    </xf>
    <xf numFmtId="0" fontId="43" fillId="0" borderId="30" xfId="0" applyFont="1" applyBorder="1" applyAlignment="1">
      <alignment horizontal="right"/>
    </xf>
    <xf numFmtId="164" fontId="23" fillId="0" borderId="30" xfId="1" applyFont="1" applyFill="1" applyBorder="1"/>
    <xf numFmtId="0" fontId="44" fillId="0" borderId="30" xfId="0" applyFont="1" applyBorder="1" applyAlignment="1">
      <alignment vertical="center" wrapText="1"/>
    </xf>
    <xf numFmtId="0" fontId="22" fillId="0" borderId="30" xfId="0" applyFont="1" applyBorder="1"/>
    <xf numFmtId="0" fontId="43" fillId="0" borderId="30" xfId="0" applyFont="1" applyBorder="1" applyAlignment="1">
      <alignment horizontal="left" wrapText="1"/>
    </xf>
    <xf numFmtId="0" fontId="44" fillId="0" borderId="30" xfId="0" applyFont="1" applyBorder="1" applyAlignment="1">
      <alignment horizontal="left" wrapText="1"/>
    </xf>
    <xf numFmtId="2" fontId="32" fillId="0" borderId="30" xfId="1" applyNumberFormat="1" applyFont="1" applyFill="1" applyBorder="1" applyAlignment="1">
      <alignment horizontal="center"/>
    </xf>
    <xf numFmtId="2" fontId="31" fillId="0" borderId="30" xfId="1" applyNumberFormat="1" applyFont="1" applyFill="1" applyBorder="1" applyAlignment="1">
      <alignment horizontal="center" vertical="center"/>
    </xf>
    <xf numFmtId="0" fontId="38" fillId="5" borderId="0" xfId="0" applyFont="1" applyFill="1" applyAlignment="1">
      <alignment horizontal="center"/>
    </xf>
    <xf numFmtId="0" fontId="53" fillId="5" borderId="0" xfId="0" applyFont="1" applyFill="1" applyAlignment="1">
      <alignment horizontal="center"/>
    </xf>
    <xf numFmtId="4" fontId="31" fillId="0" borderId="30" xfId="1" applyNumberFormat="1" applyFont="1" applyFill="1" applyBorder="1"/>
    <xf numFmtId="2" fontId="0" fillId="5" borderId="0" xfId="1" applyNumberFormat="1" applyFont="1" applyFill="1"/>
    <xf numFmtId="164" fontId="0" fillId="5" borderId="0" xfId="1" applyFont="1" applyFill="1"/>
    <xf numFmtId="2" fontId="50" fillId="0" borderId="30" xfId="2" applyNumberFormat="1" applyFont="1" applyFill="1" applyBorder="1"/>
    <xf numFmtId="164" fontId="55" fillId="5" borderId="30" xfId="2" applyFont="1" applyFill="1" applyBorder="1"/>
    <xf numFmtId="2" fontId="55" fillId="0" borderId="30" xfId="2" applyNumberFormat="1" applyFont="1" applyFill="1" applyBorder="1"/>
    <xf numFmtId="43" fontId="0" fillId="5" borderId="0" xfId="0" applyNumberFormat="1" applyFill="1"/>
    <xf numFmtId="0" fontId="36" fillId="13" borderId="30" xfId="0" applyFont="1" applyFill="1" applyBorder="1" applyAlignment="1">
      <alignment horizontal="right" wrapText="1"/>
    </xf>
    <xf numFmtId="0" fontId="36" fillId="13" borderId="30" xfId="0" applyFont="1" applyFill="1" applyBorder="1" applyAlignment="1">
      <alignment horizontal="right"/>
    </xf>
    <xf numFmtId="4" fontId="36" fillId="14" borderId="30" xfId="0" applyNumberFormat="1" applyFont="1" applyFill="1" applyBorder="1"/>
    <xf numFmtId="0" fontId="34" fillId="0" borderId="42" xfId="0" applyFont="1" applyBorder="1"/>
    <xf numFmtId="0" fontId="34" fillId="3" borderId="42" xfId="0" applyFont="1" applyFill="1" applyBorder="1" applyAlignment="1">
      <alignment horizontal="center"/>
    </xf>
    <xf numFmtId="0" fontId="32" fillId="0" borderId="42" xfId="0" applyFont="1" applyBorder="1" applyAlignment="1">
      <alignment horizontal="left"/>
    </xf>
    <xf numFmtId="0" fontId="32" fillId="0" borderId="42" xfId="0" applyFont="1" applyBorder="1" applyAlignment="1">
      <alignment horizontal="center" vertical="center" wrapText="1"/>
    </xf>
    <xf numFmtId="4" fontId="32" fillId="0" borderId="42" xfId="0" applyNumberFormat="1" applyFont="1" applyBorder="1"/>
    <xf numFmtId="2" fontId="32" fillId="0" borderId="42" xfId="0" applyNumberFormat="1" applyFont="1" applyBorder="1"/>
    <xf numFmtId="4" fontId="32" fillId="5" borderId="42" xfId="0" applyNumberFormat="1" applyFont="1" applyFill="1" applyBorder="1"/>
    <xf numFmtId="0" fontId="0" fillId="0" borderId="43" xfId="0" applyBorder="1"/>
    <xf numFmtId="2" fontId="48" fillId="5" borderId="30" xfId="2" applyNumberFormat="1" applyFont="1" applyFill="1" applyBorder="1"/>
    <xf numFmtId="2" fontId="47" fillId="5" borderId="30" xfId="2" applyNumberFormat="1" applyFont="1" applyFill="1" applyBorder="1"/>
    <xf numFmtId="2" fontId="48" fillId="5" borderId="30" xfId="2" applyNumberFormat="1" applyFont="1" applyFill="1" applyBorder="1" applyAlignment="1">
      <alignment horizontal="right"/>
    </xf>
    <xf numFmtId="2" fontId="55" fillId="5" borderId="30" xfId="2" applyNumberFormat="1" applyFont="1" applyFill="1" applyBorder="1"/>
    <xf numFmtId="164" fontId="50" fillId="5" borderId="30" xfId="2" applyFont="1" applyFill="1" applyBorder="1"/>
    <xf numFmtId="164" fontId="47" fillId="5" borderId="30" xfId="2" applyFont="1" applyFill="1" applyBorder="1" applyAlignment="1">
      <alignment horizontal="right"/>
    </xf>
    <xf numFmtId="2" fontId="48" fillId="5" borderId="30" xfId="2" applyNumberFormat="1" applyFont="1" applyFill="1" applyBorder="1" applyAlignment="1">
      <alignment vertical="center"/>
    </xf>
    <xf numFmtId="164" fontId="48" fillId="5" borderId="30" xfId="2" applyFont="1" applyFill="1" applyBorder="1" applyAlignment="1">
      <alignment vertical="center"/>
    </xf>
    <xf numFmtId="164" fontId="48" fillId="5" borderId="30" xfId="1" applyFont="1" applyFill="1" applyBorder="1" applyAlignment="1">
      <alignment horizontal="right" vertical="center"/>
    </xf>
    <xf numFmtId="4" fontId="36" fillId="5" borderId="0" xfId="4" applyNumberFormat="1" applyFont="1" applyFill="1"/>
    <xf numFmtId="0" fontId="31" fillId="3" borderId="30" xfId="0" applyFont="1" applyFill="1" applyBorder="1" applyAlignment="1">
      <alignment wrapText="1"/>
    </xf>
    <xf numFmtId="0" fontId="32" fillId="5" borderId="0" xfId="0" applyFont="1" applyFill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31" fillId="15" borderId="30" xfId="0" applyFont="1" applyFill="1" applyBorder="1" applyAlignment="1">
      <alignment horizontal="left" wrapText="1"/>
    </xf>
    <xf numFmtId="0" fontId="31" fillId="15" borderId="30" xfId="0" applyFont="1" applyFill="1" applyBorder="1" applyAlignment="1">
      <alignment horizontal="center"/>
    </xf>
    <xf numFmtId="0" fontId="31" fillId="15" borderId="30" xfId="0" applyFont="1" applyFill="1" applyBorder="1" applyAlignment="1">
      <alignment wrapText="1"/>
    </xf>
    <xf numFmtId="166" fontId="32" fillId="15" borderId="30" xfId="0" applyNumberFormat="1" applyFont="1" applyFill="1" applyBorder="1" applyAlignment="1">
      <alignment horizontal="right"/>
    </xf>
    <xf numFmtId="166" fontId="32" fillId="15" borderId="30" xfId="0" applyNumberFormat="1" applyFont="1" applyFill="1" applyBorder="1" applyAlignment="1">
      <alignment horizontal="right" wrapText="1"/>
    </xf>
    <xf numFmtId="164" fontId="31" fillId="15" borderId="30" xfId="1" applyFont="1" applyFill="1" applyBorder="1" applyAlignment="1">
      <alignment horizontal="left"/>
    </xf>
    <xf numFmtId="2" fontId="31" fillId="15" borderId="30" xfId="1" applyNumberFormat="1" applyFont="1" applyFill="1" applyBorder="1" applyAlignment="1">
      <alignment horizontal="center"/>
    </xf>
    <xf numFmtId="164" fontId="31" fillId="15" borderId="30" xfId="1" applyFont="1" applyFill="1" applyBorder="1" applyAlignment="1">
      <alignment horizontal="center"/>
    </xf>
    <xf numFmtId="0" fontId="0" fillId="15" borderId="0" xfId="0" applyFill="1"/>
    <xf numFmtId="0" fontId="31" fillId="15" borderId="30" xfId="0" applyFont="1" applyFill="1" applyBorder="1" applyAlignment="1">
      <alignment horizontal="center" vertical="center"/>
    </xf>
    <xf numFmtId="0" fontId="31" fillId="15" borderId="30" xfId="0" applyFont="1" applyFill="1" applyBorder="1" applyAlignment="1">
      <alignment horizontal="center" vertical="center" wrapText="1"/>
    </xf>
    <xf numFmtId="164" fontId="31" fillId="15" borderId="30" xfId="1" applyFont="1" applyFill="1" applyBorder="1" applyAlignment="1">
      <alignment horizontal="center" vertical="center"/>
    </xf>
    <xf numFmtId="2" fontId="31" fillId="15" borderId="30" xfId="1" applyNumberFormat="1" applyFont="1" applyFill="1" applyBorder="1" applyAlignment="1">
      <alignment horizontal="center" vertical="center"/>
    </xf>
    <xf numFmtId="0" fontId="31" fillId="15" borderId="30" xfId="0" applyFont="1" applyFill="1" applyBorder="1" applyAlignment="1">
      <alignment horizontal="left"/>
    </xf>
    <xf numFmtId="2" fontId="31" fillId="15" borderId="30" xfId="1" applyNumberFormat="1" applyFont="1" applyFill="1" applyBorder="1" applyAlignment="1">
      <alignment horizontal="right"/>
    </xf>
    <xf numFmtId="0" fontId="0" fillId="15" borderId="30" xfId="0" applyFill="1" applyBorder="1"/>
    <xf numFmtId="0" fontId="0" fillId="5" borderId="0" xfId="0" applyFill="1" applyAlignment="1">
      <alignment vertical="center"/>
    </xf>
    <xf numFmtId="0" fontId="14" fillId="5" borderId="0" xfId="0" applyFont="1" applyFill="1" applyAlignment="1">
      <alignment vertical="center"/>
    </xf>
    <xf numFmtId="0" fontId="31" fillId="3" borderId="30" xfId="0" applyFont="1" applyFill="1" applyBorder="1" applyAlignment="1">
      <alignment horizontal="left"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vertical="center"/>
    </xf>
    <xf numFmtId="0" fontId="31" fillId="3" borderId="30" xfId="0" applyFont="1" applyFill="1" applyBorder="1" applyAlignment="1">
      <alignment vertical="center"/>
    </xf>
    <xf numFmtId="0" fontId="34" fillId="0" borderId="30" xfId="0" applyFont="1" applyBorder="1" applyAlignment="1">
      <alignment horizontal="center" vertical="center"/>
    </xf>
    <xf numFmtId="0" fontId="34" fillId="0" borderId="30" xfId="0" applyFont="1" applyBorder="1" applyAlignment="1">
      <alignment horizontal="center" vertical="center" wrapText="1"/>
    </xf>
    <xf numFmtId="0" fontId="13" fillId="5" borderId="0" xfId="0" applyFont="1" applyFill="1" applyAlignment="1">
      <alignment horizontal="center" vertical="center"/>
    </xf>
    <xf numFmtId="0" fontId="0" fillId="0" borderId="0" xfId="0" applyAlignment="1">
      <alignment vertical="center"/>
    </xf>
    <xf numFmtId="0" fontId="47" fillId="3" borderId="44" xfId="4" applyFont="1" applyFill="1" applyBorder="1"/>
    <xf numFmtId="0" fontId="48" fillId="0" borderId="44" xfId="4" applyFont="1" applyBorder="1" applyAlignment="1">
      <alignment horizontal="center"/>
    </xf>
    <xf numFmtId="0" fontId="47" fillId="0" borderId="44" xfId="4" applyFont="1" applyBorder="1" applyAlignment="1">
      <alignment horizontal="right"/>
    </xf>
    <xf numFmtId="164" fontId="47" fillId="0" borderId="44" xfId="2" applyFont="1" applyFill="1" applyBorder="1"/>
    <xf numFmtId="0" fontId="0" fillId="5" borderId="30" xfId="0" applyFill="1" applyBorder="1"/>
    <xf numFmtId="0" fontId="47" fillId="3" borderId="42" xfId="4" applyFont="1" applyFill="1" applyBorder="1"/>
    <xf numFmtId="0" fontId="48" fillId="0" borderId="42" xfId="4" applyFont="1" applyBorder="1" applyAlignment="1">
      <alignment horizontal="center"/>
    </xf>
    <xf numFmtId="0" fontId="47" fillId="0" borderId="42" xfId="4" applyFont="1" applyBorder="1" applyAlignment="1">
      <alignment horizontal="left"/>
    </xf>
    <xf numFmtId="164" fontId="47" fillId="0" borderId="42" xfId="2" applyFont="1" applyFill="1" applyBorder="1"/>
    <xf numFmtId="2" fontId="48" fillId="0" borderId="42" xfId="2" applyNumberFormat="1" applyFont="1" applyBorder="1"/>
    <xf numFmtId="164" fontId="47" fillId="0" borderId="42" xfId="2" applyFont="1" applyBorder="1"/>
    <xf numFmtId="164" fontId="47" fillId="5" borderId="42" xfId="2" applyFont="1" applyFill="1" applyBorder="1"/>
    <xf numFmtId="0" fontId="48" fillId="3" borderId="30" xfId="4" applyFont="1" applyFill="1" applyBorder="1" applyAlignment="1">
      <alignment wrapText="1"/>
    </xf>
    <xf numFmtId="164" fontId="48" fillId="5" borderId="30" xfId="2" applyFont="1" applyFill="1" applyBorder="1" applyAlignment="1">
      <alignment horizontal="right" vertical="center"/>
    </xf>
    <xf numFmtId="164" fontId="11" fillId="5" borderId="0" xfId="2" applyFill="1"/>
    <xf numFmtId="0" fontId="32" fillId="5" borderId="30" xfId="0" applyFont="1" applyFill="1" applyBorder="1" applyAlignment="1">
      <alignment horizontal="center" vertical="center"/>
    </xf>
    <xf numFmtId="0" fontId="32" fillId="5" borderId="30" xfId="0" applyFont="1" applyFill="1" applyBorder="1" applyAlignment="1">
      <alignment wrapText="1"/>
    </xf>
    <xf numFmtId="0" fontId="32" fillId="5" borderId="30" xfId="0" applyFont="1" applyFill="1" applyBorder="1" applyAlignment="1">
      <alignment horizontal="center"/>
    </xf>
    <xf numFmtId="166" fontId="32" fillId="5" borderId="30" xfId="0" applyNumberFormat="1" applyFont="1" applyFill="1" applyBorder="1" applyAlignment="1">
      <alignment horizontal="right" wrapText="1"/>
    </xf>
    <xf numFmtId="2" fontId="32" fillId="5" borderId="30" xfId="1" applyNumberFormat="1" applyFont="1" applyFill="1" applyBorder="1" applyAlignment="1">
      <alignment horizontal="center"/>
    </xf>
    <xf numFmtId="164" fontId="32" fillId="5" borderId="30" xfId="1" applyFont="1" applyFill="1" applyBorder="1" applyAlignment="1">
      <alignment horizontal="center"/>
    </xf>
    <xf numFmtId="0" fontId="34" fillId="4" borderId="30" xfId="0" applyFont="1" applyFill="1" applyBorder="1" applyAlignment="1">
      <alignment horizontal="left"/>
    </xf>
    <xf numFmtId="0" fontId="34" fillId="4" borderId="30" xfId="0" applyFont="1" applyFill="1" applyBorder="1" applyAlignment="1">
      <alignment horizontal="center" vertical="center"/>
    </xf>
    <xf numFmtId="2" fontId="31" fillId="5" borderId="30" xfId="1" applyNumberFormat="1" applyFont="1" applyFill="1" applyBorder="1" applyAlignment="1">
      <alignment horizontal="center"/>
    </xf>
    <xf numFmtId="164" fontId="3" fillId="5" borderId="30" xfId="1" applyFont="1" applyFill="1" applyBorder="1"/>
    <xf numFmtId="0" fontId="48" fillId="4" borderId="30" xfId="4" applyFont="1" applyFill="1" applyBorder="1"/>
    <xf numFmtId="0" fontId="48" fillId="5" borderId="30" xfId="4" applyFont="1" applyFill="1" applyBorder="1" applyAlignment="1">
      <alignment horizontal="center"/>
    </xf>
    <xf numFmtId="0" fontId="48" fillId="5" borderId="30" xfId="4" applyFont="1" applyFill="1" applyBorder="1" applyAlignment="1">
      <alignment horizontal="left"/>
    </xf>
    <xf numFmtId="0" fontId="48" fillId="5" borderId="30" xfId="4" applyFont="1" applyFill="1" applyBorder="1"/>
    <xf numFmtId="0" fontId="49" fillId="5" borderId="30" xfId="4" applyFont="1" applyFill="1" applyBorder="1" applyAlignment="1">
      <alignment horizontal="center"/>
    </xf>
    <xf numFmtId="0" fontId="31" fillId="5" borderId="30" xfId="0" applyFont="1" applyFill="1" applyBorder="1" applyAlignment="1">
      <alignment horizontal="left" wrapText="1"/>
    </xf>
    <xf numFmtId="0" fontId="31" fillId="5" borderId="30" xfId="0" applyFont="1" applyFill="1" applyBorder="1" applyAlignment="1">
      <alignment horizontal="center" vertical="center"/>
    </xf>
    <xf numFmtId="0" fontId="31" fillId="5" borderId="30" xfId="0" applyFont="1" applyFill="1" applyBorder="1" applyAlignment="1">
      <alignment horizontal="center" vertical="center" wrapText="1"/>
    </xf>
    <xf numFmtId="2" fontId="31" fillId="5" borderId="30" xfId="1" applyNumberFormat="1" applyFont="1" applyFill="1" applyBorder="1" applyAlignment="1">
      <alignment horizontal="center" vertical="center"/>
    </xf>
    <xf numFmtId="0" fontId="44" fillId="5" borderId="30" xfId="0" applyFont="1" applyFill="1" applyBorder="1"/>
    <xf numFmtId="0" fontId="44" fillId="5" borderId="30" xfId="0" applyFont="1" applyFill="1" applyBorder="1" applyAlignment="1">
      <alignment horizontal="center" vertical="center"/>
    </xf>
    <xf numFmtId="0" fontId="44" fillId="5" borderId="30" xfId="0" applyFont="1" applyFill="1" applyBorder="1" applyAlignment="1">
      <alignment vertical="center" wrapText="1"/>
    </xf>
    <xf numFmtId="164" fontId="44" fillId="5" borderId="30" xfId="1" applyFont="1" applyFill="1" applyBorder="1"/>
    <xf numFmtId="2" fontId="44" fillId="5" borderId="30" xfId="1" applyNumberFormat="1" applyFont="1" applyFill="1" applyBorder="1"/>
    <xf numFmtId="164" fontId="44" fillId="5" borderId="30" xfId="1" applyFont="1" applyFill="1" applyBorder="1" applyAlignment="1"/>
    <xf numFmtId="164" fontId="22" fillId="5" borderId="30" xfId="1" applyFont="1" applyFill="1" applyBorder="1"/>
    <xf numFmtId="0" fontId="7" fillId="5" borderId="0" xfId="0" applyFont="1" applyFill="1" applyAlignment="1">
      <alignment horizontal="center"/>
    </xf>
    <xf numFmtId="14" fontId="34" fillId="0" borderId="30" xfId="0" applyNumberFormat="1" applyFont="1" applyBorder="1" applyAlignment="1">
      <alignment horizontal="right"/>
    </xf>
    <xf numFmtId="0" fontId="47" fillId="3" borderId="30" xfId="4" applyFont="1" applyFill="1" applyBorder="1" applyAlignment="1">
      <alignment wrapText="1"/>
    </xf>
    <xf numFmtId="0" fontId="0" fillId="0" borderId="96" xfId="0" applyBorder="1"/>
    <xf numFmtId="164" fontId="48" fillId="0" borderId="30" xfId="2" applyFont="1" applyFill="1" applyBorder="1" applyAlignment="1">
      <alignment horizontal="right" vertical="center"/>
    </xf>
    <xf numFmtId="164" fontId="31" fillId="14" borderId="37" xfId="1" applyFont="1" applyFill="1" applyBorder="1" applyAlignment="1">
      <alignment horizontal="center" vertical="center"/>
    </xf>
    <xf numFmtId="0" fontId="31" fillId="0" borderId="95" xfId="0" applyFont="1" applyBorder="1" applyAlignment="1">
      <alignment horizontal="left" wrapText="1"/>
    </xf>
    <xf numFmtId="164" fontId="31" fillId="0" borderId="46" xfId="1" applyFont="1" applyFill="1" applyBorder="1" applyAlignment="1">
      <alignment horizontal="center" vertical="center"/>
    </xf>
    <xf numFmtId="0" fontId="0" fillId="0" borderId="97" xfId="0" applyBorder="1"/>
    <xf numFmtId="164" fontId="32" fillId="0" borderId="46" xfId="1" applyFont="1" applyFill="1" applyBorder="1"/>
    <xf numFmtId="0" fontId="32" fillId="0" borderId="95" xfId="0" applyFont="1" applyBorder="1" applyAlignment="1">
      <alignment horizontal="left"/>
    </xf>
    <xf numFmtId="0" fontId="31" fillId="0" borderId="95" xfId="0" applyFont="1" applyBorder="1" applyAlignment="1">
      <alignment horizontal="left"/>
    </xf>
    <xf numFmtId="164" fontId="31" fillId="0" borderId="46" xfId="1" applyFont="1" applyFill="1" applyBorder="1" applyAlignment="1">
      <alignment horizontal="center"/>
    </xf>
    <xf numFmtId="0" fontId="31" fillId="0" borderId="95" xfId="0" applyFont="1" applyBorder="1" applyAlignment="1">
      <alignment horizontal="center" vertical="center"/>
    </xf>
    <xf numFmtId="0" fontId="31" fillId="3" borderId="95" xfId="0" applyFont="1" applyFill="1" applyBorder="1" applyAlignment="1">
      <alignment horizontal="left"/>
    </xf>
    <xf numFmtId="0" fontId="32" fillId="3" borderId="95" xfId="0" applyFont="1" applyFill="1" applyBorder="1" applyAlignment="1">
      <alignment horizontal="left"/>
    </xf>
    <xf numFmtId="164" fontId="31" fillId="0" borderId="46" xfId="1" applyFont="1" applyBorder="1" applyAlignment="1">
      <alignment horizontal="left"/>
    </xf>
    <xf numFmtId="164" fontId="31" fillId="0" borderId="46" xfId="1" applyFont="1" applyFill="1" applyBorder="1" applyAlignment="1">
      <alignment horizontal="left"/>
    </xf>
    <xf numFmtId="0" fontId="32" fillId="5" borderId="95" xfId="0" applyFont="1" applyFill="1" applyBorder="1" applyAlignment="1">
      <alignment horizontal="left"/>
    </xf>
    <xf numFmtId="164" fontId="32" fillId="5" borderId="46" xfId="1" applyFont="1" applyFill="1" applyBorder="1" applyAlignment="1">
      <alignment horizontal="left"/>
    </xf>
    <xf numFmtId="0" fontId="0" fillId="0" borderId="46" xfId="0" applyBorder="1"/>
    <xf numFmtId="0" fontId="34" fillId="4" borderId="95" xfId="0" applyFont="1" applyFill="1" applyBorder="1" applyAlignment="1">
      <alignment horizontal="left"/>
    </xf>
    <xf numFmtId="164" fontId="32" fillId="5" borderId="46" xfId="1" applyFont="1" applyFill="1" applyBorder="1"/>
    <xf numFmtId="164" fontId="31" fillId="5" borderId="46" xfId="1" applyFont="1" applyFill="1" applyBorder="1"/>
    <xf numFmtId="164" fontId="31" fillId="5" borderId="46" xfId="1" applyFont="1" applyFill="1" applyBorder="1" applyAlignment="1">
      <alignment horizontal="left"/>
    </xf>
    <xf numFmtId="164" fontId="32" fillId="0" borderId="46" xfId="1" applyFont="1" applyFill="1" applyBorder="1" applyAlignment="1">
      <alignment horizontal="left"/>
    </xf>
    <xf numFmtId="0" fontId="31" fillId="0" borderId="95" xfId="0" applyFont="1" applyBorder="1"/>
    <xf numFmtId="0" fontId="32" fillId="0" borderId="95" xfId="0" applyFont="1" applyBorder="1"/>
    <xf numFmtId="0" fontId="31" fillId="3" borderId="95" xfId="0" applyFont="1" applyFill="1" applyBorder="1"/>
    <xf numFmtId="164" fontId="31" fillId="0" borderId="46" xfId="1" applyFont="1" applyFill="1" applyBorder="1"/>
    <xf numFmtId="0" fontId="0" fillId="0" borderId="95" xfId="0" applyBorder="1"/>
    <xf numFmtId="164" fontId="32" fillId="0" borderId="46" xfId="1" applyFont="1" applyBorder="1" applyAlignment="1">
      <alignment horizontal="left"/>
    </xf>
    <xf numFmtId="0" fontId="31" fillId="3" borderId="95" xfId="0" applyFont="1" applyFill="1" applyBorder="1" applyAlignment="1">
      <alignment horizontal="left" wrapText="1"/>
    </xf>
    <xf numFmtId="0" fontId="34" fillId="0" borderId="95" xfId="0" applyFont="1" applyBorder="1" applyAlignment="1">
      <alignment horizontal="left"/>
    </xf>
    <xf numFmtId="0" fontId="34" fillId="0" borderId="95" xfId="0" applyFont="1" applyBorder="1" applyAlignment="1">
      <alignment horizontal="left" wrapText="1"/>
    </xf>
    <xf numFmtId="164" fontId="32" fillId="0" borderId="46" xfId="1" applyFont="1" applyFill="1" applyBorder="1" applyAlignment="1"/>
    <xf numFmtId="0" fontId="31" fillId="13" borderId="47" xfId="0" applyFont="1" applyFill="1" applyBorder="1" applyAlignment="1">
      <alignment horizontal="right" wrapText="1"/>
    </xf>
    <xf numFmtId="0" fontId="31" fillId="14" borderId="48" xfId="0" applyFont="1" applyFill="1" applyBorder="1" applyAlignment="1">
      <alignment vertical="center" wrapText="1"/>
    </xf>
    <xf numFmtId="0" fontId="36" fillId="14" borderId="48" xfId="0" applyFont="1" applyFill="1" applyBorder="1" applyAlignment="1">
      <alignment wrapText="1"/>
    </xf>
    <xf numFmtId="43" fontId="36" fillId="14" borderId="48" xfId="0" applyNumberFormat="1" applyFont="1" applyFill="1" applyBorder="1" applyAlignment="1">
      <alignment wrapText="1"/>
    </xf>
    <xf numFmtId="43" fontId="36" fillId="14" borderId="41" xfId="0" applyNumberFormat="1" applyFont="1" applyFill="1" applyBorder="1" applyAlignment="1">
      <alignment wrapText="1"/>
    </xf>
    <xf numFmtId="0" fontId="56" fillId="0" borderId="30" xfId="0" applyFont="1" applyBorder="1"/>
    <xf numFmtId="4" fontId="31" fillId="0" borderId="30" xfId="0" applyNumberFormat="1" applyFont="1" applyBorder="1"/>
    <xf numFmtId="0" fontId="48" fillId="3" borderId="44" xfId="4" applyFont="1" applyFill="1" applyBorder="1"/>
    <xf numFmtId="0" fontId="49" fillId="0" borderId="44" xfId="4" applyFont="1" applyBorder="1" applyAlignment="1">
      <alignment horizontal="left"/>
    </xf>
    <xf numFmtId="164" fontId="48" fillId="0" borderId="44" xfId="2" applyFont="1" applyFill="1" applyBorder="1"/>
    <xf numFmtId="164" fontId="48" fillId="0" borderId="44" xfId="2" applyFont="1" applyBorder="1"/>
    <xf numFmtId="2" fontId="48" fillId="5" borderId="44" xfId="2" applyNumberFormat="1" applyFont="1" applyFill="1" applyBorder="1"/>
    <xf numFmtId="0" fontId="49" fillId="3" borderId="30" xfId="4" applyFont="1" applyFill="1" applyBorder="1"/>
    <xf numFmtId="0" fontId="50" fillId="5" borderId="30" xfId="4" applyFont="1" applyFill="1" applyBorder="1" applyAlignment="1">
      <alignment horizontal="left"/>
    </xf>
    <xf numFmtId="0" fontId="57" fillId="5" borderId="30" xfId="4" applyFont="1" applyFill="1" applyBorder="1"/>
    <xf numFmtId="0" fontId="57" fillId="5" borderId="30" xfId="4" applyFont="1" applyFill="1" applyBorder="1" applyAlignment="1">
      <alignment horizontal="center"/>
    </xf>
    <xf numFmtId="164" fontId="11" fillId="0" borderId="30" xfId="1" applyFill="1" applyBorder="1" applyAlignment="1">
      <alignment horizontal="left"/>
    </xf>
    <xf numFmtId="164" fontId="11" fillId="0" borderId="0" xfId="1" applyFill="1"/>
    <xf numFmtId="0" fontId="31" fillId="5" borderId="30" xfId="0" applyFont="1" applyFill="1" applyBorder="1" applyAlignment="1">
      <alignment wrapText="1"/>
    </xf>
    <xf numFmtId="0" fontId="31" fillId="0" borderId="42" xfId="0" applyFont="1" applyBorder="1" applyAlignment="1">
      <alignment horizontal="left" wrapText="1"/>
    </xf>
    <xf numFmtId="0" fontId="31" fillId="0" borderId="42" xfId="0" applyFont="1" applyBorder="1" applyAlignment="1">
      <alignment horizontal="center" vertical="center"/>
    </xf>
    <xf numFmtId="0" fontId="31" fillId="0" borderId="42" xfId="0" applyFont="1" applyBorder="1" applyAlignment="1">
      <alignment horizontal="center" vertical="center" wrapText="1"/>
    </xf>
    <xf numFmtId="164" fontId="31" fillId="0" borderId="42" xfId="1" applyFont="1" applyFill="1" applyBorder="1" applyAlignment="1">
      <alignment horizontal="center" vertical="center"/>
    </xf>
    <xf numFmtId="2" fontId="31" fillId="0" borderId="42" xfId="1" applyNumberFormat="1" applyFont="1" applyFill="1" applyBorder="1" applyAlignment="1">
      <alignment horizontal="center" vertical="center"/>
    </xf>
    <xf numFmtId="164" fontId="58" fillId="13" borderId="30" xfId="1" applyFont="1" applyFill="1" applyBorder="1" applyAlignment="1">
      <alignment horizontal="center" vertical="center"/>
    </xf>
    <xf numFmtId="164" fontId="45" fillId="0" borderId="30" xfId="1" applyFont="1" applyFill="1" applyBorder="1"/>
    <xf numFmtId="2" fontId="45" fillId="0" borderId="30" xfId="1" applyNumberFormat="1" applyFont="1" applyFill="1" applyBorder="1" applyAlignment="1">
      <alignment horizontal="right"/>
    </xf>
    <xf numFmtId="0" fontId="45" fillId="5" borderId="30" xfId="0" applyFont="1" applyFill="1" applyBorder="1"/>
    <xf numFmtId="0" fontId="45" fillId="5" borderId="30" xfId="0" applyFont="1" applyFill="1" applyBorder="1" applyAlignment="1">
      <alignment horizontal="center" vertical="center"/>
    </xf>
    <xf numFmtId="0" fontId="45" fillId="5" borderId="30" xfId="0" applyFont="1" applyFill="1" applyBorder="1" applyAlignment="1">
      <alignment vertical="center" wrapText="1"/>
    </xf>
    <xf numFmtId="164" fontId="45" fillId="5" borderId="30" xfId="1" applyFont="1" applyFill="1" applyBorder="1"/>
    <xf numFmtId="2" fontId="45" fillId="5" borderId="30" xfId="1" applyNumberFormat="1" applyFont="1" applyFill="1" applyBorder="1"/>
    <xf numFmtId="164" fontId="45" fillId="5" borderId="30" xfId="1" applyFont="1" applyFill="1" applyBorder="1" applyAlignment="1"/>
    <xf numFmtId="164" fontId="5" fillId="5" borderId="30" xfId="1" applyFont="1" applyFill="1" applyBorder="1"/>
    <xf numFmtId="164" fontId="46" fillId="0" borderId="30" xfId="1" applyFont="1" applyFill="1" applyBorder="1"/>
    <xf numFmtId="2" fontId="46" fillId="0" borderId="30" xfId="1" applyNumberFormat="1" applyFont="1" applyFill="1" applyBorder="1"/>
    <xf numFmtId="0" fontId="5" fillId="0" borderId="30" xfId="0" applyFont="1" applyBorder="1"/>
    <xf numFmtId="0" fontId="46" fillId="0" borderId="30" xfId="0" applyFont="1" applyBorder="1" applyAlignment="1">
      <alignment horizontal="left" wrapText="1"/>
    </xf>
    <xf numFmtId="164" fontId="46" fillId="0" borderId="30" xfId="0" applyNumberFormat="1" applyFont="1" applyBorder="1"/>
    <xf numFmtId="2" fontId="46" fillId="0" borderId="30" xfId="0" applyNumberFormat="1" applyFont="1" applyBorder="1"/>
    <xf numFmtId="164" fontId="46" fillId="0" borderId="30" xfId="1" applyFont="1" applyFill="1" applyBorder="1" applyAlignment="1"/>
    <xf numFmtId="0" fontId="45" fillId="0" borderId="30" xfId="0" applyFont="1" applyBorder="1" applyAlignment="1">
      <alignment horizontal="center"/>
    </xf>
    <xf numFmtId="2" fontId="45" fillId="0" borderId="30" xfId="1" applyNumberFormat="1" applyFont="1" applyFill="1" applyBorder="1"/>
    <xf numFmtId="164" fontId="45" fillId="0" borderId="30" xfId="1" applyFont="1" applyFill="1" applyBorder="1" applyAlignment="1"/>
    <xf numFmtId="164" fontId="5" fillId="0" borderId="30" xfId="1" applyFont="1" applyFill="1" applyBorder="1"/>
    <xf numFmtId="0" fontId="46" fillId="0" borderId="30" xfId="0" applyFont="1" applyBorder="1" applyAlignment="1">
      <alignment vertical="center"/>
    </xf>
    <xf numFmtId="0" fontId="5" fillId="0" borderId="30" xfId="0" applyFont="1" applyBorder="1" applyAlignment="1">
      <alignment vertical="center"/>
    </xf>
    <xf numFmtId="0" fontId="45" fillId="0" borderId="30" xfId="0" applyFont="1" applyBorder="1" applyAlignment="1">
      <alignment horizontal="left" vertical="center" wrapText="1"/>
    </xf>
    <xf numFmtId="2" fontId="46" fillId="14" borderId="30" xfId="1" applyNumberFormat="1" applyFont="1" applyFill="1" applyBorder="1"/>
    <xf numFmtId="0" fontId="34" fillId="5" borderId="30" xfId="0" applyFont="1" applyFill="1" applyBorder="1" applyAlignment="1">
      <alignment horizontal="center"/>
    </xf>
    <xf numFmtId="0" fontId="49" fillId="5" borderId="30" xfId="0" applyFont="1" applyFill="1" applyBorder="1"/>
    <xf numFmtId="0" fontId="49" fillId="5" borderId="30" xfId="0" applyFont="1" applyFill="1" applyBorder="1" applyAlignment="1">
      <alignment horizontal="center"/>
    </xf>
    <xf numFmtId="0" fontId="48" fillId="5" borderId="30" xfId="0" applyFont="1" applyFill="1" applyBorder="1" applyAlignment="1">
      <alignment horizontal="left"/>
    </xf>
    <xf numFmtId="0" fontId="48" fillId="5" borderId="30" xfId="0" applyFont="1" applyFill="1" applyBorder="1" applyAlignment="1">
      <alignment horizontal="center" vertical="center" wrapText="1"/>
    </xf>
    <xf numFmtId="4" fontId="48" fillId="5" borderId="30" xfId="0" applyNumberFormat="1" applyFont="1" applyFill="1" applyBorder="1"/>
    <xf numFmtId="2" fontId="48" fillId="5" borderId="30" xfId="0" applyNumberFormat="1" applyFont="1" applyFill="1" applyBorder="1"/>
    <xf numFmtId="0" fontId="48" fillId="5" borderId="30" xfId="0" applyFont="1" applyFill="1" applyBorder="1"/>
    <xf numFmtId="0" fontId="48" fillId="5" borderId="30" xfId="0" applyFont="1" applyFill="1" applyBorder="1" applyAlignment="1">
      <alignment horizontal="center"/>
    </xf>
    <xf numFmtId="4" fontId="59" fillId="5" borderId="30" xfId="0" applyNumberFormat="1" applyFont="1" applyFill="1" applyBorder="1"/>
    <xf numFmtId="0" fontId="47" fillId="5" borderId="30" xfId="0" applyFont="1" applyFill="1" applyBorder="1"/>
    <xf numFmtId="0" fontId="60" fillId="0" borderId="30" xfId="0" applyFont="1" applyBorder="1"/>
    <xf numFmtId="0" fontId="49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right"/>
    </xf>
    <xf numFmtId="0" fontId="48" fillId="0" borderId="30" xfId="0" applyFont="1" applyBorder="1" applyAlignment="1">
      <alignment horizontal="center" vertical="center" wrapText="1"/>
    </xf>
    <xf numFmtId="4" fontId="47" fillId="0" borderId="30" xfId="0" applyNumberFormat="1" applyFont="1" applyBorder="1"/>
    <xf numFmtId="4" fontId="47" fillId="5" borderId="30" xfId="0" applyNumberFormat="1" applyFont="1" applyFill="1" applyBorder="1"/>
    <xf numFmtId="2" fontId="47" fillId="5" borderId="30" xfId="0" applyNumberFormat="1" applyFont="1" applyFill="1" applyBorder="1"/>
    <xf numFmtId="0" fontId="47" fillId="13" borderId="30" xfId="0" applyFont="1" applyFill="1" applyBorder="1" applyAlignment="1">
      <alignment horizontal="right"/>
    </xf>
    <xf numFmtId="0" fontId="47" fillId="13" borderId="30" xfId="0" applyFont="1" applyFill="1" applyBorder="1" applyAlignment="1">
      <alignment horizontal="right" wrapText="1"/>
    </xf>
    <xf numFmtId="4" fontId="47" fillId="14" borderId="30" xfId="0" applyNumberFormat="1" applyFont="1" applyFill="1" applyBorder="1"/>
    <xf numFmtId="0" fontId="47" fillId="13" borderId="30" xfId="0" applyFont="1" applyFill="1" applyBorder="1" applyAlignment="1">
      <alignment horizontal="right" vertical="center" wrapText="1"/>
    </xf>
    <xf numFmtId="0" fontId="0" fillId="5" borderId="98" xfId="0" applyFill="1" applyBorder="1"/>
    <xf numFmtId="2" fontId="47" fillId="0" borderId="30" xfId="2" applyNumberFormat="1" applyFont="1" applyFill="1" applyBorder="1" applyAlignment="1">
      <alignment horizontal="right"/>
    </xf>
    <xf numFmtId="2" fontId="36" fillId="0" borderId="0" xfId="4" applyNumberFormat="1" applyFont="1" applyAlignment="1">
      <alignment horizontal="right"/>
    </xf>
    <xf numFmtId="2" fontId="35" fillId="0" borderId="0" xfId="2" applyNumberFormat="1" applyFont="1" applyFill="1"/>
    <xf numFmtId="2" fontId="48" fillId="0" borderId="44" xfId="2" applyNumberFormat="1" applyFont="1" applyFill="1" applyBorder="1"/>
    <xf numFmtId="164" fontId="46" fillId="14" borderId="30" xfId="1" applyFont="1" applyFill="1" applyBorder="1"/>
    <xf numFmtId="0" fontId="1" fillId="5" borderId="30" xfId="4" applyFont="1" applyFill="1" applyBorder="1"/>
    <xf numFmtId="0" fontId="45" fillId="5" borderId="30" xfId="0" applyFont="1" applyFill="1" applyBorder="1" applyAlignment="1">
      <alignment horizontal="center"/>
    </xf>
    <xf numFmtId="0" fontId="45" fillId="5" borderId="30" xfId="0" applyFont="1" applyFill="1" applyBorder="1" applyAlignment="1">
      <alignment wrapText="1"/>
    </xf>
    <xf numFmtId="0" fontId="47" fillId="0" borderId="42" xfId="4" applyFont="1" applyBorder="1"/>
    <xf numFmtId="164" fontId="48" fillId="0" borderId="42" xfId="2" applyFont="1" applyFill="1" applyBorder="1"/>
    <xf numFmtId="164" fontId="48" fillId="0" borderId="42" xfId="2" applyFont="1" applyBorder="1"/>
    <xf numFmtId="164" fontId="36" fillId="14" borderId="37" xfId="2" applyFont="1" applyFill="1" applyBorder="1" applyAlignment="1">
      <alignment horizontal="center" vertical="center"/>
    </xf>
    <xf numFmtId="164" fontId="36" fillId="14" borderId="48" xfId="2" applyFont="1" applyFill="1" applyBorder="1" applyAlignment="1">
      <alignment horizontal="center" vertical="center"/>
    </xf>
    <xf numFmtId="164" fontId="48" fillId="5" borderId="42" xfId="2" applyFont="1" applyFill="1" applyBorder="1"/>
    <xf numFmtId="164" fontId="48" fillId="16" borderId="30" xfId="2" applyFont="1" applyFill="1" applyBorder="1"/>
    <xf numFmtId="164" fontId="48" fillId="5" borderId="44" xfId="2" applyFont="1" applyFill="1" applyBorder="1"/>
    <xf numFmtId="164" fontId="47" fillId="5" borderId="44" xfId="2" applyFont="1" applyFill="1" applyBorder="1"/>
    <xf numFmtId="0" fontId="48" fillId="5" borderId="30" xfId="4" applyFont="1" applyFill="1" applyBorder="1" applyAlignment="1">
      <alignment vertical="center"/>
    </xf>
    <xf numFmtId="0" fontId="48" fillId="5" borderId="30" xfId="4" applyFont="1" applyFill="1" applyBorder="1" applyAlignment="1">
      <alignment horizontal="left" vertical="center"/>
    </xf>
    <xf numFmtId="0" fontId="48" fillId="5" borderId="30" xfId="4" applyFont="1" applyFill="1" applyBorder="1" applyAlignment="1">
      <alignment vertical="center" wrapText="1"/>
    </xf>
    <xf numFmtId="164" fontId="31" fillId="0" borderId="30" xfId="0" applyNumberFormat="1" applyFont="1" applyBorder="1" applyAlignment="1">
      <alignment horizontal="center"/>
    </xf>
    <xf numFmtId="0" fontId="36" fillId="14" borderId="30" xfId="0" applyFont="1" applyFill="1" applyBorder="1" applyAlignment="1">
      <alignment horizontal="center" wrapText="1"/>
    </xf>
    <xf numFmtId="164" fontId="31" fillId="11" borderId="0" xfId="0" applyNumberFormat="1" applyFont="1" applyFill="1" applyAlignment="1">
      <alignment horizontal="center" wrapText="1"/>
    </xf>
    <xf numFmtId="0" fontId="32" fillId="4" borderId="0" xfId="0" applyFont="1" applyFill="1" applyAlignment="1">
      <alignment horizontal="center"/>
    </xf>
    <xf numFmtId="164" fontId="31" fillId="5" borderId="30" xfId="1" applyFont="1" applyFill="1" applyBorder="1" applyAlignment="1"/>
    <xf numFmtId="164" fontId="61" fillId="13" borderId="30" xfId="1" applyFont="1" applyFill="1" applyBorder="1" applyAlignment="1">
      <alignment horizontal="center" vertical="center"/>
    </xf>
    <xf numFmtId="0" fontId="28" fillId="3" borderId="30" xfId="0" applyFont="1" applyFill="1" applyBorder="1" applyAlignment="1">
      <alignment horizontal="left" wrapText="1"/>
    </xf>
    <xf numFmtId="0" fontId="28" fillId="11" borderId="30" xfId="0" applyFont="1" applyFill="1" applyBorder="1" applyAlignment="1">
      <alignment horizontal="center" vertical="center"/>
    </xf>
    <xf numFmtId="164" fontId="61" fillId="11" borderId="30" xfId="1" applyFont="1" applyFill="1" applyBorder="1" applyAlignment="1">
      <alignment horizontal="center" vertical="center"/>
    </xf>
    <xf numFmtId="2" fontId="61" fillId="11" borderId="30" xfId="1" applyNumberFormat="1" applyFont="1" applyFill="1" applyBorder="1" applyAlignment="1">
      <alignment horizontal="right" vertical="center"/>
    </xf>
    <xf numFmtId="0" fontId="29" fillId="3" borderId="30" xfId="0" applyFont="1" applyFill="1" applyBorder="1"/>
    <xf numFmtId="0" fontId="29" fillId="3" borderId="30" xfId="0" applyFont="1" applyFill="1" applyBorder="1" applyAlignment="1">
      <alignment horizontal="left" wrapText="1"/>
    </xf>
    <xf numFmtId="164" fontId="29" fillId="0" borderId="30" xfId="1" applyFont="1" applyFill="1" applyBorder="1"/>
    <xf numFmtId="2" fontId="29" fillId="0" borderId="30" xfId="1" applyNumberFormat="1" applyFont="1" applyBorder="1" applyAlignment="1">
      <alignment horizontal="center"/>
    </xf>
    <xf numFmtId="164" fontId="28" fillId="0" borderId="30" xfId="1" applyFont="1" applyFill="1" applyBorder="1"/>
    <xf numFmtId="2" fontId="28" fillId="0" borderId="30" xfId="1" applyNumberFormat="1" applyFont="1" applyBorder="1"/>
    <xf numFmtId="2" fontId="28" fillId="0" borderId="30" xfId="1" applyNumberFormat="1" applyFont="1" applyBorder="1" applyAlignment="1">
      <alignment horizontal="center"/>
    </xf>
    <xf numFmtId="164" fontId="29" fillId="0" borderId="30" xfId="1" applyFont="1" applyBorder="1" applyAlignment="1">
      <alignment horizontal="center"/>
    </xf>
    <xf numFmtId="0" fontId="28" fillId="3" borderId="30" xfId="0" applyFont="1" applyFill="1" applyBorder="1" applyAlignment="1">
      <alignment wrapText="1"/>
    </xf>
    <xf numFmtId="2" fontId="29" fillId="0" borderId="30" xfId="1" applyNumberFormat="1" applyFont="1" applyFill="1" applyBorder="1"/>
    <xf numFmtId="2" fontId="29" fillId="0" borderId="30" xfId="1" applyNumberFormat="1" applyFont="1" applyFill="1" applyBorder="1" applyAlignment="1">
      <alignment horizontal="center"/>
    </xf>
    <xf numFmtId="0" fontId="28" fillId="4" borderId="30" xfId="0" applyFont="1" applyFill="1" applyBorder="1"/>
    <xf numFmtId="0" fontId="29" fillId="4" borderId="30" xfId="0" applyFont="1" applyFill="1" applyBorder="1" applyAlignment="1">
      <alignment horizontal="center"/>
    </xf>
    <xf numFmtId="0" fontId="29" fillId="5" borderId="30" xfId="0" applyFont="1" applyFill="1" applyBorder="1"/>
    <xf numFmtId="0" fontId="29" fillId="4" borderId="30" xfId="0" applyFont="1" applyFill="1" applyBorder="1"/>
    <xf numFmtId="0" fontId="28" fillId="5" borderId="30" xfId="0" applyFont="1" applyFill="1" applyBorder="1"/>
    <xf numFmtId="0" fontId="28" fillId="13" borderId="30" xfId="0" applyFont="1" applyFill="1" applyBorder="1" applyAlignment="1">
      <alignment horizontal="right" wrapText="1"/>
    </xf>
    <xf numFmtId="0" fontId="28" fillId="13" borderId="30" xfId="0" applyFont="1" applyFill="1" applyBorder="1" applyAlignment="1">
      <alignment vertical="center" wrapText="1"/>
    </xf>
    <xf numFmtId="164" fontId="28" fillId="14" borderId="30" xfId="0" applyNumberFormat="1" applyFont="1" applyFill="1" applyBorder="1"/>
    <xf numFmtId="2" fontId="28" fillId="14" borderId="30" xfId="1" applyNumberFormat="1" applyFont="1" applyFill="1" applyBorder="1" applyAlignment="1">
      <alignment horizontal="center"/>
    </xf>
    <xf numFmtId="0" fontId="28" fillId="4" borderId="0" xfId="0" applyFont="1" applyFill="1" applyAlignment="1">
      <alignment horizontal="center" wrapText="1"/>
    </xf>
    <xf numFmtId="4" fontId="28" fillId="4" borderId="0" xfId="0" applyNumberFormat="1" applyFont="1" applyFill="1" applyAlignment="1">
      <alignment horizontal="right"/>
    </xf>
    <xf numFmtId="2" fontId="28" fillId="4" borderId="0" xfId="0" applyNumberFormat="1" applyFont="1" applyFill="1" applyAlignment="1">
      <alignment horizontal="right"/>
    </xf>
    <xf numFmtId="0" fontId="28" fillId="5" borderId="49" xfId="0" applyFont="1" applyFill="1" applyBorder="1" applyAlignment="1">
      <alignment horizontal="center"/>
    </xf>
    <xf numFmtId="0" fontId="29" fillId="4" borderId="0" xfId="0" applyFont="1" applyFill="1"/>
    <xf numFmtId="0" fontId="29" fillId="5" borderId="0" xfId="0" applyFont="1" applyFill="1"/>
    <xf numFmtId="164" fontId="29" fillId="5" borderId="0" xfId="1" applyFont="1" applyFill="1" applyBorder="1"/>
    <xf numFmtId="2" fontId="29" fillId="5" borderId="0" xfId="1" applyNumberFormat="1" applyFont="1" applyFill="1"/>
    <xf numFmtId="0" fontId="28" fillId="5" borderId="0" xfId="0" applyFont="1" applyFill="1"/>
    <xf numFmtId="164" fontId="29" fillId="5" borderId="0" xfId="1" applyFont="1" applyFill="1"/>
    <xf numFmtId="0" fontId="28" fillId="5" borderId="0" xfId="0" applyFont="1" applyFill="1" applyAlignment="1">
      <alignment horizontal="center" wrapText="1"/>
    </xf>
    <xf numFmtId="2" fontId="28" fillId="14" borderId="30" xfId="1" applyNumberFormat="1" applyFont="1" applyFill="1" applyBorder="1"/>
    <xf numFmtId="0" fontId="5" fillId="0" borderId="0" xfId="0" applyFont="1"/>
    <xf numFmtId="0" fontId="5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0" fillId="0" borderId="7" xfId="0" applyBorder="1" applyAlignment="1">
      <alignment horizontal="left"/>
    </xf>
    <xf numFmtId="0" fontId="3" fillId="2" borderId="52" xfId="0" applyFont="1" applyFill="1" applyBorder="1" applyAlignment="1">
      <alignment horizontal="center"/>
    </xf>
    <xf numFmtId="0" fontId="3" fillId="2" borderId="50" xfId="0" applyFont="1" applyFill="1" applyBorder="1" applyAlignment="1">
      <alignment horizontal="center"/>
    </xf>
    <xf numFmtId="0" fontId="3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3" fillId="2" borderId="53" xfId="0" applyFont="1" applyFill="1" applyBorder="1" applyAlignment="1">
      <alignment horizontal="center"/>
    </xf>
    <xf numFmtId="0" fontId="3" fillId="2" borderId="54" xfId="0" applyFont="1" applyFill="1" applyBorder="1" applyAlignment="1">
      <alignment horizontal="center"/>
    </xf>
    <xf numFmtId="0" fontId="0" fillId="0" borderId="10" xfId="0" applyBorder="1" applyAlignment="1">
      <alignment horizontal="left"/>
    </xf>
    <xf numFmtId="4" fontId="3" fillId="2" borderId="51" xfId="0" applyNumberFormat="1" applyFont="1" applyFill="1" applyBorder="1" applyAlignment="1">
      <alignment horizontal="right"/>
    </xf>
    <xf numFmtId="0" fontId="0" fillId="0" borderId="0" xfId="0" applyAlignment="1">
      <alignment horizontal="center"/>
    </xf>
    <xf numFmtId="0" fontId="3" fillId="2" borderId="52" xfId="0" applyFont="1" applyFill="1" applyBorder="1" applyAlignment="1">
      <alignment horizontal="center" wrapText="1"/>
    </xf>
    <xf numFmtId="4" fontId="3" fillId="2" borderId="50" xfId="0" applyNumberFormat="1" applyFont="1" applyFill="1" applyBorder="1" applyAlignment="1">
      <alignment horizontal="right"/>
    </xf>
    <xf numFmtId="2" fontId="3" fillId="2" borderId="50" xfId="0" applyNumberFormat="1" applyFont="1" applyFill="1" applyBorder="1" applyAlignment="1">
      <alignment horizontal="right"/>
    </xf>
    <xf numFmtId="0" fontId="3" fillId="2" borderId="52" xfId="0" applyFont="1" applyFill="1" applyBorder="1" applyAlignment="1">
      <alignment horizontal="center" vertical="center"/>
    </xf>
    <xf numFmtId="0" fontId="3" fillId="2" borderId="50" xfId="0" applyFont="1" applyFill="1" applyBorder="1" applyAlignment="1">
      <alignment horizontal="center" vertical="center"/>
    </xf>
    <xf numFmtId="0" fontId="3" fillId="2" borderId="53" xfId="0" applyFont="1" applyFill="1" applyBorder="1" applyAlignment="1">
      <alignment horizontal="center" vertical="center"/>
    </xf>
    <xf numFmtId="0" fontId="3" fillId="2" borderId="54" xfId="0" applyFont="1" applyFill="1" applyBorder="1" applyAlignment="1">
      <alignment horizontal="center" vertical="center"/>
    </xf>
    <xf numFmtId="0" fontId="3" fillId="2" borderId="51" xfId="0" applyFont="1" applyFill="1" applyBorder="1" applyAlignment="1">
      <alignment horizontal="center" vertical="center"/>
    </xf>
    <xf numFmtId="0" fontId="0" fillId="0" borderId="12" xfId="0" applyBorder="1" applyAlignment="1">
      <alignment horizontal="left"/>
    </xf>
    <xf numFmtId="0" fontId="6" fillId="2" borderId="55" xfId="0" applyFont="1" applyFill="1" applyBorder="1" applyAlignment="1">
      <alignment horizontal="center" vertical="center" wrapText="1"/>
    </xf>
    <xf numFmtId="4" fontId="3" fillId="2" borderId="22" xfId="0" applyNumberFormat="1" applyFont="1" applyFill="1" applyBorder="1" applyAlignment="1">
      <alignment horizontal="center" vertical="center"/>
    </xf>
    <xf numFmtId="4" fontId="3" fillId="2" borderId="16" xfId="0" applyNumberFormat="1" applyFont="1" applyFill="1" applyBorder="1" applyAlignment="1">
      <alignment horizontal="center" vertical="center"/>
    </xf>
    <xf numFmtId="0" fontId="3" fillId="2" borderId="55" xfId="0" applyFont="1" applyFill="1" applyBorder="1" applyAlignment="1">
      <alignment horizontal="center" vertical="center" wrapText="1"/>
    </xf>
    <xf numFmtId="2" fontId="3" fillId="2" borderId="16" xfId="0" applyNumberFormat="1" applyFont="1" applyFill="1" applyBorder="1" applyAlignment="1">
      <alignment horizontal="center" vertical="center"/>
    </xf>
    <xf numFmtId="4" fontId="3" fillId="2" borderId="7" xfId="0" applyNumberFormat="1" applyFont="1" applyFill="1" applyBorder="1" applyAlignment="1">
      <alignment horizontal="right"/>
    </xf>
    <xf numFmtId="2" fontId="3" fillId="2" borderId="7" xfId="0" applyNumberFormat="1" applyFont="1" applyFill="1" applyBorder="1" applyAlignment="1">
      <alignment horizontal="right"/>
    </xf>
    <xf numFmtId="0" fontId="3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0" fontId="9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7" fillId="2" borderId="50" xfId="0" applyFont="1" applyFill="1" applyBorder="1" applyAlignment="1">
      <alignment horizontal="center"/>
    </xf>
    <xf numFmtId="0" fontId="7" fillId="2" borderId="52" xfId="0" applyFont="1" applyFill="1" applyBorder="1" applyAlignment="1">
      <alignment horizontal="center"/>
    </xf>
    <xf numFmtId="0" fontId="7" fillId="2" borderId="54" xfId="0" applyFont="1" applyFill="1" applyBorder="1" applyAlignment="1">
      <alignment horizontal="center"/>
    </xf>
    <xf numFmtId="0" fontId="7" fillId="2" borderId="53" xfId="0" applyFont="1" applyFill="1" applyBorder="1" applyAlignment="1">
      <alignment horizontal="center"/>
    </xf>
    <xf numFmtId="0" fontId="7" fillId="2" borderId="51" xfId="0" applyFont="1" applyFill="1" applyBorder="1" applyAlignment="1">
      <alignment horizontal="center"/>
    </xf>
    <xf numFmtId="0" fontId="7" fillId="2" borderId="7" xfId="0" applyFont="1" applyFill="1" applyBorder="1" applyAlignment="1">
      <alignment horizontal="center" wrapText="1"/>
    </xf>
    <xf numFmtId="4" fontId="7" fillId="2" borderId="7" xfId="0" applyNumberFormat="1" applyFont="1" applyFill="1" applyBorder="1" applyAlignment="1">
      <alignment horizontal="right"/>
    </xf>
    <xf numFmtId="2" fontId="7" fillId="2" borderId="7" xfId="0" applyNumberFormat="1" applyFont="1" applyFill="1" applyBorder="1" applyAlignment="1">
      <alignment horizontal="right"/>
    </xf>
    <xf numFmtId="0" fontId="3" fillId="2" borderId="9" xfId="0" applyFont="1" applyFill="1" applyBorder="1" applyAlignment="1">
      <alignment horizontal="center" vertical="center" wrapText="1"/>
    </xf>
    <xf numFmtId="0" fontId="7" fillId="2" borderId="7" xfId="0" applyFont="1" applyFill="1" applyBorder="1" applyAlignment="1">
      <alignment horizontal="center"/>
    </xf>
    <xf numFmtId="164" fontId="7" fillId="2" borderId="7" xfId="1" applyFont="1" applyFill="1" applyBorder="1" applyAlignment="1" applyProtection="1">
      <alignment horizontal="right"/>
    </xf>
    <xf numFmtId="4" fontId="28" fillId="2" borderId="7" xfId="0" applyNumberFormat="1" applyFont="1" applyFill="1" applyBorder="1" applyAlignment="1">
      <alignment horizontal="right"/>
    </xf>
    <xf numFmtId="2" fontId="28" fillId="2" borderId="7" xfId="0" applyNumberFormat="1" applyFont="1" applyFill="1" applyBorder="1" applyAlignment="1">
      <alignment horizontal="right"/>
    </xf>
    <xf numFmtId="164" fontId="28" fillId="2" borderId="7" xfId="1" applyFont="1" applyFill="1" applyBorder="1" applyAlignment="1" applyProtection="1">
      <alignment horizontal="right"/>
    </xf>
    <xf numFmtId="0" fontId="28" fillId="2" borderId="7" xfId="0" applyFont="1" applyFill="1" applyBorder="1" applyAlignment="1">
      <alignment horizontal="center" wrapText="1"/>
    </xf>
    <xf numFmtId="0" fontId="6" fillId="2" borderId="30" xfId="0" applyFont="1" applyFill="1" applyBorder="1" applyAlignment="1">
      <alignment horizontal="center" vertical="center" wrapText="1"/>
    </xf>
    <xf numFmtId="0" fontId="0" fillId="0" borderId="30" xfId="0" applyBorder="1" applyAlignment="1">
      <alignment horizontal="left"/>
    </xf>
    <xf numFmtId="0" fontId="3" fillId="2" borderId="30" xfId="0" applyFont="1" applyFill="1" applyBorder="1" applyAlignment="1">
      <alignment horizontal="center"/>
    </xf>
    <xf numFmtId="0" fontId="3" fillId="2" borderId="32" xfId="0" applyFont="1" applyFill="1" applyBorder="1" applyAlignment="1">
      <alignment horizontal="center" vertical="center" wrapText="1"/>
    </xf>
    <xf numFmtId="0" fontId="3" fillId="2" borderId="30" xfId="0" applyFont="1" applyFill="1" applyBorder="1" applyAlignment="1">
      <alignment horizontal="center" vertical="center" wrapText="1"/>
    </xf>
    <xf numFmtId="4" fontId="3" fillId="2" borderId="30" xfId="0" applyNumberFormat="1" applyFont="1" applyFill="1" applyBorder="1" applyAlignment="1">
      <alignment horizontal="center" vertical="center"/>
    </xf>
    <xf numFmtId="2" fontId="3" fillId="2" borderId="30" xfId="0" applyNumberFormat="1" applyFont="1" applyFill="1" applyBorder="1" applyAlignment="1">
      <alignment horizontal="center" vertical="center"/>
    </xf>
    <xf numFmtId="0" fontId="3" fillId="2" borderId="56" xfId="0" applyFont="1" applyFill="1" applyBorder="1" applyAlignment="1">
      <alignment horizontal="center" vertical="center"/>
    </xf>
    <xf numFmtId="0" fontId="3" fillId="2" borderId="57" xfId="0" applyFont="1" applyFill="1" applyBorder="1" applyAlignment="1">
      <alignment horizontal="center" vertical="center"/>
    </xf>
    <xf numFmtId="0" fontId="6" fillId="2" borderId="31" xfId="0" applyFont="1" applyFill="1" applyBorder="1" applyAlignment="1">
      <alignment horizontal="center" vertical="center" wrapText="1"/>
    </xf>
    <xf numFmtId="0" fontId="6" fillId="2" borderId="58" xfId="0" applyFont="1" applyFill="1" applyBorder="1" applyAlignment="1">
      <alignment horizontal="center" vertical="center" wrapText="1"/>
    </xf>
    <xf numFmtId="0" fontId="6" fillId="2" borderId="32" xfId="0" applyFont="1" applyFill="1" applyBorder="1" applyAlignment="1">
      <alignment horizontal="center" vertical="center" wrapText="1"/>
    </xf>
    <xf numFmtId="0" fontId="31" fillId="2" borderId="59" xfId="0" applyFont="1" applyFill="1" applyBorder="1" applyAlignment="1">
      <alignment horizontal="center" wrapText="1"/>
    </xf>
    <xf numFmtId="0" fontId="31" fillId="2" borderId="60" xfId="0" applyFont="1" applyFill="1" applyBorder="1" applyAlignment="1">
      <alignment horizontal="center" wrapText="1"/>
    </xf>
    <xf numFmtId="0" fontId="31" fillId="2" borderId="61" xfId="0" applyFont="1" applyFill="1" applyBorder="1" applyAlignment="1">
      <alignment horizontal="center" wrapText="1"/>
    </xf>
    <xf numFmtId="165" fontId="12" fillId="2" borderId="30" xfId="3" applyNumberFormat="1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left"/>
    </xf>
    <xf numFmtId="0" fontId="13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3" fillId="2" borderId="21" xfId="0" applyFont="1" applyFill="1" applyBorder="1" applyAlignment="1">
      <alignment horizontal="center" vertical="center"/>
    </xf>
    <xf numFmtId="0" fontId="3" fillId="2" borderId="31" xfId="0" applyFont="1" applyFill="1" applyBorder="1" applyAlignment="1">
      <alignment horizontal="center" vertical="center" wrapText="1"/>
    </xf>
    <xf numFmtId="0" fontId="3" fillId="2" borderId="58" xfId="0" applyFont="1" applyFill="1" applyBorder="1" applyAlignment="1">
      <alignment horizontal="center" vertical="center" wrapText="1"/>
    </xf>
    <xf numFmtId="0" fontId="3" fillId="2" borderId="28" xfId="0" applyFont="1" applyFill="1" applyBorder="1" applyAlignment="1">
      <alignment horizontal="center" vertical="center"/>
    </xf>
    <xf numFmtId="0" fontId="3" fillId="2" borderId="62" xfId="0" applyFont="1" applyFill="1" applyBorder="1" applyAlignment="1">
      <alignment horizontal="center" vertical="center"/>
    </xf>
    <xf numFmtId="0" fontId="3" fillId="2" borderId="63" xfId="0" applyFont="1" applyFill="1" applyBorder="1" applyAlignment="1">
      <alignment horizontal="center" vertical="center"/>
    </xf>
    <xf numFmtId="4" fontId="31" fillId="2" borderId="30" xfId="0" applyNumberFormat="1" applyFont="1" applyFill="1" applyBorder="1" applyAlignment="1">
      <alignment horizontal="center" vertical="center"/>
    </xf>
    <xf numFmtId="4" fontId="51" fillId="2" borderId="30" xfId="3" applyNumberFormat="1" applyFont="1" applyFill="1" applyBorder="1" applyAlignment="1">
      <alignment horizontal="center" vertical="center"/>
    </xf>
    <xf numFmtId="0" fontId="51" fillId="2" borderId="30" xfId="3" applyNumberFormat="1" applyFont="1" applyFill="1" applyBorder="1" applyAlignment="1">
      <alignment horizontal="center" vertical="center"/>
    </xf>
    <xf numFmtId="2" fontId="31" fillId="2" borderId="30" xfId="0" applyNumberFormat="1" applyFont="1" applyFill="1" applyBorder="1" applyAlignment="1">
      <alignment horizontal="center" vertical="center"/>
    </xf>
    <xf numFmtId="164" fontId="3" fillId="2" borderId="56" xfId="1" applyFont="1" applyFill="1" applyBorder="1" applyAlignment="1">
      <alignment horizontal="center" vertical="center"/>
    </xf>
    <xf numFmtId="164" fontId="3" fillId="2" borderId="57" xfId="1" applyFont="1" applyFill="1" applyBorder="1" applyAlignment="1">
      <alignment horizontal="center" vertical="center"/>
    </xf>
    <xf numFmtId="164" fontId="3" fillId="2" borderId="54" xfId="1" applyFont="1" applyFill="1" applyBorder="1" applyAlignment="1">
      <alignment horizontal="center" vertical="center"/>
    </xf>
    <xf numFmtId="164" fontId="3" fillId="2" borderId="62" xfId="1" applyFont="1" applyFill="1" applyBorder="1" applyAlignment="1">
      <alignment horizontal="center" vertical="center"/>
    </xf>
    <xf numFmtId="0" fontId="3" fillId="2" borderId="64" xfId="0" applyFont="1" applyFill="1" applyBorder="1" applyAlignment="1">
      <alignment horizontal="center" vertical="center"/>
    </xf>
    <xf numFmtId="2" fontId="3" fillId="2" borderId="53" xfId="1" applyNumberFormat="1" applyFont="1" applyFill="1" applyBorder="1" applyAlignment="1">
      <alignment horizontal="center" vertical="center"/>
    </xf>
    <xf numFmtId="2" fontId="3" fillId="2" borderId="63" xfId="1" applyNumberFormat="1" applyFont="1" applyFill="1" applyBorder="1" applyAlignment="1">
      <alignment horizontal="center" vertical="center"/>
    </xf>
    <xf numFmtId="164" fontId="3" fillId="2" borderId="50" xfId="1" applyFont="1" applyFill="1" applyBorder="1" applyAlignment="1">
      <alignment horizontal="center" vertical="center"/>
    </xf>
    <xf numFmtId="164" fontId="3" fillId="2" borderId="21" xfId="1" applyFont="1" applyFill="1" applyBorder="1" applyAlignment="1">
      <alignment horizontal="center" vertical="center"/>
    </xf>
    <xf numFmtId="0" fontId="6" fillId="0" borderId="0" xfId="0" applyFont="1" applyAlignment="1">
      <alignment horizontal="center" wrapText="1"/>
    </xf>
    <xf numFmtId="0" fontId="13" fillId="0" borderId="0" xfId="0" applyFont="1" applyAlignment="1">
      <alignment horizontal="center" wrapText="1"/>
    </xf>
    <xf numFmtId="164" fontId="3" fillId="2" borderId="74" xfId="1" applyFont="1" applyFill="1" applyBorder="1" applyAlignment="1">
      <alignment horizontal="center" vertical="center"/>
    </xf>
    <xf numFmtId="164" fontId="3" fillId="2" borderId="75" xfId="1" applyFont="1" applyFill="1" applyBorder="1" applyAlignment="1">
      <alignment horizontal="center" vertical="center"/>
    </xf>
    <xf numFmtId="0" fontId="3" fillId="2" borderId="44" xfId="0" applyFont="1" applyFill="1" applyBorder="1" applyAlignment="1">
      <alignment horizontal="center" vertical="center"/>
    </xf>
    <xf numFmtId="0" fontId="3" fillId="2" borderId="42" xfId="0" applyFont="1" applyFill="1" applyBorder="1" applyAlignment="1">
      <alignment horizontal="center" vertical="center"/>
    </xf>
    <xf numFmtId="164" fontId="3" fillId="2" borderId="71" xfId="1" applyFont="1" applyFill="1" applyBorder="1" applyAlignment="1">
      <alignment horizontal="center" vertical="center"/>
    </xf>
    <xf numFmtId="164" fontId="3" fillId="2" borderId="76" xfId="1" applyFont="1" applyFill="1" applyBorder="1" applyAlignment="1">
      <alignment horizontal="center" vertical="center"/>
    </xf>
    <xf numFmtId="0" fontId="3" fillId="2" borderId="72" xfId="0" applyFont="1" applyFill="1" applyBorder="1" applyAlignment="1">
      <alignment horizontal="center" vertical="center"/>
    </xf>
    <xf numFmtId="0" fontId="3" fillId="2" borderId="73" xfId="0" applyFont="1" applyFill="1" applyBorder="1" applyAlignment="1">
      <alignment horizontal="center" vertical="center"/>
    </xf>
    <xf numFmtId="0" fontId="3" fillId="2" borderId="65" xfId="0" applyFont="1" applyFill="1" applyBorder="1" applyAlignment="1">
      <alignment horizontal="center" vertical="center"/>
    </xf>
    <xf numFmtId="0" fontId="3" fillId="2" borderId="66" xfId="0" applyFont="1" applyFill="1" applyBorder="1" applyAlignment="1">
      <alignment horizontal="center" vertical="center"/>
    </xf>
    <xf numFmtId="0" fontId="3" fillId="2" borderId="67" xfId="0" applyFont="1" applyFill="1" applyBorder="1" applyAlignment="1">
      <alignment horizontal="center" vertical="center"/>
    </xf>
    <xf numFmtId="0" fontId="3" fillId="2" borderId="68" xfId="0" applyFont="1" applyFill="1" applyBorder="1" applyAlignment="1">
      <alignment horizontal="center" vertical="center" wrapText="1"/>
    </xf>
    <xf numFmtId="0" fontId="3" fillId="2" borderId="69" xfId="0" applyFont="1" applyFill="1" applyBorder="1" applyAlignment="1">
      <alignment horizontal="center" vertical="center" wrapText="1"/>
    </xf>
    <xf numFmtId="2" fontId="3" fillId="2" borderId="70" xfId="1" applyNumberFormat="1" applyFont="1" applyFill="1" applyBorder="1" applyAlignment="1">
      <alignment horizontal="right" vertical="center"/>
    </xf>
    <xf numFmtId="2" fontId="3" fillId="2" borderId="63" xfId="1" applyNumberFormat="1" applyFont="1" applyFill="1" applyBorder="1" applyAlignment="1">
      <alignment horizontal="right" vertical="center"/>
    </xf>
    <xf numFmtId="0" fontId="3" fillId="2" borderId="77" xfId="0" applyFont="1" applyFill="1" applyBorder="1" applyAlignment="1">
      <alignment horizontal="center" vertical="center"/>
    </xf>
    <xf numFmtId="0" fontId="3" fillId="2" borderId="78" xfId="0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 vertical="center"/>
    </xf>
    <xf numFmtId="0" fontId="13" fillId="5" borderId="0" xfId="0" applyFont="1" applyFill="1" applyAlignment="1">
      <alignment horizontal="center"/>
    </xf>
    <xf numFmtId="0" fontId="6" fillId="5" borderId="0" xfId="0" applyFont="1" applyFill="1" applyAlignment="1">
      <alignment horizontal="center" wrapText="1"/>
    </xf>
    <xf numFmtId="0" fontId="3" fillId="5" borderId="0" xfId="0" applyFont="1" applyFill="1" applyAlignment="1">
      <alignment horizontal="center"/>
    </xf>
    <xf numFmtId="0" fontId="0" fillId="5" borderId="0" xfId="0" applyFill="1" applyAlignment="1">
      <alignment horizontal="center"/>
    </xf>
    <xf numFmtId="4" fontId="7" fillId="4" borderId="0" xfId="0" applyNumberFormat="1" applyFont="1" applyFill="1" applyAlignment="1">
      <alignment horizontal="center"/>
    </xf>
    <xf numFmtId="0" fontId="3" fillId="2" borderId="79" xfId="0" applyFont="1" applyFill="1" applyBorder="1" applyAlignment="1">
      <alignment horizontal="center" vertical="center"/>
    </xf>
    <xf numFmtId="0" fontId="3" fillId="2" borderId="80" xfId="0" applyFont="1" applyFill="1" applyBorder="1" applyAlignment="1">
      <alignment horizontal="center" vertical="center"/>
    </xf>
    <xf numFmtId="0" fontId="7" fillId="5" borderId="0" xfId="0" applyFont="1" applyFill="1" applyAlignment="1">
      <alignment horizontal="center"/>
    </xf>
    <xf numFmtId="0" fontId="9" fillId="5" borderId="0" xfId="0" applyFont="1" applyFill="1" applyAlignment="1">
      <alignment horizontal="center"/>
    </xf>
    <xf numFmtId="164" fontId="19" fillId="2" borderId="56" xfId="1" applyFont="1" applyFill="1" applyBorder="1" applyAlignment="1">
      <alignment horizontal="center" vertical="center"/>
    </xf>
    <xf numFmtId="164" fontId="19" fillId="2" borderId="57" xfId="1" applyFont="1" applyFill="1" applyBorder="1" applyAlignment="1">
      <alignment horizontal="center" vertical="center"/>
    </xf>
    <xf numFmtId="0" fontId="19" fillId="2" borderId="50" xfId="0" applyFont="1" applyFill="1" applyBorder="1" applyAlignment="1">
      <alignment horizontal="center" vertical="center"/>
    </xf>
    <xf numFmtId="0" fontId="19" fillId="2" borderId="21" xfId="0" applyFont="1" applyFill="1" applyBorder="1" applyAlignment="1">
      <alignment horizontal="center" vertical="center"/>
    </xf>
    <xf numFmtId="0" fontId="19" fillId="2" borderId="62" xfId="0" applyFont="1" applyFill="1" applyBorder="1" applyAlignment="1">
      <alignment horizontal="center" vertical="center"/>
    </xf>
    <xf numFmtId="0" fontId="19" fillId="2" borderId="69" xfId="0" applyFont="1" applyFill="1" applyBorder="1" applyAlignment="1">
      <alignment horizontal="center" vertical="center"/>
    </xf>
    <xf numFmtId="0" fontId="19" fillId="2" borderId="81" xfId="0" applyFont="1" applyFill="1" applyBorder="1" applyAlignment="1">
      <alignment horizontal="center" vertical="center"/>
    </xf>
    <xf numFmtId="0" fontId="19" fillId="2" borderId="82" xfId="0" applyFont="1" applyFill="1" applyBorder="1" applyAlignment="1">
      <alignment horizontal="center" vertical="center"/>
    </xf>
    <xf numFmtId="2" fontId="19" fillId="2" borderId="53" xfId="1" applyNumberFormat="1" applyFont="1" applyFill="1" applyBorder="1" applyAlignment="1">
      <alignment horizontal="center" vertical="center"/>
    </xf>
    <xf numFmtId="2" fontId="19" fillId="2" borderId="63" xfId="1" applyNumberFormat="1" applyFont="1" applyFill="1" applyBorder="1" applyAlignment="1">
      <alignment horizontal="center" vertical="center"/>
    </xf>
    <xf numFmtId="164" fontId="19" fillId="2" borderId="50" xfId="1" applyFont="1" applyFill="1" applyBorder="1" applyAlignment="1">
      <alignment horizontal="center" vertical="center"/>
    </xf>
    <xf numFmtId="164" fontId="19" fillId="2" borderId="21" xfId="1" applyFont="1" applyFill="1" applyBorder="1" applyAlignment="1">
      <alignment horizontal="center" vertical="center"/>
    </xf>
    <xf numFmtId="164" fontId="19" fillId="2" borderId="54" xfId="1" applyFont="1" applyFill="1" applyBorder="1" applyAlignment="1">
      <alignment horizontal="center" vertical="center"/>
    </xf>
    <xf numFmtId="164" fontId="19" fillId="2" borderId="62" xfId="1" applyFont="1" applyFill="1" applyBorder="1" applyAlignment="1">
      <alignment horizontal="center" vertical="center"/>
    </xf>
    <xf numFmtId="0" fontId="7" fillId="0" borderId="0" xfId="0" applyFont="1" applyAlignment="1">
      <alignment horizontal="center" wrapText="1"/>
    </xf>
    <xf numFmtId="0" fontId="9" fillId="0" borderId="0" xfId="0" applyFont="1" applyAlignment="1">
      <alignment horizontal="center" wrapText="1"/>
    </xf>
    <xf numFmtId="0" fontId="15" fillId="2" borderId="30" xfId="0" applyFont="1" applyFill="1" applyBorder="1" applyAlignment="1">
      <alignment horizontal="center" vertical="center"/>
    </xf>
    <xf numFmtId="0" fontId="15" fillId="2" borderId="30" xfId="0" applyFont="1" applyFill="1" applyBorder="1" applyAlignment="1">
      <alignment horizontal="center" vertical="center" wrapText="1"/>
    </xf>
    <xf numFmtId="0" fontId="16" fillId="0" borderId="0" xfId="0" applyFont="1" applyAlignment="1">
      <alignment horizontal="center"/>
    </xf>
    <xf numFmtId="0" fontId="18" fillId="0" borderId="0" xfId="0" applyFont="1" applyAlignment="1">
      <alignment horizontal="center" wrapText="1"/>
    </xf>
    <xf numFmtId="2" fontId="15" fillId="2" borderId="30" xfId="1" applyNumberFormat="1" applyFont="1" applyFill="1" applyBorder="1" applyAlignment="1">
      <alignment horizontal="right" vertical="center"/>
    </xf>
    <xf numFmtId="164" fontId="15" fillId="2" borderId="30" xfId="1" applyFont="1" applyFill="1" applyBorder="1" applyAlignment="1">
      <alignment horizontal="center" vertical="center"/>
    </xf>
    <xf numFmtId="0" fontId="18" fillId="0" borderId="0" xfId="0" applyFont="1" applyAlignment="1">
      <alignment horizontal="center"/>
    </xf>
    <xf numFmtId="0" fontId="17" fillId="0" borderId="0" xfId="0" applyFont="1" applyAlignment="1">
      <alignment horizontal="center" wrapText="1"/>
    </xf>
    <xf numFmtId="2" fontId="3" fillId="2" borderId="30" xfId="1" applyNumberFormat="1" applyFont="1" applyFill="1" applyBorder="1" applyAlignment="1">
      <alignment horizontal="right" vertical="center"/>
    </xf>
    <xf numFmtId="164" fontId="3" fillId="2" borderId="30" xfId="1" applyFont="1" applyFill="1" applyBorder="1" applyAlignment="1">
      <alignment horizontal="center" vertical="center"/>
    </xf>
    <xf numFmtId="0" fontId="6" fillId="5" borderId="0" xfId="0" applyFont="1" applyFill="1" applyAlignment="1">
      <alignment horizontal="center"/>
    </xf>
    <xf numFmtId="164" fontId="27" fillId="2" borderId="30" xfId="1" applyFont="1" applyFill="1" applyBorder="1" applyAlignment="1">
      <alignment horizontal="center" vertical="center"/>
    </xf>
    <xf numFmtId="2" fontId="27" fillId="2" borderId="30" xfId="1" applyNumberFormat="1" applyFont="1" applyFill="1" applyBorder="1" applyAlignment="1">
      <alignment horizontal="right" vertical="center"/>
    </xf>
    <xf numFmtId="0" fontId="31" fillId="2" borderId="50" xfId="0" applyFont="1" applyFill="1" applyBorder="1" applyAlignment="1">
      <alignment horizontal="center" vertical="center"/>
    </xf>
    <xf numFmtId="0" fontId="31" fillId="2" borderId="21" xfId="0" applyFont="1" applyFill="1" applyBorder="1" applyAlignment="1">
      <alignment horizontal="center" vertical="center"/>
    </xf>
    <xf numFmtId="0" fontId="31" fillId="2" borderId="62" xfId="0" applyFont="1" applyFill="1" applyBorder="1" applyAlignment="1">
      <alignment horizontal="center" vertical="center"/>
    </xf>
    <xf numFmtId="0" fontId="31" fillId="2" borderId="69" xfId="0" applyFont="1" applyFill="1" applyBorder="1" applyAlignment="1">
      <alignment horizontal="center" vertical="center"/>
    </xf>
    <xf numFmtId="0" fontId="31" fillId="2" borderId="81" xfId="0" applyFont="1" applyFill="1" applyBorder="1" applyAlignment="1">
      <alignment horizontal="center" vertical="center"/>
    </xf>
    <xf numFmtId="0" fontId="31" fillId="2" borderId="82" xfId="0" applyFont="1" applyFill="1" applyBorder="1" applyAlignment="1">
      <alignment horizontal="center" vertical="center"/>
    </xf>
    <xf numFmtId="2" fontId="31" fillId="2" borderId="53" xfId="1" applyNumberFormat="1" applyFont="1" applyFill="1" applyBorder="1" applyAlignment="1">
      <alignment horizontal="center" vertical="center"/>
    </xf>
    <xf numFmtId="2" fontId="31" fillId="2" borderId="63" xfId="1" applyNumberFormat="1" applyFont="1" applyFill="1" applyBorder="1" applyAlignment="1">
      <alignment horizontal="center" vertical="center"/>
    </xf>
    <xf numFmtId="164" fontId="31" fillId="2" borderId="54" xfId="1" applyFont="1" applyFill="1" applyBorder="1" applyAlignment="1">
      <alignment horizontal="center" vertical="center"/>
    </xf>
    <xf numFmtId="164" fontId="31" fillId="2" borderId="62" xfId="1" applyFont="1" applyFill="1" applyBorder="1" applyAlignment="1">
      <alignment horizontal="center" vertical="center"/>
    </xf>
    <xf numFmtId="164" fontId="31" fillId="2" borderId="50" xfId="1" applyFont="1" applyFill="1" applyBorder="1" applyAlignment="1">
      <alignment horizontal="center" vertical="center"/>
    </xf>
    <xf numFmtId="164" fontId="31" fillId="2" borderId="21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164" fontId="31" fillId="2" borderId="56" xfId="1" applyFont="1" applyFill="1" applyBorder="1" applyAlignment="1">
      <alignment horizontal="center" vertical="center"/>
    </xf>
    <xf numFmtId="164" fontId="31" fillId="2" borderId="57" xfId="1" applyFont="1" applyFill="1" applyBorder="1" applyAlignment="1">
      <alignment horizontal="center" vertical="center"/>
    </xf>
    <xf numFmtId="0" fontId="32" fillId="0" borderId="0" xfId="0" applyFont="1" applyAlignment="1">
      <alignment horizontal="center" wrapText="1"/>
    </xf>
    <xf numFmtId="0" fontId="31" fillId="0" borderId="0" xfId="0" applyFont="1" applyAlignment="1">
      <alignment horizontal="center"/>
    </xf>
    <xf numFmtId="0" fontId="28" fillId="0" borderId="0" xfId="0" applyFont="1" applyAlignment="1">
      <alignment horizontal="center"/>
    </xf>
    <xf numFmtId="0" fontId="31" fillId="0" borderId="43" xfId="0" applyFont="1" applyBorder="1" applyAlignment="1">
      <alignment horizontal="center" wrapText="1"/>
    </xf>
    <xf numFmtId="0" fontId="32" fillId="0" borderId="0" xfId="0" applyFont="1" applyAlignment="1">
      <alignment horizontal="center"/>
    </xf>
    <xf numFmtId="0" fontId="36" fillId="0" borderId="0" xfId="0" applyFont="1" applyAlignment="1">
      <alignment horizontal="center" wrapText="1"/>
    </xf>
    <xf numFmtId="0" fontId="35" fillId="0" borderId="0" xfId="0" applyFont="1" applyAlignment="1">
      <alignment horizontal="center" wrapText="1"/>
    </xf>
    <xf numFmtId="164" fontId="31" fillId="2" borderId="30" xfId="1" applyFont="1" applyFill="1" applyBorder="1" applyAlignment="1">
      <alignment horizontal="center" vertical="center"/>
    </xf>
    <xf numFmtId="0" fontId="35" fillId="0" borderId="0" xfId="0" applyFont="1" applyAlignment="1">
      <alignment horizontal="center"/>
    </xf>
    <xf numFmtId="0" fontId="31" fillId="2" borderId="30" xfId="0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right" vertical="center"/>
    </xf>
    <xf numFmtId="0" fontId="31" fillId="2" borderId="30" xfId="0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/>
    </xf>
    <xf numFmtId="164" fontId="28" fillId="2" borderId="30" xfId="1" applyFont="1" applyFill="1" applyBorder="1" applyAlignment="1">
      <alignment horizontal="center" vertical="center"/>
    </xf>
    <xf numFmtId="0" fontId="3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28" fillId="2" borderId="30" xfId="0" applyFont="1" applyFill="1" applyBorder="1" applyAlignment="1">
      <alignment horizontal="center" vertical="center"/>
    </xf>
    <xf numFmtId="2" fontId="28" fillId="2" borderId="30" xfId="1" applyNumberFormat="1" applyFont="1" applyFill="1" applyBorder="1" applyAlignment="1">
      <alignment horizontal="right" vertical="center"/>
    </xf>
    <xf numFmtId="0" fontId="31" fillId="2" borderId="77" xfId="0" applyFont="1" applyFill="1" applyBorder="1" applyAlignment="1">
      <alignment horizontal="center" vertical="center"/>
    </xf>
    <xf numFmtId="0" fontId="31" fillId="2" borderId="78" xfId="0" applyFont="1" applyFill="1" applyBorder="1" applyAlignment="1">
      <alignment horizontal="center" vertical="center"/>
    </xf>
    <xf numFmtId="0" fontId="31" fillId="2" borderId="79" xfId="0" applyFont="1" applyFill="1" applyBorder="1" applyAlignment="1">
      <alignment horizontal="center" vertical="center"/>
    </xf>
    <xf numFmtId="0" fontId="31" fillId="2" borderId="80" xfId="0" applyFont="1" applyFill="1" applyBorder="1" applyAlignment="1">
      <alignment horizontal="center" vertical="center"/>
    </xf>
    <xf numFmtId="4" fontId="3" fillId="4" borderId="0" xfId="0" applyNumberFormat="1" applyFont="1" applyFill="1" applyAlignment="1">
      <alignment horizontal="center"/>
    </xf>
    <xf numFmtId="0" fontId="3" fillId="5" borderId="0" xfId="0" applyFont="1" applyFill="1" applyAlignment="1">
      <alignment horizontal="center" wrapText="1"/>
    </xf>
    <xf numFmtId="4" fontId="31" fillId="4" borderId="0" xfId="0" applyNumberFormat="1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32" fillId="5" borderId="0" xfId="0" applyFont="1" applyFill="1" applyAlignment="1">
      <alignment horizontal="center"/>
    </xf>
    <xf numFmtId="0" fontId="31" fillId="5" borderId="0" xfId="0" applyFont="1" applyFill="1" applyAlignment="1">
      <alignment horizontal="center" wrapText="1"/>
    </xf>
    <xf numFmtId="0" fontId="28" fillId="2" borderId="30" xfId="0" applyFont="1" applyFill="1" applyBorder="1" applyAlignment="1">
      <alignment horizontal="center" vertical="center" wrapText="1"/>
    </xf>
    <xf numFmtId="0" fontId="32" fillId="5" borderId="0" xfId="0" applyFont="1" applyFill="1" applyAlignment="1">
      <alignment horizontal="left"/>
    </xf>
    <xf numFmtId="4" fontId="31" fillId="4" borderId="0" xfId="0" applyNumberFormat="1" applyFont="1" applyFill="1" applyAlignment="1">
      <alignment horizontal="left"/>
    </xf>
    <xf numFmtId="0" fontId="31" fillId="5" borderId="0" xfId="0" applyFont="1" applyFill="1" applyAlignment="1">
      <alignment horizontal="left"/>
    </xf>
    <xf numFmtId="0" fontId="21" fillId="5" borderId="0" xfId="0" applyFont="1" applyFill="1" applyAlignment="1">
      <alignment horizontal="center"/>
    </xf>
    <xf numFmtId="0" fontId="31" fillId="2" borderId="44" xfId="0" applyFont="1" applyFill="1" applyBorder="1" applyAlignment="1">
      <alignment horizontal="center" vertical="center"/>
    </xf>
    <xf numFmtId="0" fontId="31" fillId="2" borderId="42" xfId="0" applyFont="1" applyFill="1" applyBorder="1" applyAlignment="1">
      <alignment horizontal="center" vertical="center"/>
    </xf>
    <xf numFmtId="0" fontId="5" fillId="5" borderId="0" xfId="0" applyFont="1" applyFill="1" applyAlignment="1">
      <alignment horizontal="center"/>
    </xf>
    <xf numFmtId="0" fontId="28" fillId="2" borderId="44" xfId="0" applyFont="1" applyFill="1" applyBorder="1" applyAlignment="1">
      <alignment horizontal="center" vertical="center"/>
    </xf>
    <xf numFmtId="0" fontId="28" fillId="2" borderId="42" xfId="0" applyFont="1" applyFill="1" applyBorder="1" applyAlignment="1">
      <alignment horizontal="center" vertical="center"/>
    </xf>
    <xf numFmtId="0" fontId="31" fillId="2" borderId="88" xfId="0" applyFont="1" applyFill="1" applyBorder="1" applyAlignment="1">
      <alignment horizontal="center" vertical="center"/>
    </xf>
    <xf numFmtId="0" fontId="31" fillId="2" borderId="89" xfId="0" applyFont="1" applyFill="1" applyBorder="1" applyAlignment="1">
      <alignment horizontal="center" vertical="center"/>
    </xf>
    <xf numFmtId="0" fontId="31" fillId="2" borderId="83" xfId="0" applyFont="1" applyFill="1" applyBorder="1" applyAlignment="1">
      <alignment horizontal="center" vertical="center"/>
    </xf>
    <xf numFmtId="0" fontId="31" fillId="2" borderId="84" xfId="0" applyFont="1" applyFill="1" applyBorder="1" applyAlignment="1">
      <alignment horizontal="center" vertical="center"/>
    </xf>
    <xf numFmtId="0" fontId="31" fillId="2" borderId="90" xfId="0" applyFont="1" applyFill="1" applyBorder="1" applyAlignment="1">
      <alignment horizontal="center" vertical="center"/>
    </xf>
    <xf numFmtId="0" fontId="31" fillId="2" borderId="91" xfId="0" applyFont="1" applyFill="1" applyBorder="1" applyAlignment="1">
      <alignment horizontal="center" vertical="center"/>
    </xf>
    <xf numFmtId="2" fontId="31" fillId="2" borderId="92" xfId="1" applyNumberFormat="1" applyFont="1" applyFill="1" applyBorder="1" applyAlignment="1">
      <alignment horizontal="center" vertical="center"/>
    </xf>
    <xf numFmtId="2" fontId="31" fillId="2" borderId="93" xfId="1" applyNumberFormat="1" applyFont="1" applyFill="1" applyBorder="1" applyAlignment="1">
      <alignment horizontal="center" vertical="center"/>
    </xf>
    <xf numFmtId="164" fontId="31" fillId="2" borderId="83" xfId="1" applyFont="1" applyFill="1" applyBorder="1" applyAlignment="1">
      <alignment horizontal="center" vertical="center"/>
    </xf>
    <xf numFmtId="164" fontId="31" fillId="2" borderId="84" xfId="1" applyFont="1" applyFill="1" applyBorder="1" applyAlignment="1">
      <alignment horizontal="center" vertical="center"/>
    </xf>
    <xf numFmtId="164" fontId="31" fillId="2" borderId="85" xfId="1" applyFont="1" applyFill="1" applyBorder="1" applyAlignment="1">
      <alignment horizontal="center" vertical="center"/>
    </xf>
    <xf numFmtId="164" fontId="31" fillId="2" borderId="86" xfId="1" applyFont="1" applyFill="1" applyBorder="1" applyAlignment="1">
      <alignment horizontal="center" vertical="center"/>
    </xf>
    <xf numFmtId="164" fontId="31" fillId="2" borderId="87" xfId="1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center" vertical="center"/>
    </xf>
    <xf numFmtId="164" fontId="31" fillId="2" borderId="44" xfId="1" applyFont="1" applyFill="1" applyBorder="1" applyAlignment="1">
      <alignment horizontal="center" vertical="center"/>
    </xf>
    <xf numFmtId="164" fontId="31" fillId="2" borderId="42" xfId="1" applyFont="1" applyFill="1" applyBorder="1" applyAlignment="1">
      <alignment horizontal="center" vertical="center"/>
    </xf>
    <xf numFmtId="2" fontId="31" fillId="2" borderId="44" xfId="1" applyNumberFormat="1" applyFont="1" applyFill="1" applyBorder="1" applyAlignment="1">
      <alignment horizontal="right" vertical="center"/>
    </xf>
    <xf numFmtId="2" fontId="31" fillId="2" borderId="42" xfId="1" applyNumberFormat="1" applyFont="1" applyFill="1" applyBorder="1" applyAlignment="1">
      <alignment horizontal="right" vertical="center"/>
    </xf>
    <xf numFmtId="0" fontId="31" fillId="2" borderId="44" xfId="0" applyFont="1" applyFill="1" applyBorder="1" applyAlignment="1">
      <alignment horizontal="center" vertical="center" wrapText="1"/>
    </xf>
    <xf numFmtId="0" fontId="31" fillId="2" borderId="42" xfId="0" applyFont="1" applyFill="1" applyBorder="1" applyAlignment="1">
      <alignment horizontal="center" vertical="center" wrapText="1"/>
    </xf>
    <xf numFmtId="0" fontId="19" fillId="2" borderId="30" xfId="0" applyFont="1" applyFill="1" applyBorder="1" applyAlignment="1">
      <alignment horizontal="center" vertical="center"/>
    </xf>
    <xf numFmtId="0" fontId="19" fillId="2" borderId="44" xfId="0" applyFont="1" applyFill="1" applyBorder="1" applyAlignment="1">
      <alignment horizontal="center" vertical="center"/>
    </xf>
    <xf numFmtId="0" fontId="19" fillId="2" borderId="42" xfId="0" applyFont="1" applyFill="1" applyBorder="1" applyAlignment="1">
      <alignment horizontal="center" vertical="center"/>
    </xf>
    <xf numFmtId="0" fontId="19" fillId="2" borderId="79" xfId="0" applyFont="1" applyFill="1" applyBorder="1" applyAlignment="1">
      <alignment horizontal="center" vertical="center"/>
    </xf>
    <xf numFmtId="0" fontId="19" fillId="2" borderId="80" xfId="0" applyFont="1" applyFill="1" applyBorder="1" applyAlignment="1">
      <alignment horizontal="center" vertical="center"/>
    </xf>
    <xf numFmtId="0" fontId="19" fillId="2" borderId="77" xfId="0" applyFont="1" applyFill="1" applyBorder="1" applyAlignment="1">
      <alignment horizontal="center" vertical="center"/>
    </xf>
    <xf numFmtId="0" fontId="19" fillId="2" borderId="78" xfId="0" applyFont="1" applyFill="1" applyBorder="1" applyAlignment="1">
      <alignment horizontal="center" vertical="center"/>
    </xf>
    <xf numFmtId="164" fontId="27" fillId="2" borderId="37" xfId="1" applyFont="1" applyFill="1" applyBorder="1" applyAlignment="1">
      <alignment horizontal="center" vertical="center"/>
    </xf>
    <xf numFmtId="164" fontId="27" fillId="2" borderId="40" xfId="1" applyFont="1" applyFill="1" applyBorder="1" applyAlignment="1">
      <alignment horizontal="center" vertical="center"/>
    </xf>
    <xf numFmtId="164" fontId="27" fillId="2" borderId="46" xfId="1" applyFont="1" applyFill="1" applyBorder="1" applyAlignment="1">
      <alignment horizontal="center" vertical="center"/>
    </xf>
    <xf numFmtId="0" fontId="31" fillId="2" borderId="94" xfId="0" applyFont="1" applyFill="1" applyBorder="1" applyAlignment="1">
      <alignment horizontal="center" vertical="center"/>
    </xf>
    <xf numFmtId="0" fontId="31" fillId="2" borderId="95" xfId="0" applyFont="1" applyFill="1" applyBorder="1" applyAlignment="1">
      <alignment horizontal="center" vertical="center"/>
    </xf>
    <xf numFmtId="2" fontId="27" fillId="2" borderId="37" xfId="1" applyNumberFormat="1" applyFont="1" applyFill="1" applyBorder="1" applyAlignment="1">
      <alignment horizontal="right" vertical="center"/>
    </xf>
    <xf numFmtId="0" fontId="31" fillId="2" borderId="37" xfId="0" applyFont="1" applyFill="1" applyBorder="1" applyAlignment="1">
      <alignment horizontal="center" vertical="center"/>
    </xf>
    <xf numFmtId="164" fontId="31" fillId="2" borderId="44" xfId="2" applyFont="1" applyFill="1" applyBorder="1" applyAlignment="1">
      <alignment horizontal="center" vertical="center"/>
    </xf>
    <xf numFmtId="164" fontId="31" fillId="2" borderId="42" xfId="2" applyFont="1" applyFill="1" applyBorder="1" applyAlignment="1">
      <alignment horizontal="center" vertical="center"/>
    </xf>
    <xf numFmtId="0" fontId="7" fillId="5" borderId="0" xfId="4" applyFont="1" applyFill="1" applyAlignment="1">
      <alignment horizontal="center"/>
    </xf>
    <xf numFmtId="0" fontId="9" fillId="5" borderId="43" xfId="4" applyFont="1" applyFill="1" applyBorder="1" applyAlignment="1">
      <alignment horizontal="center"/>
    </xf>
    <xf numFmtId="0" fontId="31" fillId="2" borderId="44" xfId="4" applyFont="1" applyFill="1" applyBorder="1" applyAlignment="1">
      <alignment horizontal="center" vertical="center"/>
    </xf>
    <xf numFmtId="0" fontId="31" fillId="2" borderId="42" xfId="4" applyFont="1" applyFill="1" applyBorder="1" applyAlignment="1">
      <alignment horizontal="center" vertical="center"/>
    </xf>
    <xf numFmtId="2" fontId="31" fillId="2" borderId="44" xfId="2" applyNumberFormat="1" applyFont="1" applyFill="1" applyBorder="1" applyAlignment="1">
      <alignment horizontal="center" vertical="center"/>
    </xf>
    <xf numFmtId="2" fontId="31" fillId="2" borderId="42" xfId="2" applyNumberFormat="1" applyFont="1" applyFill="1" applyBorder="1" applyAlignment="1">
      <alignment horizontal="center" vertical="center"/>
    </xf>
    <xf numFmtId="4" fontId="32" fillId="4" borderId="0" xfId="0" applyNumberFormat="1" applyFont="1" applyFill="1" applyAlignment="1">
      <alignment horizontal="center"/>
    </xf>
    <xf numFmtId="0" fontId="36" fillId="5" borderId="49" xfId="4" applyFont="1" applyFill="1" applyBorder="1" applyAlignment="1">
      <alignment horizontal="center"/>
    </xf>
    <xf numFmtId="0" fontId="35" fillId="5" borderId="0" xfId="0" applyFont="1" applyFill="1" applyAlignment="1">
      <alignment horizontal="center"/>
    </xf>
    <xf numFmtId="0" fontId="6" fillId="5" borderId="0" xfId="4" applyFont="1" applyFill="1" applyAlignment="1">
      <alignment horizontal="center"/>
    </xf>
    <xf numFmtId="0" fontId="13" fillId="5" borderId="43" xfId="4" applyFont="1" applyFill="1" applyBorder="1" applyAlignment="1">
      <alignment horizontal="center"/>
    </xf>
    <xf numFmtId="0" fontId="36" fillId="2" borderId="30" xfId="4" applyFont="1" applyFill="1" applyBorder="1" applyAlignment="1">
      <alignment horizontal="center" vertical="center"/>
    </xf>
    <xf numFmtId="164" fontId="36" fillId="2" borderId="30" xfId="2" applyFont="1" applyFill="1" applyBorder="1" applyAlignment="1">
      <alignment horizontal="center" vertical="center"/>
    </xf>
    <xf numFmtId="2" fontId="36" fillId="2" borderId="30" xfId="2" applyNumberFormat="1" applyFont="1" applyFill="1" applyBorder="1" applyAlignment="1">
      <alignment horizontal="center" vertical="center"/>
    </xf>
    <xf numFmtId="0" fontId="31" fillId="5" borderId="49" xfId="0" applyFont="1" applyFill="1" applyBorder="1" applyAlignment="1">
      <alignment horizontal="center"/>
    </xf>
    <xf numFmtId="0" fontId="31" fillId="5" borderId="49" xfId="0" applyFont="1" applyFill="1" applyBorder="1" applyAlignment="1">
      <alignment horizontal="center" vertical="center"/>
    </xf>
    <xf numFmtId="0" fontId="32" fillId="5" borderId="0" xfId="0" applyFont="1" applyFill="1" applyAlignment="1">
      <alignment horizontal="center" vertical="center"/>
    </xf>
    <xf numFmtId="0" fontId="23" fillId="5" borderId="0" xfId="0" applyFont="1" applyFill="1" applyAlignment="1">
      <alignment horizontal="center"/>
    </xf>
    <xf numFmtId="0" fontId="22" fillId="5" borderId="0" xfId="0" applyFont="1" applyFill="1" applyAlignment="1">
      <alignment horizontal="center"/>
    </xf>
    <xf numFmtId="0" fontId="43" fillId="2" borderId="30" xfId="0" applyFont="1" applyFill="1" applyBorder="1" applyAlignment="1">
      <alignment horizontal="center" vertical="center"/>
    </xf>
    <xf numFmtId="4" fontId="44" fillId="4" borderId="0" xfId="0" applyNumberFormat="1" applyFont="1" applyFill="1" applyAlignment="1">
      <alignment horizontal="center"/>
    </xf>
    <xf numFmtId="2" fontId="42" fillId="2" borderId="30" xfId="1" applyNumberFormat="1" applyFont="1" applyFill="1" applyBorder="1" applyAlignment="1">
      <alignment horizontal="right" vertical="center"/>
    </xf>
    <xf numFmtId="0" fontId="43" fillId="5" borderId="0" xfId="0" applyFont="1" applyFill="1" applyAlignment="1">
      <alignment horizontal="center" wrapText="1"/>
    </xf>
    <xf numFmtId="0" fontId="46" fillId="2" borderId="30" xfId="0" applyFont="1" applyFill="1" applyBorder="1" applyAlignment="1">
      <alignment horizontal="center" vertical="center"/>
    </xf>
    <xf numFmtId="164" fontId="42" fillId="2" borderId="30" xfId="1" applyFont="1" applyFill="1" applyBorder="1" applyAlignment="1">
      <alignment horizontal="center" vertical="center"/>
    </xf>
    <xf numFmtId="0" fontId="44" fillId="5" borderId="0" xfId="0" applyFont="1" applyFill="1" applyAlignment="1">
      <alignment horizontal="center"/>
    </xf>
    <xf numFmtId="0" fontId="43" fillId="5" borderId="0" xfId="0" applyFont="1" applyFill="1" applyAlignment="1">
      <alignment horizontal="center"/>
    </xf>
    <xf numFmtId="0" fontId="36" fillId="5" borderId="49" xfId="4" applyFont="1" applyFill="1" applyBorder="1" applyAlignment="1">
      <alignment horizontal="center" vertical="center"/>
    </xf>
    <xf numFmtId="2" fontId="36" fillId="13" borderId="30" xfId="2" applyNumberFormat="1" applyFont="1" applyFill="1" applyBorder="1" applyAlignment="1">
      <alignment horizontal="center" vertical="center"/>
    </xf>
    <xf numFmtId="164" fontId="36" fillId="13" borderId="30" xfId="2" applyFont="1" applyFill="1" applyBorder="1" applyAlignment="1">
      <alignment horizontal="center" vertical="center"/>
    </xf>
    <xf numFmtId="0" fontId="13" fillId="5" borderId="0" xfId="4" applyFont="1" applyFill="1" applyAlignment="1">
      <alignment horizontal="center"/>
    </xf>
    <xf numFmtId="0" fontId="36" fillId="13" borderId="30" xfId="4" applyFont="1" applyFill="1" applyBorder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31" fillId="13" borderId="30" xfId="0" applyFont="1" applyFill="1" applyBorder="1" applyAlignment="1">
      <alignment horizontal="center" vertical="center"/>
    </xf>
    <xf numFmtId="164" fontId="31" fillId="13" borderId="30" xfId="1" applyFont="1" applyFill="1" applyBorder="1" applyAlignment="1">
      <alignment horizontal="center" vertical="center"/>
    </xf>
    <xf numFmtId="2" fontId="31" fillId="13" borderId="30" xfId="1" applyNumberFormat="1" applyFont="1" applyFill="1" applyBorder="1" applyAlignment="1">
      <alignment horizontal="right" vertical="center"/>
    </xf>
    <xf numFmtId="0" fontId="31" fillId="13" borderId="30" xfId="0" applyFont="1" applyFill="1" applyBorder="1" applyAlignment="1">
      <alignment horizontal="center" vertical="center" wrapText="1"/>
    </xf>
    <xf numFmtId="0" fontId="19" fillId="13" borderId="30" xfId="0" applyFont="1" applyFill="1" applyBorder="1" applyAlignment="1">
      <alignment horizontal="center" vertical="center"/>
    </xf>
    <xf numFmtId="0" fontId="19" fillId="13" borderId="44" xfId="0" applyFont="1" applyFill="1" applyBorder="1" applyAlignment="1">
      <alignment horizontal="center" vertical="center"/>
    </xf>
    <xf numFmtId="0" fontId="19" fillId="13" borderId="42" xfId="0" applyFont="1" applyFill="1" applyBorder="1" applyAlignment="1">
      <alignment horizontal="center" vertical="center"/>
    </xf>
    <xf numFmtId="164" fontId="42" fillId="13" borderId="30" xfId="1" applyFont="1" applyFill="1" applyBorder="1" applyAlignment="1">
      <alignment horizontal="center" vertical="center"/>
    </xf>
    <xf numFmtId="0" fontId="43" fillId="13" borderId="30" xfId="0" applyFont="1" applyFill="1" applyBorder="1" applyAlignment="1">
      <alignment horizontal="center" vertical="center"/>
    </xf>
    <xf numFmtId="0" fontId="46" fillId="13" borderId="30" xfId="0" applyFont="1" applyFill="1" applyBorder="1" applyAlignment="1">
      <alignment horizontal="center" vertical="center"/>
    </xf>
    <xf numFmtId="2" fontId="42" fillId="13" borderId="30" xfId="1" applyNumberFormat="1" applyFont="1" applyFill="1" applyBorder="1" applyAlignment="1">
      <alignment horizontal="right" vertical="center"/>
    </xf>
    <xf numFmtId="164" fontId="27" fillId="13" borderId="30" xfId="1" applyFont="1" applyFill="1" applyBorder="1" applyAlignment="1">
      <alignment horizontal="center" vertical="center"/>
    </xf>
    <xf numFmtId="2" fontId="27" fillId="13" borderId="30" xfId="1" applyNumberFormat="1" applyFont="1" applyFill="1" applyBorder="1" applyAlignment="1">
      <alignment horizontal="right" vertical="center"/>
    </xf>
    <xf numFmtId="164" fontId="31" fillId="14" borderId="30" xfId="1" applyFont="1" applyFill="1" applyBorder="1" applyAlignment="1">
      <alignment horizontal="center" vertical="center"/>
    </xf>
    <xf numFmtId="164" fontId="36" fillId="14" borderId="30" xfId="2" applyFont="1" applyFill="1" applyBorder="1" applyAlignment="1">
      <alignment horizontal="center" vertical="center"/>
    </xf>
    <xf numFmtId="164" fontId="42" fillId="13" borderId="44" xfId="1" applyFont="1" applyFill="1" applyBorder="1" applyAlignment="1">
      <alignment horizontal="center" vertical="center"/>
    </xf>
    <xf numFmtId="164" fontId="42" fillId="13" borderId="42" xfId="1" applyFont="1" applyFill="1" applyBorder="1" applyAlignment="1">
      <alignment horizontal="center" vertical="center"/>
    </xf>
    <xf numFmtId="0" fontId="43" fillId="13" borderId="44" xfId="0" applyFont="1" applyFill="1" applyBorder="1" applyAlignment="1">
      <alignment horizontal="center" vertical="center"/>
    </xf>
    <xf numFmtId="0" fontId="43" fillId="13" borderId="42" xfId="0" applyFont="1" applyFill="1" applyBorder="1" applyAlignment="1">
      <alignment horizontal="center" vertical="center"/>
    </xf>
    <xf numFmtId="0" fontId="46" fillId="13" borderId="44" xfId="0" applyFont="1" applyFill="1" applyBorder="1" applyAlignment="1">
      <alignment horizontal="center" vertical="center"/>
    </xf>
    <xf numFmtId="0" fontId="46" fillId="13" borderId="42" xfId="0" applyFont="1" applyFill="1" applyBorder="1" applyAlignment="1">
      <alignment horizontal="center" vertical="center"/>
    </xf>
    <xf numFmtId="2" fontId="42" fillId="13" borderId="44" xfId="1" applyNumberFormat="1" applyFont="1" applyFill="1" applyBorder="1" applyAlignment="1">
      <alignment horizontal="center" vertical="center"/>
    </xf>
    <xf numFmtId="2" fontId="42" fillId="13" borderId="42" xfId="1" applyNumberFormat="1" applyFont="1" applyFill="1" applyBorder="1" applyAlignment="1">
      <alignment horizontal="center" vertical="center"/>
    </xf>
    <xf numFmtId="164" fontId="27" fillId="13" borderId="44" xfId="1" applyFont="1" applyFill="1" applyBorder="1" applyAlignment="1">
      <alignment horizontal="center" vertical="center"/>
    </xf>
    <xf numFmtId="164" fontId="27" fillId="13" borderId="42" xfId="1" applyFont="1" applyFill="1" applyBorder="1" applyAlignment="1">
      <alignment horizontal="center" vertical="center"/>
    </xf>
    <xf numFmtId="0" fontId="31" fillId="13" borderId="44" xfId="0" applyFont="1" applyFill="1" applyBorder="1" applyAlignment="1">
      <alignment horizontal="center" vertical="center" wrapText="1"/>
    </xf>
    <xf numFmtId="0" fontId="31" fillId="13" borderId="42" xfId="0" applyFont="1" applyFill="1" applyBorder="1" applyAlignment="1">
      <alignment horizontal="center" vertical="center" wrapText="1"/>
    </xf>
    <xf numFmtId="0" fontId="31" fillId="13" borderId="44" xfId="0" applyFont="1" applyFill="1" applyBorder="1" applyAlignment="1">
      <alignment horizontal="center" vertical="center"/>
    </xf>
    <xf numFmtId="0" fontId="31" fillId="13" borderId="42" xfId="0" applyFont="1" applyFill="1" applyBorder="1" applyAlignment="1">
      <alignment horizontal="center" vertical="center"/>
    </xf>
    <xf numFmtId="2" fontId="27" fillId="13" borderId="44" xfId="1" applyNumberFormat="1" applyFont="1" applyFill="1" applyBorder="1" applyAlignment="1">
      <alignment horizontal="right" vertical="center"/>
    </xf>
    <xf numFmtId="2" fontId="27" fillId="13" borderId="42" xfId="1" applyNumberFormat="1" applyFont="1" applyFill="1" applyBorder="1" applyAlignment="1">
      <alignment horizontal="right" vertical="center"/>
    </xf>
    <xf numFmtId="0" fontId="31" fillId="13" borderId="94" xfId="0" applyFont="1" applyFill="1" applyBorder="1" applyAlignment="1">
      <alignment horizontal="center" vertical="center"/>
    </xf>
    <xf numFmtId="0" fontId="31" fillId="13" borderId="95" xfId="0" applyFont="1" applyFill="1" applyBorder="1" applyAlignment="1">
      <alignment horizontal="center" vertical="center"/>
    </xf>
    <xf numFmtId="0" fontId="31" fillId="13" borderId="37" xfId="0" applyFont="1" applyFill="1" applyBorder="1" applyAlignment="1">
      <alignment horizontal="center" vertical="center"/>
    </xf>
    <xf numFmtId="0" fontId="31" fillId="13" borderId="37" xfId="0" applyFont="1" applyFill="1" applyBorder="1" applyAlignment="1">
      <alignment horizontal="center" vertical="center" wrapText="1"/>
    </xf>
    <xf numFmtId="2" fontId="31" fillId="13" borderId="37" xfId="1" applyNumberFormat="1" applyFont="1" applyFill="1" applyBorder="1" applyAlignment="1">
      <alignment horizontal="right" vertical="center"/>
    </xf>
    <xf numFmtId="164" fontId="31" fillId="13" borderId="37" xfId="1" applyFont="1" applyFill="1" applyBorder="1" applyAlignment="1">
      <alignment horizontal="center" vertical="center"/>
    </xf>
    <xf numFmtId="164" fontId="31" fillId="14" borderId="37" xfId="1" applyFont="1" applyFill="1" applyBorder="1" applyAlignment="1">
      <alignment horizontal="center" vertical="center"/>
    </xf>
    <xf numFmtId="164" fontId="31" fillId="13" borderId="40" xfId="1" applyFont="1" applyFill="1" applyBorder="1" applyAlignment="1">
      <alignment horizontal="center" vertical="center"/>
    </xf>
    <xf numFmtId="164" fontId="31" fillId="13" borderId="46" xfId="1" applyFont="1" applyFill="1" applyBorder="1" applyAlignment="1">
      <alignment horizontal="center" vertical="center"/>
    </xf>
    <xf numFmtId="164" fontId="36" fillId="13" borderId="40" xfId="2" applyFont="1" applyFill="1" applyBorder="1" applyAlignment="1">
      <alignment horizontal="center" vertical="center"/>
    </xf>
    <xf numFmtId="164" fontId="36" fillId="13" borderId="41" xfId="2" applyFont="1" applyFill="1" applyBorder="1" applyAlignment="1">
      <alignment horizontal="center" vertical="center"/>
    </xf>
    <xf numFmtId="164" fontId="36" fillId="13" borderId="37" xfId="2" applyFont="1" applyFill="1" applyBorder="1" applyAlignment="1">
      <alignment horizontal="center" vertical="center"/>
    </xf>
    <xf numFmtId="164" fontId="36" fillId="13" borderId="48" xfId="2" applyFont="1" applyFill="1" applyBorder="1" applyAlignment="1">
      <alignment horizontal="center" vertical="center"/>
    </xf>
    <xf numFmtId="164" fontId="36" fillId="14" borderId="37" xfId="2" applyFont="1" applyFill="1" applyBorder="1" applyAlignment="1">
      <alignment horizontal="center" vertical="center"/>
    </xf>
    <xf numFmtId="164" fontId="36" fillId="14" borderId="48" xfId="2" applyFont="1" applyFill="1" applyBorder="1" applyAlignment="1">
      <alignment horizontal="center" vertical="center"/>
    </xf>
    <xf numFmtId="0" fontId="36" fillId="13" borderId="94" xfId="4" applyFont="1" applyFill="1" applyBorder="1" applyAlignment="1">
      <alignment horizontal="center" vertical="center"/>
    </xf>
    <xf numFmtId="0" fontId="36" fillId="13" borderId="47" xfId="4" applyFont="1" applyFill="1" applyBorder="1" applyAlignment="1">
      <alignment horizontal="center" vertical="center"/>
    </xf>
    <xf numFmtId="0" fontId="36" fillId="13" borderId="37" xfId="4" applyFont="1" applyFill="1" applyBorder="1" applyAlignment="1">
      <alignment horizontal="center" vertical="center"/>
    </xf>
    <xf numFmtId="0" fontId="36" fillId="13" borderId="48" xfId="4" applyFont="1" applyFill="1" applyBorder="1" applyAlignment="1">
      <alignment horizontal="center" vertical="center"/>
    </xf>
    <xf numFmtId="2" fontId="36" fillId="13" borderId="37" xfId="2" applyNumberFormat="1" applyFont="1" applyFill="1" applyBorder="1" applyAlignment="1">
      <alignment horizontal="center" vertical="center"/>
    </xf>
    <xf numFmtId="2" fontId="36" fillId="13" borderId="48" xfId="2" applyNumberFormat="1" applyFont="1" applyFill="1" applyBorder="1" applyAlignment="1">
      <alignment horizontal="center" vertical="center"/>
    </xf>
    <xf numFmtId="164" fontId="58" fillId="13" borderId="44" xfId="1" applyFont="1" applyFill="1" applyBorder="1" applyAlignment="1">
      <alignment horizontal="center" vertical="center"/>
    </xf>
    <xf numFmtId="164" fontId="58" fillId="13" borderId="42" xfId="1" applyFont="1" applyFill="1" applyBorder="1" applyAlignment="1">
      <alignment horizontal="center" vertical="center"/>
    </xf>
    <xf numFmtId="2" fontId="58" fillId="13" borderId="44" xfId="1" applyNumberFormat="1" applyFont="1" applyFill="1" applyBorder="1" applyAlignment="1">
      <alignment horizontal="center" vertical="center"/>
    </xf>
    <xf numFmtId="2" fontId="58" fillId="13" borderId="42" xfId="1" applyNumberFormat="1" applyFont="1" applyFill="1" applyBorder="1" applyAlignment="1">
      <alignment horizontal="center" vertical="center"/>
    </xf>
    <xf numFmtId="4" fontId="29" fillId="4" borderId="0" xfId="0" applyNumberFormat="1" applyFont="1" applyFill="1" applyAlignment="1">
      <alignment horizontal="center"/>
    </xf>
    <xf numFmtId="0" fontId="28" fillId="5" borderId="0" xfId="0" applyFont="1" applyFill="1" applyAlignment="1">
      <alignment horizontal="center"/>
    </xf>
    <xf numFmtId="0" fontId="29" fillId="5" borderId="0" xfId="0" applyFont="1" applyFill="1" applyAlignment="1">
      <alignment horizontal="center"/>
    </xf>
    <xf numFmtId="0" fontId="28" fillId="5" borderId="0" xfId="0" applyFont="1" applyFill="1" applyAlignment="1">
      <alignment horizontal="center" wrapText="1"/>
    </xf>
    <xf numFmtId="164" fontId="61" fillId="13" borderId="30" xfId="1" applyFont="1" applyFill="1" applyBorder="1" applyAlignment="1">
      <alignment horizontal="center" vertical="center"/>
    </xf>
    <xf numFmtId="0" fontId="62" fillId="5" borderId="0" xfId="0" applyFont="1" applyFill="1" applyAlignment="1">
      <alignment horizontal="center"/>
    </xf>
    <xf numFmtId="0" fontId="28" fillId="13" borderId="30" xfId="0" applyFont="1" applyFill="1" applyBorder="1" applyAlignment="1">
      <alignment horizontal="center" vertical="center" wrapText="1"/>
    </xf>
    <xf numFmtId="0" fontId="28" fillId="13" borderId="30" xfId="0" applyFont="1" applyFill="1" applyBorder="1" applyAlignment="1">
      <alignment horizontal="center" vertical="center"/>
    </xf>
    <xf numFmtId="2" fontId="61" fillId="13" borderId="30" xfId="1" applyNumberFormat="1" applyFont="1" applyFill="1" applyBorder="1" applyAlignment="1">
      <alignment horizontal="right" vertical="center"/>
    </xf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99" Type="http://schemas.openxmlformats.org/officeDocument/2006/relationships/worksheet" Target="worksheets/sheet299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324" Type="http://schemas.openxmlformats.org/officeDocument/2006/relationships/worksheet" Target="worksheets/sheet324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268" Type="http://schemas.openxmlformats.org/officeDocument/2006/relationships/worksheet" Target="worksheets/sheet268.xml"/><Relationship Id="rId32" Type="http://schemas.openxmlformats.org/officeDocument/2006/relationships/worksheet" Target="worksheets/sheet32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335" Type="http://schemas.openxmlformats.org/officeDocument/2006/relationships/worksheet" Target="worksheets/sheet335.xml"/><Relationship Id="rId5" Type="http://schemas.openxmlformats.org/officeDocument/2006/relationships/worksheet" Target="worksheets/sheet5.xml"/><Relationship Id="rId181" Type="http://schemas.openxmlformats.org/officeDocument/2006/relationships/worksheet" Target="worksheets/sheet181.xml"/><Relationship Id="rId237" Type="http://schemas.openxmlformats.org/officeDocument/2006/relationships/worksheet" Target="worksheets/sheet237.xml"/><Relationship Id="rId279" Type="http://schemas.openxmlformats.org/officeDocument/2006/relationships/worksheet" Target="worksheets/sheet279.xml"/><Relationship Id="rId43" Type="http://schemas.openxmlformats.org/officeDocument/2006/relationships/worksheet" Target="worksheets/sheet43.xml"/><Relationship Id="rId139" Type="http://schemas.openxmlformats.org/officeDocument/2006/relationships/worksheet" Target="worksheets/sheet139.xml"/><Relationship Id="rId290" Type="http://schemas.openxmlformats.org/officeDocument/2006/relationships/worksheet" Target="worksheets/sheet290.xml"/><Relationship Id="rId304" Type="http://schemas.openxmlformats.org/officeDocument/2006/relationships/worksheet" Target="worksheets/sheet304.xml"/><Relationship Id="rId346" Type="http://schemas.openxmlformats.org/officeDocument/2006/relationships/worksheet" Target="worksheets/sheet346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48" Type="http://schemas.openxmlformats.org/officeDocument/2006/relationships/worksheet" Target="worksheets/sheet248.xml"/><Relationship Id="rId12" Type="http://schemas.openxmlformats.org/officeDocument/2006/relationships/worksheet" Target="worksheets/sheet12.xml"/><Relationship Id="rId108" Type="http://schemas.openxmlformats.org/officeDocument/2006/relationships/worksheet" Target="worksheets/sheet108.xml"/><Relationship Id="rId315" Type="http://schemas.openxmlformats.org/officeDocument/2006/relationships/worksheet" Target="worksheets/sheet315.xml"/><Relationship Id="rId54" Type="http://schemas.openxmlformats.org/officeDocument/2006/relationships/worksheet" Target="worksheets/sheet54.xml"/><Relationship Id="rId96" Type="http://schemas.openxmlformats.org/officeDocument/2006/relationships/worksheet" Target="worksheets/sheet96.xml"/><Relationship Id="rId161" Type="http://schemas.openxmlformats.org/officeDocument/2006/relationships/worksheet" Target="worksheets/sheet161.xml"/><Relationship Id="rId217" Type="http://schemas.openxmlformats.org/officeDocument/2006/relationships/worksheet" Target="worksheets/sheet217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326" Type="http://schemas.openxmlformats.org/officeDocument/2006/relationships/worksheet" Target="worksheets/sheet326.xml"/><Relationship Id="rId65" Type="http://schemas.openxmlformats.org/officeDocument/2006/relationships/worksheet" Target="worksheets/sheet65.xml"/><Relationship Id="rId130" Type="http://schemas.openxmlformats.org/officeDocument/2006/relationships/worksheet" Target="worksheets/sheet130.xml"/><Relationship Id="rId172" Type="http://schemas.openxmlformats.org/officeDocument/2006/relationships/worksheet" Target="worksheets/sheet172.xml"/><Relationship Id="rId228" Type="http://schemas.openxmlformats.org/officeDocument/2006/relationships/worksheet" Target="worksheets/sheet228.xml"/><Relationship Id="rId281" Type="http://schemas.openxmlformats.org/officeDocument/2006/relationships/worksheet" Target="worksheets/sheet281.xml"/><Relationship Id="rId337" Type="http://schemas.openxmlformats.org/officeDocument/2006/relationships/worksheet" Target="worksheets/sheet337.xml"/><Relationship Id="rId34" Type="http://schemas.openxmlformats.org/officeDocument/2006/relationships/worksheet" Target="worksheets/sheet34.xml"/><Relationship Id="rId76" Type="http://schemas.openxmlformats.org/officeDocument/2006/relationships/worksheet" Target="worksheets/sheet76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83" Type="http://schemas.openxmlformats.org/officeDocument/2006/relationships/worksheet" Target="worksheets/sheet183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92" Type="http://schemas.openxmlformats.org/officeDocument/2006/relationships/worksheet" Target="worksheets/sheet292.xml"/><Relationship Id="rId306" Type="http://schemas.openxmlformats.org/officeDocument/2006/relationships/worksheet" Target="worksheets/sheet306.xml"/><Relationship Id="rId45" Type="http://schemas.openxmlformats.org/officeDocument/2006/relationships/worksheet" Target="worksheets/sheet45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348" Type="http://schemas.openxmlformats.org/officeDocument/2006/relationships/worksheet" Target="worksheets/sheet348.xml"/><Relationship Id="rId152" Type="http://schemas.openxmlformats.org/officeDocument/2006/relationships/worksheet" Target="worksheets/sheet152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61" Type="http://schemas.openxmlformats.org/officeDocument/2006/relationships/worksheet" Target="worksheets/sheet261.xml"/><Relationship Id="rId14" Type="http://schemas.openxmlformats.org/officeDocument/2006/relationships/worksheet" Target="worksheets/sheet14.xml"/><Relationship Id="rId56" Type="http://schemas.openxmlformats.org/officeDocument/2006/relationships/worksheet" Target="worksheets/sheet56.xml"/><Relationship Id="rId317" Type="http://schemas.openxmlformats.org/officeDocument/2006/relationships/worksheet" Target="worksheets/sheet317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63" Type="http://schemas.openxmlformats.org/officeDocument/2006/relationships/worksheet" Target="worksheets/sheet163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1" Type="http://schemas.openxmlformats.org/officeDocument/2006/relationships/worksheet" Target="worksheets/sheet251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272" Type="http://schemas.openxmlformats.org/officeDocument/2006/relationships/worksheet" Target="worksheets/sheet272.xml"/><Relationship Id="rId293" Type="http://schemas.openxmlformats.org/officeDocument/2006/relationships/worksheet" Target="worksheets/sheet293.xml"/><Relationship Id="rId307" Type="http://schemas.openxmlformats.org/officeDocument/2006/relationships/worksheet" Target="worksheets/sheet307.xml"/><Relationship Id="rId328" Type="http://schemas.openxmlformats.org/officeDocument/2006/relationships/worksheet" Target="worksheets/sheet328.xml"/><Relationship Id="rId349" Type="http://schemas.openxmlformats.org/officeDocument/2006/relationships/worksheet" Target="worksheets/sheet349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220" Type="http://schemas.openxmlformats.org/officeDocument/2006/relationships/worksheet" Target="worksheets/sheet220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283" Type="http://schemas.openxmlformats.org/officeDocument/2006/relationships/worksheet" Target="worksheets/sheet283.xml"/><Relationship Id="rId318" Type="http://schemas.openxmlformats.org/officeDocument/2006/relationships/worksheet" Target="worksheets/sheet318.xml"/><Relationship Id="rId339" Type="http://schemas.openxmlformats.org/officeDocument/2006/relationships/worksheet" Target="worksheets/sheet339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350" Type="http://schemas.openxmlformats.org/officeDocument/2006/relationships/theme" Target="theme/theme1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273" Type="http://schemas.openxmlformats.org/officeDocument/2006/relationships/worksheet" Target="worksheets/sheet273.xml"/><Relationship Id="rId294" Type="http://schemas.openxmlformats.org/officeDocument/2006/relationships/worksheet" Target="worksheets/sheet294.xml"/><Relationship Id="rId308" Type="http://schemas.openxmlformats.org/officeDocument/2006/relationships/worksheet" Target="worksheets/sheet308.xml"/><Relationship Id="rId329" Type="http://schemas.openxmlformats.org/officeDocument/2006/relationships/worksheet" Target="worksheets/sheet329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340" Type="http://schemas.openxmlformats.org/officeDocument/2006/relationships/worksheet" Target="worksheets/sheet340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284" Type="http://schemas.openxmlformats.org/officeDocument/2006/relationships/worksheet" Target="worksheets/sheet284.xml"/><Relationship Id="rId319" Type="http://schemas.openxmlformats.org/officeDocument/2006/relationships/worksheet" Target="worksheets/sheet319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330" Type="http://schemas.openxmlformats.org/officeDocument/2006/relationships/worksheet" Target="worksheets/sheet330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351" Type="http://schemas.openxmlformats.org/officeDocument/2006/relationships/styles" Target="styles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4" Type="http://schemas.openxmlformats.org/officeDocument/2006/relationships/worksheet" Target="worksheets/sheet274.xml"/><Relationship Id="rId295" Type="http://schemas.openxmlformats.org/officeDocument/2006/relationships/worksheet" Target="worksheets/sheet295.xml"/><Relationship Id="rId309" Type="http://schemas.openxmlformats.org/officeDocument/2006/relationships/worksheet" Target="worksheets/sheet309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320" Type="http://schemas.openxmlformats.org/officeDocument/2006/relationships/worksheet" Target="worksheets/sheet320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341" Type="http://schemas.openxmlformats.org/officeDocument/2006/relationships/worksheet" Target="worksheets/sheet341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285" Type="http://schemas.openxmlformats.org/officeDocument/2006/relationships/worksheet" Target="worksheets/sheet285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310" Type="http://schemas.openxmlformats.org/officeDocument/2006/relationships/worksheet" Target="worksheets/sheet310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331" Type="http://schemas.openxmlformats.org/officeDocument/2006/relationships/worksheet" Target="worksheets/sheet331.xml"/><Relationship Id="rId352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296" Type="http://schemas.openxmlformats.org/officeDocument/2006/relationships/worksheet" Target="worksheets/sheet296.xml"/><Relationship Id="rId300" Type="http://schemas.openxmlformats.org/officeDocument/2006/relationships/worksheet" Target="worksheets/sheet300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321" Type="http://schemas.openxmlformats.org/officeDocument/2006/relationships/worksheet" Target="worksheets/sheet321.xml"/><Relationship Id="rId342" Type="http://schemas.openxmlformats.org/officeDocument/2006/relationships/worksheet" Target="worksheets/sheet342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worksheet" Target="worksheets/sheet265.xml"/><Relationship Id="rId286" Type="http://schemas.openxmlformats.org/officeDocument/2006/relationships/worksheet" Target="worksheets/sheet286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311" Type="http://schemas.openxmlformats.org/officeDocument/2006/relationships/worksheet" Target="worksheets/sheet311.xml"/><Relationship Id="rId332" Type="http://schemas.openxmlformats.org/officeDocument/2006/relationships/worksheet" Target="worksheets/sheet332.xml"/><Relationship Id="rId353" Type="http://schemas.openxmlformats.org/officeDocument/2006/relationships/calcChain" Target="calcChain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297" Type="http://schemas.openxmlformats.org/officeDocument/2006/relationships/worksheet" Target="worksheets/sheet297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301" Type="http://schemas.openxmlformats.org/officeDocument/2006/relationships/worksheet" Target="worksheets/sheet301.xml"/><Relationship Id="rId322" Type="http://schemas.openxmlformats.org/officeDocument/2006/relationships/worksheet" Target="worksheets/sheet322.xml"/><Relationship Id="rId343" Type="http://schemas.openxmlformats.org/officeDocument/2006/relationships/worksheet" Target="worksheets/sheet343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worksheet" Target="worksheets/sheet266.xml"/><Relationship Id="rId287" Type="http://schemas.openxmlformats.org/officeDocument/2006/relationships/worksheet" Target="worksheets/sheet287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312" Type="http://schemas.openxmlformats.org/officeDocument/2006/relationships/worksheet" Target="worksheets/sheet312.xml"/><Relationship Id="rId333" Type="http://schemas.openxmlformats.org/officeDocument/2006/relationships/worksheet" Target="worksheets/sheet333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298" Type="http://schemas.openxmlformats.org/officeDocument/2006/relationships/worksheet" Target="worksheets/sheet298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302" Type="http://schemas.openxmlformats.org/officeDocument/2006/relationships/worksheet" Target="worksheets/sheet302.xml"/><Relationship Id="rId323" Type="http://schemas.openxmlformats.org/officeDocument/2006/relationships/worksheet" Target="worksheets/sheet323.xml"/><Relationship Id="rId344" Type="http://schemas.openxmlformats.org/officeDocument/2006/relationships/worksheet" Target="worksheets/sheet344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288" Type="http://schemas.openxmlformats.org/officeDocument/2006/relationships/worksheet" Target="worksheets/sheet288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313" Type="http://schemas.openxmlformats.org/officeDocument/2006/relationships/worksheet" Target="worksheets/sheet313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334" Type="http://schemas.openxmlformats.org/officeDocument/2006/relationships/worksheet" Target="worksheets/sheet334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303" Type="http://schemas.openxmlformats.org/officeDocument/2006/relationships/worksheet" Target="worksheets/sheet303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345" Type="http://schemas.openxmlformats.org/officeDocument/2006/relationships/worksheet" Target="worksheets/sheet345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289" Type="http://schemas.openxmlformats.org/officeDocument/2006/relationships/worksheet" Target="worksheets/sheet289.xml"/><Relationship Id="rId11" Type="http://schemas.openxmlformats.org/officeDocument/2006/relationships/worksheet" Target="worksheets/sheet11.xml"/><Relationship Id="rId53" Type="http://schemas.openxmlformats.org/officeDocument/2006/relationships/worksheet" Target="worksheets/sheet53.xml"/><Relationship Id="rId149" Type="http://schemas.openxmlformats.org/officeDocument/2006/relationships/worksheet" Target="worksheets/sheet149.xml"/><Relationship Id="rId314" Type="http://schemas.openxmlformats.org/officeDocument/2006/relationships/worksheet" Target="worksheets/sheet314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16" Type="http://schemas.openxmlformats.org/officeDocument/2006/relationships/worksheet" Target="worksheets/sheet216.xml"/><Relationship Id="rId258" Type="http://schemas.openxmlformats.org/officeDocument/2006/relationships/worksheet" Target="worksheets/sheet258.xml"/><Relationship Id="rId22" Type="http://schemas.openxmlformats.org/officeDocument/2006/relationships/worksheet" Target="worksheets/sheet22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325" Type="http://schemas.openxmlformats.org/officeDocument/2006/relationships/worksheet" Target="worksheets/sheet325.xml"/><Relationship Id="rId171" Type="http://schemas.openxmlformats.org/officeDocument/2006/relationships/worksheet" Target="worksheets/sheet171.xml"/><Relationship Id="rId227" Type="http://schemas.openxmlformats.org/officeDocument/2006/relationships/worksheet" Target="worksheets/sheet227.xml"/><Relationship Id="rId269" Type="http://schemas.openxmlformats.org/officeDocument/2006/relationships/worksheet" Target="worksheets/sheet269.xml"/><Relationship Id="rId33" Type="http://schemas.openxmlformats.org/officeDocument/2006/relationships/worksheet" Target="worksheets/sheet33.xml"/><Relationship Id="rId129" Type="http://schemas.openxmlformats.org/officeDocument/2006/relationships/worksheet" Target="worksheets/sheet129.xml"/><Relationship Id="rId280" Type="http://schemas.openxmlformats.org/officeDocument/2006/relationships/worksheet" Target="worksheets/sheet280.xml"/><Relationship Id="rId336" Type="http://schemas.openxmlformats.org/officeDocument/2006/relationships/worksheet" Target="worksheets/sheet336.xml"/><Relationship Id="rId75" Type="http://schemas.openxmlformats.org/officeDocument/2006/relationships/worksheet" Target="worksheets/sheet75.xml"/><Relationship Id="rId140" Type="http://schemas.openxmlformats.org/officeDocument/2006/relationships/worksheet" Target="worksheets/sheet140.xml"/><Relationship Id="rId182" Type="http://schemas.openxmlformats.org/officeDocument/2006/relationships/worksheet" Target="worksheets/sheet182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91" Type="http://schemas.openxmlformats.org/officeDocument/2006/relationships/worksheet" Target="worksheets/sheet291.xml"/><Relationship Id="rId305" Type="http://schemas.openxmlformats.org/officeDocument/2006/relationships/worksheet" Target="worksheets/sheet305.xml"/><Relationship Id="rId347" Type="http://schemas.openxmlformats.org/officeDocument/2006/relationships/worksheet" Target="worksheets/sheet347.xml"/><Relationship Id="rId44" Type="http://schemas.openxmlformats.org/officeDocument/2006/relationships/worksheet" Target="worksheets/sheet44.xml"/><Relationship Id="rId86" Type="http://schemas.openxmlformats.org/officeDocument/2006/relationships/worksheet" Target="worksheets/sheet86.xml"/><Relationship Id="rId151" Type="http://schemas.openxmlformats.org/officeDocument/2006/relationships/worksheet" Target="worksheets/sheet151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316" Type="http://schemas.openxmlformats.org/officeDocument/2006/relationships/worksheet" Target="worksheets/sheet316.xml"/><Relationship Id="rId55" Type="http://schemas.openxmlformats.org/officeDocument/2006/relationships/worksheet" Target="worksheets/sheet55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62" Type="http://schemas.openxmlformats.org/officeDocument/2006/relationships/worksheet" Target="worksheets/sheet162.xml"/><Relationship Id="rId218" Type="http://schemas.openxmlformats.org/officeDocument/2006/relationships/worksheet" Target="worksheets/sheet218.xml"/><Relationship Id="rId271" Type="http://schemas.openxmlformats.org/officeDocument/2006/relationships/worksheet" Target="worksheets/sheet271.xml"/><Relationship Id="rId24" Type="http://schemas.openxmlformats.org/officeDocument/2006/relationships/worksheet" Target="worksheets/sheet24.xml"/><Relationship Id="rId66" Type="http://schemas.openxmlformats.org/officeDocument/2006/relationships/worksheet" Target="worksheets/sheet66.xml"/><Relationship Id="rId131" Type="http://schemas.openxmlformats.org/officeDocument/2006/relationships/worksheet" Target="worksheets/sheet131.xml"/><Relationship Id="rId327" Type="http://schemas.openxmlformats.org/officeDocument/2006/relationships/worksheet" Target="worksheets/sheet327.xml"/><Relationship Id="rId173" Type="http://schemas.openxmlformats.org/officeDocument/2006/relationships/worksheet" Target="worksheets/sheet173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35" Type="http://schemas.openxmlformats.org/officeDocument/2006/relationships/worksheet" Target="worksheets/sheet35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282" Type="http://schemas.openxmlformats.org/officeDocument/2006/relationships/worksheet" Target="worksheets/sheet282.xml"/><Relationship Id="rId338" Type="http://schemas.openxmlformats.org/officeDocument/2006/relationships/worksheet" Target="worksheets/sheet338.xml"/><Relationship Id="rId8" Type="http://schemas.openxmlformats.org/officeDocument/2006/relationships/worksheet" Target="worksheets/sheet8.xml"/><Relationship Id="rId142" Type="http://schemas.openxmlformats.org/officeDocument/2006/relationships/worksheet" Target="worksheets/sheet142.xml"/><Relationship Id="rId184" Type="http://schemas.openxmlformats.org/officeDocument/2006/relationships/worksheet" Target="worksheets/sheet18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4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8.png"/><Relationship Id="rId4" Type="http://schemas.openxmlformats.org/officeDocument/2006/relationships/image" Target="../media/image95.png"/></Relationships>
</file>

<file path=xl/drawings/_rels/drawing2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2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3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D305613-9C3C-460B-B782-120E4820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A16D1C3-9CFF-4DA4-9362-FB8EE2C8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114299</xdr:colOff>
      <xdr:row>238</xdr:row>
      <xdr:rowOff>44780</xdr:rowOff>
    </xdr:from>
    <xdr:to>
      <xdr:col>4</xdr:col>
      <xdr:colOff>2459552</xdr:colOff>
      <xdr:row>249</xdr:row>
      <xdr:rowOff>130505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9E6CAF8-00EC-4CCA-82F8-15E4C43F4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480468" y="55561923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666133</xdr:colOff>
      <xdr:row>238</xdr:row>
      <xdr:rowOff>143081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95CF1240-A50B-4D93-8129-2F148CC9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001133" y="55660224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3429000</xdr:colOff>
      <xdr:row>1</xdr:row>
      <xdr:rowOff>9525</xdr:rowOff>
    </xdr:from>
    <xdr:to>
      <xdr:col>4</xdr:col>
      <xdr:colOff>28575</xdr:colOff>
      <xdr:row>4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631273A-49FC-4645-B97C-4A42B13C4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00025"/>
          <a:ext cx="14097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1771650</xdr:colOff>
      <xdr:row>0</xdr:row>
      <xdr:rowOff>161925</xdr:rowOff>
    </xdr:from>
    <xdr:to>
      <xdr:col>2</xdr:col>
      <xdr:colOff>3600450</xdr:colOff>
      <xdr:row>4</xdr:row>
      <xdr:rowOff>28575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0FBEF39-8893-474D-B81F-7A29D1C75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2075" y="161925"/>
          <a:ext cx="1828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144</xdr:row>
      <xdr:rowOff>180975</xdr:rowOff>
    </xdr:from>
    <xdr:to>
      <xdr:col>2</xdr:col>
      <xdr:colOff>3067050</xdr:colOff>
      <xdr:row>152</xdr:row>
      <xdr:rowOff>9525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A078682-909D-4274-ADC6-3B5D0C64F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317658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144</xdr:row>
      <xdr:rowOff>180975</xdr:rowOff>
    </xdr:from>
    <xdr:to>
      <xdr:col>5</xdr:col>
      <xdr:colOff>247650</xdr:colOff>
      <xdr:row>152</xdr:row>
      <xdr:rowOff>9525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455E5A-6D37-418C-AF1F-94BACBD9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317658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26E7685-6982-41C1-A755-7BA05026B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7CD37DB-B322-428B-89CF-5813A635E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38100</xdr:colOff>
      <xdr:row>45</xdr:row>
      <xdr:rowOff>203200</xdr:rowOff>
    </xdr:from>
    <xdr:to>
      <xdr:col>6</xdr:col>
      <xdr:colOff>400050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745B5F-EDC8-44B7-A999-6AD27918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61225" y="129825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1016000</xdr:colOff>
      <xdr:row>45</xdr:row>
      <xdr:rowOff>142875</xdr:rowOff>
    </xdr:from>
    <xdr:to>
      <xdr:col>8</xdr:col>
      <xdr:colOff>635000</xdr:colOff>
      <xdr:row>51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C3FE25C-BDF8-4FAB-A53E-29384387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34500" y="12922250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1FF163C-F828-44B0-BF9B-FA20528B4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E5B2D8-2CCE-4B83-B08C-702FB674F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63</xdr:row>
      <xdr:rowOff>171450</xdr:rowOff>
    </xdr:from>
    <xdr:to>
      <xdr:col>2</xdr:col>
      <xdr:colOff>2124075</xdr:colOff>
      <xdr:row>68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A23E26-6A7A-4B69-9754-934D01E5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63</xdr:row>
      <xdr:rowOff>133350</xdr:rowOff>
    </xdr:from>
    <xdr:to>
      <xdr:col>4</xdr:col>
      <xdr:colOff>219075</xdr:colOff>
      <xdr:row>68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955D16F-14E6-4CF9-A293-D5295B2AB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42DAC93-6B56-4838-97B7-A3D6C3B01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1263FB7B-9867-4141-B836-3D56EB09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266700</xdr:colOff>
      <xdr:row>29</xdr:row>
      <xdr:rowOff>152400</xdr:rowOff>
    </xdr:from>
    <xdr:to>
      <xdr:col>3</xdr:col>
      <xdr:colOff>1514475</xdr:colOff>
      <xdr:row>34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33E310-4E72-42B8-A355-DC9B63665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048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2581275</xdr:colOff>
      <xdr:row>29</xdr:row>
      <xdr:rowOff>152400</xdr:rowOff>
    </xdr:from>
    <xdr:to>
      <xdr:col>4</xdr:col>
      <xdr:colOff>276224</xdr:colOff>
      <xdr:row>34</xdr:row>
      <xdr:rowOff>95250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16487C6-B946-4531-933A-271CEC5D0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048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2724B6A-2A5F-47B3-8C16-89F65EE0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A5BDF9-48CA-441F-93C2-1EECF6A1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1275381</xdr:colOff>
      <xdr:row>26</xdr:row>
      <xdr:rowOff>121081</xdr:rowOff>
    </xdr:from>
    <xdr:to>
      <xdr:col>4</xdr:col>
      <xdr:colOff>443961</xdr:colOff>
      <xdr:row>32</xdr:row>
      <xdr:rowOff>77654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EA363B-1F98-454C-962F-2BEF3F840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9830" y="5198390"/>
          <a:ext cx="1452966" cy="140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1000931</xdr:colOff>
      <xdr:row>26</xdr:row>
      <xdr:rowOff>161443</xdr:rowOff>
    </xdr:from>
    <xdr:to>
      <xdr:col>6</xdr:col>
      <xdr:colOff>678050</xdr:colOff>
      <xdr:row>32</xdr:row>
      <xdr:rowOff>70769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2982B0-02BD-49A5-9C63-399C79BD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0995" y="5238752"/>
          <a:ext cx="1372246" cy="1362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F96F155-FE67-4AC6-81C8-54692BA7C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9025" y="257175"/>
          <a:ext cx="1571625" cy="81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6861AA3-7C5E-4109-86DF-ACA1B4B0D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3400" y="149225"/>
          <a:ext cx="1997075" cy="930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235</xdr:row>
      <xdr:rowOff>205592</xdr:rowOff>
    </xdr:from>
    <xdr:to>
      <xdr:col>4</xdr:col>
      <xdr:colOff>1593642</xdr:colOff>
      <xdr:row>247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2A5EE1D-569B-4E28-A6FD-E32162F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14558" y="55017637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235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56F722C0-F492-415D-8108-7798AD18D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97074" y="55016977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3590925</xdr:colOff>
      <xdr:row>0</xdr:row>
      <xdr:rowOff>142874</xdr:rowOff>
    </xdr:from>
    <xdr:to>
      <xdr:col>4</xdr:col>
      <xdr:colOff>190500</xdr:colOff>
      <xdr:row>4</xdr:row>
      <xdr:rowOff>66674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00B9F6-37B9-4409-9500-337A8A831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25150" y="142874"/>
          <a:ext cx="173355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2000250</xdr:colOff>
      <xdr:row>0</xdr:row>
      <xdr:rowOff>76200</xdr:rowOff>
    </xdr:from>
    <xdr:to>
      <xdr:col>2</xdr:col>
      <xdr:colOff>3829050</xdr:colOff>
      <xdr:row>4</xdr:row>
      <xdr:rowOff>38100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1250859-A4F2-4181-8582-A306FA285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4475" y="762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149</xdr:row>
      <xdr:rowOff>180975</xdr:rowOff>
    </xdr:from>
    <xdr:to>
      <xdr:col>2</xdr:col>
      <xdr:colOff>3067050</xdr:colOff>
      <xdr:row>157</xdr:row>
      <xdr:rowOff>9526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DD19644-7909-4E2D-A524-269AAF5B8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10625" y="321183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149</xdr:row>
      <xdr:rowOff>180975</xdr:rowOff>
    </xdr:from>
    <xdr:to>
      <xdr:col>5</xdr:col>
      <xdr:colOff>247650</xdr:colOff>
      <xdr:row>157</xdr:row>
      <xdr:rowOff>9526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2324131-2595-4B11-AD90-D0C56318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1658600" y="32118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23C9ED-B103-4234-B39F-52B8DEC06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F4FA86F-585F-4D3D-8F35-181D5B4E5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1330325</xdr:colOff>
      <xdr:row>45</xdr:row>
      <xdr:rowOff>203200</xdr:rowOff>
    </xdr:from>
    <xdr:to>
      <xdr:col>6</xdr:col>
      <xdr:colOff>234950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9FA16C8-7578-48DF-8211-9393B90A8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45300" y="12852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825500</xdr:colOff>
      <xdr:row>45</xdr:row>
      <xdr:rowOff>127000</xdr:rowOff>
    </xdr:from>
    <xdr:to>
      <xdr:col>8</xdr:col>
      <xdr:colOff>444500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D9705BC-371F-4ADB-9ABC-E4F297CAC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4000" y="12906375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1563876</xdr:colOff>
      <xdr:row>1</xdr:row>
      <xdr:rowOff>119466</xdr:rowOff>
    </xdr:from>
    <xdr:to>
      <xdr:col>3</xdr:col>
      <xdr:colOff>8072</xdr:colOff>
      <xdr:row>5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6AD82CA-7E77-485F-905A-22A0FAA24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143" y="313195"/>
          <a:ext cx="1446993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2836029</xdr:colOff>
      <xdr:row>1</xdr:row>
      <xdr:rowOff>122372</xdr:rowOff>
    </xdr:from>
    <xdr:to>
      <xdr:col>4</xdr:col>
      <xdr:colOff>298666</xdr:colOff>
      <xdr:row>5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7845265-6084-458C-8197-B4479D1EC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8296" y="316101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66</xdr:row>
      <xdr:rowOff>171450</xdr:rowOff>
    </xdr:from>
    <xdr:to>
      <xdr:col>2</xdr:col>
      <xdr:colOff>2124075</xdr:colOff>
      <xdr:row>71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E7B088-90EB-4BAD-94A3-612E7E05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26492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66</xdr:row>
      <xdr:rowOff>133350</xdr:rowOff>
    </xdr:from>
    <xdr:to>
      <xdr:col>4</xdr:col>
      <xdr:colOff>219075</xdr:colOff>
      <xdr:row>71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E40472F-8CF4-42E4-8E40-780C6AC39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26111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6FA8D06-AAA3-4976-89EF-9E722A31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A821985-6163-4CBF-9609-465DB0490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488950</xdr:colOff>
      <xdr:row>30</xdr:row>
      <xdr:rowOff>9525</xdr:rowOff>
    </xdr:from>
    <xdr:to>
      <xdr:col>3</xdr:col>
      <xdr:colOff>1736725</xdr:colOff>
      <xdr:row>35</xdr:row>
      <xdr:rowOff>38100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D38F6B6-978D-40C9-966C-D43FC5832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267325" y="6105525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2295525</xdr:colOff>
      <xdr:row>29</xdr:row>
      <xdr:rowOff>168275</xdr:rowOff>
    </xdr:from>
    <xdr:to>
      <xdr:col>3</xdr:col>
      <xdr:colOff>3498849</xdr:colOff>
      <xdr:row>34</xdr:row>
      <xdr:rowOff>111125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F361358-0E81-467B-813E-AC0D05622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73900" y="6073775"/>
          <a:ext cx="1203324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3087F79-3D77-4A31-98BB-49BCC6111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8439B1A-1F80-4F44-B5F6-E811C1CC0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1146228</xdr:colOff>
      <xdr:row>29</xdr:row>
      <xdr:rowOff>24216</xdr:rowOff>
    </xdr:from>
    <xdr:to>
      <xdr:col>3</xdr:col>
      <xdr:colOff>2219809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AA615D3-0066-4EA2-8677-7CDE8F57F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6355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129151</xdr:colOff>
      <xdr:row>28</xdr:row>
      <xdr:rowOff>153371</xdr:rowOff>
    </xdr:from>
    <xdr:to>
      <xdr:col>5</xdr:col>
      <xdr:colOff>226021</xdr:colOff>
      <xdr:row>33</xdr:row>
      <xdr:rowOff>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F6DE9C7-E42D-47EE-8171-667D39528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13664" y="5618138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8024D-F7C9-43D1-AE24-F60D2783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5375" y="257175"/>
          <a:ext cx="1574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2E7CD9B-A748-4D9E-8F07-BBDD7DF0B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9750" y="149225"/>
          <a:ext cx="199707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240</xdr:row>
      <xdr:rowOff>205592</xdr:rowOff>
    </xdr:from>
    <xdr:to>
      <xdr:col>4</xdr:col>
      <xdr:colOff>1593642</xdr:colOff>
      <xdr:row>252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033AB3-038D-44EC-8AFB-491F53D50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23217" y="55679192"/>
          <a:ext cx="2343150" cy="2307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240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EB99E71-CCB7-4B72-BF26-25F85158A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03630" y="55678532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933877</xdr:colOff>
      <xdr:row>0</xdr:row>
      <xdr:rowOff>171448</xdr:rowOff>
    </xdr:from>
    <xdr:to>
      <xdr:col>5</xdr:col>
      <xdr:colOff>861851</xdr:colOff>
      <xdr:row>4</xdr:row>
      <xdr:rowOff>95248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32C3CCF-9C1F-4984-B610-4D1DBE8E9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664" y="171448"/>
          <a:ext cx="1736653" cy="7799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3758415</xdr:colOff>
      <xdr:row>0</xdr:row>
      <xdr:rowOff>129711</xdr:rowOff>
    </xdr:from>
    <xdr:to>
      <xdr:col>4</xdr:col>
      <xdr:colOff>324634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DB541BE-E9FC-422D-BC55-D7963434F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1449" y="129711"/>
          <a:ext cx="2045769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146</xdr:row>
      <xdr:rowOff>31142</xdr:rowOff>
    </xdr:from>
    <xdr:to>
      <xdr:col>2</xdr:col>
      <xdr:colOff>3784101</xdr:colOff>
      <xdr:row>153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AA9F766-4D1F-4010-A3EF-8F3714E3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40285" y="32191395"/>
          <a:ext cx="1466850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145</xdr:row>
      <xdr:rowOff>159570</xdr:rowOff>
    </xdr:from>
    <xdr:to>
      <xdr:col>6</xdr:col>
      <xdr:colOff>269055</xdr:colOff>
      <xdr:row>152</xdr:row>
      <xdr:rowOff>180762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7905C68-10BF-439E-B652-12D2FF976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51503" y="32127182"/>
          <a:ext cx="1475305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0205810-AD6C-417F-8A7D-C61624923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0F26294-45FF-41FD-AA8D-474B652C2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66700"/>
          <a:ext cx="19526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1063625</xdr:colOff>
      <xdr:row>46</xdr:row>
      <xdr:rowOff>3175</xdr:rowOff>
    </xdr:from>
    <xdr:to>
      <xdr:col>5</xdr:col>
      <xdr:colOff>1063625</xdr:colOff>
      <xdr:row>51</xdr:row>
      <xdr:rowOff>107950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19F5683-A3CA-41AA-84ED-302F97FF5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78600" y="1290002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749300</xdr:colOff>
      <xdr:row>45</xdr:row>
      <xdr:rowOff>127000</xdr:rowOff>
    </xdr:from>
    <xdr:to>
      <xdr:col>8</xdr:col>
      <xdr:colOff>368300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319138C-59C1-4822-AE24-911DCA82B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16975" y="127762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1563876</xdr:colOff>
      <xdr:row>0</xdr:row>
      <xdr:rowOff>119466</xdr:rowOff>
    </xdr:from>
    <xdr:to>
      <xdr:col>4</xdr:col>
      <xdr:colOff>8072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9AB382C-DE6D-4167-8561-1F080D3E2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726" y="3099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2836029</xdr:colOff>
      <xdr:row>0</xdr:row>
      <xdr:rowOff>122372</xdr:rowOff>
    </xdr:from>
    <xdr:to>
      <xdr:col>5</xdr:col>
      <xdr:colOff>298666</xdr:colOff>
      <xdr:row>4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6287F65-57B6-4F3F-A70B-603A8D3A7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0879" y="312872"/>
          <a:ext cx="1329787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885825</xdr:colOff>
      <xdr:row>65</xdr:row>
      <xdr:rowOff>171450</xdr:rowOff>
    </xdr:from>
    <xdr:to>
      <xdr:col>3</xdr:col>
      <xdr:colOff>2124075</xdr:colOff>
      <xdr:row>70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BE6AEB-C39F-4683-8982-63560B092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3249275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2914650</xdr:colOff>
      <xdr:row>65</xdr:row>
      <xdr:rowOff>133350</xdr:rowOff>
    </xdr:from>
    <xdr:to>
      <xdr:col>5</xdr:col>
      <xdr:colOff>219074</xdr:colOff>
      <xdr:row>70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4376B9B-A12E-4A0B-89AA-A8B7DC88F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3211175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0</xdr:row>
      <xdr:rowOff>28575</xdr:rowOff>
    </xdr:from>
    <xdr:to>
      <xdr:col>3</xdr:col>
      <xdr:colOff>3343275</xdr:colOff>
      <xdr:row>3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9E5A1C3-4FDC-45A7-BA83-DD98BA904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0</xdr:row>
      <xdr:rowOff>114300</xdr:rowOff>
    </xdr:from>
    <xdr:to>
      <xdr:col>5</xdr:col>
      <xdr:colOff>361950</xdr:colOff>
      <xdr:row>3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7651916-0E34-4A83-9283-525A81071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D02232-FCEC-4F39-9FAD-349AE93ED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6514" y="6935331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681709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CE224C-01EA-421D-9725-67FA664CE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4995" y="6964927"/>
          <a:ext cx="1203324" cy="1202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A5E7B0-6987-4A22-922E-1FCF9E2C3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5DEE82A-FE51-45EF-ABDF-2E4681356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3CCDC7-074D-4048-949F-8DF20BD9B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3113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768D665-B989-43B8-B6F2-AFC7D6403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0168" y="5634282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1</xdr:row>
      <xdr:rowOff>114300</xdr:rowOff>
    </xdr:from>
    <xdr:to>
      <xdr:col>7</xdr:col>
      <xdr:colOff>76200</xdr:colOff>
      <xdr:row>6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4DEDC7-C3B5-4741-B518-CCE102346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1</xdr:row>
      <xdr:rowOff>114300</xdr:rowOff>
    </xdr:from>
    <xdr:to>
      <xdr:col>5</xdr:col>
      <xdr:colOff>123825</xdr:colOff>
      <xdr:row>5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35C6895-6133-41D2-B863-2084B0737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933450</xdr:colOff>
      <xdr:row>30</xdr:row>
      <xdr:rowOff>28575</xdr:rowOff>
    </xdr:from>
    <xdr:to>
      <xdr:col>3</xdr:col>
      <xdr:colOff>2447925</xdr:colOff>
      <xdr:row>38</xdr:row>
      <xdr:rowOff>28575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5D6C271-C863-41D1-9B08-92511C8A0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5825" y="5886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180975</xdr:colOff>
      <xdr:row>30</xdr:row>
      <xdr:rowOff>57150</xdr:rowOff>
    </xdr:from>
    <xdr:to>
      <xdr:col>7</xdr:col>
      <xdr:colOff>161925</xdr:colOff>
      <xdr:row>38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21706F-A3EE-4C7C-860E-97D60398A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2056007</xdr:colOff>
      <xdr:row>0</xdr:row>
      <xdr:rowOff>209086</xdr:rowOff>
    </xdr:from>
    <xdr:to>
      <xdr:col>5</xdr:col>
      <xdr:colOff>278781</xdr:colOff>
      <xdr:row>5</xdr:row>
      <xdr:rowOff>1395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D7928A2-6ED9-49D8-8A14-FE4217875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4422" y="209086"/>
          <a:ext cx="1904999" cy="8841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267164</xdr:colOff>
      <xdr:row>0</xdr:row>
      <xdr:rowOff>149224</xdr:rowOff>
    </xdr:from>
    <xdr:to>
      <xdr:col>4</xdr:col>
      <xdr:colOff>104542</xdr:colOff>
      <xdr:row>4</xdr:row>
      <xdr:rowOff>158749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25DB50D6-1CB9-45AC-9900-D865C0AAB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5579" y="149224"/>
          <a:ext cx="2090853" cy="9039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242</xdr:row>
      <xdr:rowOff>67327</xdr:rowOff>
    </xdr:from>
    <xdr:to>
      <xdr:col>3</xdr:col>
      <xdr:colOff>1224931</xdr:colOff>
      <xdr:row>253</xdr:row>
      <xdr:rowOff>170210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B553C6-9E7B-44C8-AD2F-7EB09B9D0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43894" y="58615351"/>
          <a:ext cx="2343456" cy="2299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242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E1E612A0-520E-4949-AFDE-D3471E346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834920" y="58722230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872665</xdr:colOff>
      <xdr:row>0</xdr:row>
      <xdr:rowOff>138429</xdr:rowOff>
    </xdr:from>
    <xdr:to>
      <xdr:col>5</xdr:col>
      <xdr:colOff>800639</xdr:colOff>
      <xdr:row>4</xdr:row>
      <xdr:rowOff>62229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AB48E39-C512-464C-92D5-F97F9975C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1720" y="138429"/>
          <a:ext cx="1740047" cy="7601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3565775</xdr:colOff>
      <xdr:row>0</xdr:row>
      <xdr:rowOff>129711</xdr:rowOff>
    </xdr:from>
    <xdr:to>
      <xdr:col>4</xdr:col>
      <xdr:colOff>131994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193C2D57-E509-4907-BB55-5F15F8BA3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8809" y="129711"/>
          <a:ext cx="1970854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143</xdr:row>
      <xdr:rowOff>31142</xdr:rowOff>
    </xdr:from>
    <xdr:to>
      <xdr:col>2</xdr:col>
      <xdr:colOff>3784101</xdr:colOff>
      <xdr:row>150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BA58E82-5998-4DC3-BBFE-87C4B566A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174939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142</xdr:row>
      <xdr:rowOff>159570</xdr:rowOff>
    </xdr:from>
    <xdr:to>
      <xdr:col>6</xdr:col>
      <xdr:colOff>269056</xdr:colOff>
      <xdr:row>149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AAA972-6DBC-4AC8-97A3-166DB1E59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40694" y="31687320"/>
          <a:ext cx="1472736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8F8F71-431D-4C48-B4B6-66CF3687C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6163AE-697D-4C9F-A43F-27D9E4DFD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30A808D-7B0C-4A84-9DE1-01D2186FD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2058678-908C-43A4-8391-4F111D8BB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3BA0586-1ACA-4465-9F76-957A03546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2054" y="119466"/>
          <a:ext cx="1446992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36AFA91-8588-4770-ABBD-89FE22C0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8423" y="146588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67</xdr:row>
      <xdr:rowOff>50371</xdr:rowOff>
    </xdr:from>
    <xdr:to>
      <xdr:col>3</xdr:col>
      <xdr:colOff>1672040</xdr:colOff>
      <xdr:row>71</xdr:row>
      <xdr:rowOff>91699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733C7C7-125B-4605-B7B8-0240B2F7D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7159" y="13466091"/>
          <a:ext cx="1238250" cy="11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66</xdr:row>
      <xdr:rowOff>181781</xdr:rowOff>
    </xdr:from>
    <xdr:to>
      <xdr:col>6</xdr:col>
      <xdr:colOff>356299</xdr:colOff>
      <xdr:row>71</xdr:row>
      <xdr:rowOff>96055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1A41E6B-25E9-4EF4-8CFB-8A7EF6FB7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0158" y="13403773"/>
          <a:ext cx="1170929" cy="1173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577911B-8251-4553-8FE2-5353D9E23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2042" y="44719"/>
          <a:ext cx="1404696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E6BC26B-A6D7-4B89-962C-885CE22C0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352" y="122372"/>
          <a:ext cx="1225174" cy="6283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685191C-298C-497D-BE3E-1E77D7655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544484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7FA9039-0A86-4114-9BDE-4D7D7AFC5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5261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B13587-935A-4AA2-A27D-4E86AABA7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666D75-201B-4315-9650-5B6D4C237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1057275</xdr:colOff>
      <xdr:row>30</xdr:row>
      <xdr:rowOff>47625</xdr:rowOff>
    </xdr:from>
    <xdr:to>
      <xdr:col>3</xdr:col>
      <xdr:colOff>2571750</xdr:colOff>
      <xdr:row>38</xdr:row>
      <xdr:rowOff>57150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48A0677-00C9-4122-87CD-EB90F73DC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7725" y="5905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333375</xdr:colOff>
      <xdr:row>30</xdr:row>
      <xdr:rowOff>57150</xdr:rowOff>
    </xdr:from>
    <xdr:to>
      <xdr:col>7</xdr:col>
      <xdr:colOff>314325</xdr:colOff>
      <xdr:row>38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F4AADBB-9CB2-400A-A750-343DCEA6F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96225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6A12EB8-BE97-4B1D-97A3-D616BC5D3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578D203-0DB0-4815-88BC-6CFA888E6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141582-7219-4B16-923B-299BF8D96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642778-4CD3-46E2-B0BC-36DB5CE1D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1960757</xdr:colOff>
      <xdr:row>0</xdr:row>
      <xdr:rowOff>119062</xdr:rowOff>
    </xdr:from>
    <xdr:to>
      <xdr:col>5</xdr:col>
      <xdr:colOff>-1</xdr:colOff>
      <xdr:row>5</xdr:row>
      <xdr:rowOff>11907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BE0C199-C874-4D1E-8380-704D616E1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76320" y="119062"/>
          <a:ext cx="2230242" cy="10120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362414</xdr:colOff>
      <xdr:row>0</xdr:row>
      <xdr:rowOff>190500</xdr:rowOff>
    </xdr:from>
    <xdr:to>
      <xdr:col>3</xdr:col>
      <xdr:colOff>2282621</xdr:colOff>
      <xdr:row>4</xdr:row>
      <xdr:rowOff>178594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85E4A46-7604-40D4-B32E-56EC060A3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7977" y="190500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1224931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5BB3315-0B41-433E-95EF-65D0D8DE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83032" y="57074452"/>
          <a:ext cx="2343149" cy="2303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239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1B9919-8A23-40E6-A026-9B25B07C4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578667" y="5718133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86106</xdr:colOff>
      <xdr:row>0</xdr:row>
      <xdr:rowOff>169482</xdr:rowOff>
    </xdr:from>
    <xdr:to>
      <xdr:col>6</xdr:col>
      <xdr:colOff>72396</xdr:colOff>
      <xdr:row>4</xdr:row>
      <xdr:rowOff>93282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BA1FF42-2DC4-4B98-BEF1-CA8ED1645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6999" y="169482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3479541</xdr:colOff>
      <xdr:row>0</xdr:row>
      <xdr:rowOff>129711</xdr:rowOff>
    </xdr:from>
    <xdr:to>
      <xdr:col>4</xdr:col>
      <xdr:colOff>200030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B61070E-C651-451A-9B6A-B153D14F1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4286" y="129711"/>
          <a:ext cx="1356637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147</xdr:row>
      <xdr:rowOff>31142</xdr:rowOff>
    </xdr:from>
    <xdr:to>
      <xdr:col>3</xdr:col>
      <xdr:colOff>405238</xdr:colOff>
      <xdr:row>154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702195D-2EC0-4B35-B5C8-631B5989E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851214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146</xdr:row>
      <xdr:rowOff>159570</xdr:rowOff>
    </xdr:from>
    <xdr:to>
      <xdr:col>6</xdr:col>
      <xdr:colOff>269056</xdr:colOff>
      <xdr:row>153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D9BE8C-DD69-4DB3-8857-692B643F5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473969" y="3845007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E8B749-AAC1-4C9B-A30A-3BF7BFF52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18B96DE-46AA-408F-8B3B-4860D737B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582581C-0BA9-459A-B61B-C3285A673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71EFC8-E1EB-48D7-A381-A4327A5BC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24392C5-23D5-4AC1-9CAF-E3DADC6D49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1085" y="1194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D0536DBA-22A1-46AF-9056-70BDCF7EB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5033" y="146588"/>
          <a:ext cx="1332208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64</xdr:row>
      <xdr:rowOff>50371</xdr:rowOff>
    </xdr:from>
    <xdr:to>
      <xdr:col>3</xdr:col>
      <xdr:colOff>1672040</xdr:colOff>
      <xdr:row>68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437635E-C1B3-4F34-B28C-D5816E9B6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111946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63</xdr:row>
      <xdr:rowOff>181781</xdr:rowOff>
    </xdr:from>
    <xdr:to>
      <xdr:col>6</xdr:col>
      <xdr:colOff>356299</xdr:colOff>
      <xdr:row>68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7C26213-6E67-46B5-84AF-28DB45A3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11135531"/>
          <a:ext cx="1170606" cy="11620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67546CD-7EC4-4FE8-A330-EDE44910F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4F509-BD3E-47F5-8F41-7D16D911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1152525</xdr:colOff>
      <xdr:row>34</xdr:row>
      <xdr:rowOff>133350</xdr:rowOff>
    </xdr:from>
    <xdr:to>
      <xdr:col>3</xdr:col>
      <xdr:colOff>2667000</xdr:colOff>
      <xdr:row>42</xdr:row>
      <xdr:rowOff>142875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203768-D5A9-4E5C-907B-0B4CCFE6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52975" y="67532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447675</xdr:colOff>
      <xdr:row>34</xdr:row>
      <xdr:rowOff>114300</xdr:rowOff>
    </xdr:from>
    <xdr:to>
      <xdr:col>7</xdr:col>
      <xdr:colOff>428625</xdr:colOff>
      <xdr:row>42</xdr:row>
      <xdr:rowOff>104775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C2C14AB-DB6E-4523-86FC-8BC050B11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10525" y="67341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7C36D2-CD6F-4436-B022-08B628F5A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40D26928-9D6B-4FC8-A145-CD13E6083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5C62B9A-6B4B-4782-BFDB-292D4B752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0F24FAA-FF5E-45AF-9B46-2FBF9316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DA246C-8CE3-4474-ACB7-B6233777E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8BD0C26-9658-4B2C-BA3F-7DA1493FC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D46C03-3924-498F-85F8-4BC95724A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7719840-897E-4F2A-B289-09E96A7BD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AEDF88-867B-4165-BE3D-3AA4E843A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2539" y="261938"/>
          <a:ext cx="1956399" cy="88776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447F1ED-7D6A-49D0-9A84-1E6414D28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8477" y="214312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243</xdr:row>
      <xdr:rowOff>67327</xdr:rowOff>
    </xdr:from>
    <xdr:to>
      <xdr:col>3</xdr:col>
      <xdr:colOff>1224931</xdr:colOff>
      <xdr:row>254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1A7EED-5B21-4DC7-9670-CFF2F6008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02107" y="562553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243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757D9B2A-A722-4CA6-9CB5-12400297B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12092" y="5636218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610953</xdr:colOff>
      <xdr:row>0</xdr:row>
      <xdr:rowOff>188920</xdr:rowOff>
    </xdr:from>
    <xdr:to>
      <xdr:col>6</xdr:col>
      <xdr:colOff>597243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ED4DD16-38D7-4C43-8D1E-67972839F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2611" y="188920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3625331</xdr:colOff>
      <xdr:row>0</xdr:row>
      <xdr:rowOff>139431</xdr:rowOff>
    </xdr:from>
    <xdr:to>
      <xdr:col>4</xdr:col>
      <xdr:colOff>758113</xdr:colOff>
      <xdr:row>4</xdr:row>
      <xdr:rowOff>52528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F80BB6C2-0327-481B-8B9A-F297D692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862" y="139431"/>
          <a:ext cx="1545384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152</xdr:row>
      <xdr:rowOff>31142</xdr:rowOff>
    </xdr:from>
    <xdr:to>
      <xdr:col>3</xdr:col>
      <xdr:colOff>142814</xdr:colOff>
      <xdr:row>159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994472C-67AE-4329-B176-0D24BF450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93976" y="39683717"/>
          <a:ext cx="1469362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151</xdr:row>
      <xdr:rowOff>159570</xdr:rowOff>
    </xdr:from>
    <xdr:to>
      <xdr:col>6</xdr:col>
      <xdr:colOff>269057</xdr:colOff>
      <xdr:row>158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58D5CE-280C-4F68-94AA-81CBBA5BD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9994" y="39621645"/>
          <a:ext cx="1472737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904874</xdr:colOff>
      <xdr:row>1</xdr:row>
      <xdr:rowOff>57151</xdr:rowOff>
    </xdr:from>
    <xdr:to>
      <xdr:col>7</xdr:col>
      <xdr:colOff>561975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3D28F27-ADA9-417F-B38B-BE64FC45B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790701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46</xdr:row>
      <xdr:rowOff>22225</xdr:rowOff>
    </xdr:from>
    <xdr:to>
      <xdr:col>5</xdr:col>
      <xdr:colOff>263525</xdr:colOff>
      <xdr:row>51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7056E69-64C8-49FC-897F-0EBB9781BB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19570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45</xdr:row>
      <xdr:rowOff>184150</xdr:rowOff>
    </xdr:from>
    <xdr:to>
      <xdr:col>8</xdr:col>
      <xdr:colOff>501650</xdr:colOff>
      <xdr:row>51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10E987F-4EC0-40AF-9DE7-90AEDF312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18713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1266825</xdr:colOff>
      <xdr:row>1</xdr:row>
      <xdr:rowOff>76200</xdr:rowOff>
    </xdr:from>
    <xdr:to>
      <xdr:col>5</xdr:col>
      <xdr:colOff>990992</xdr:colOff>
      <xdr:row>5</xdr:row>
      <xdr:rowOff>142876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7EE7D7-2E07-4290-B519-29875BAD0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6670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17DDCFB-69ED-4FB7-BB0B-6CB4783137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7711" y="154485"/>
          <a:ext cx="1195929" cy="57389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163B8C0-904A-43A7-9448-553E5C799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4740" y="111571"/>
          <a:ext cx="1333889" cy="6611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75</xdr:row>
      <xdr:rowOff>50371</xdr:rowOff>
    </xdr:from>
    <xdr:to>
      <xdr:col>3</xdr:col>
      <xdr:colOff>1672040</xdr:colOff>
      <xdr:row>79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E85ED4-69FB-495F-8D44-1E1B2AC643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99658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74</xdr:row>
      <xdr:rowOff>181781</xdr:rowOff>
    </xdr:from>
    <xdr:to>
      <xdr:col>6</xdr:col>
      <xdr:colOff>482365</xdr:colOff>
      <xdr:row>79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958056-BCCE-429E-A28F-32A11AD449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9916331"/>
          <a:ext cx="1170606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E801A5E-F1FC-4F7E-A95B-ECFCAA260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57D4DDB-1D45-49F9-BD98-788C83AEB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3890668-F7C5-461B-A8AB-26E775CBA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5547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079490-34BA-4B35-AAED-0F20955344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84375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08573D-7A6E-464F-BB50-05EA3E1733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A4073AB-4327-4F7D-B25A-77BDF874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0C7C615-FE1F-4955-88B2-143F2C159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CE4E87-EE0C-4942-9EC9-314C3D31F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5B59114-616E-48A8-A2C5-40F36B38D3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4426" y="261938"/>
          <a:ext cx="1956399" cy="8734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71E8790-E2FA-4063-A5D0-99CF8DB6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0364" y="214312"/>
          <a:ext cx="1920207" cy="890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246</xdr:row>
      <xdr:rowOff>67327</xdr:rowOff>
    </xdr:from>
    <xdr:to>
      <xdr:col>3</xdr:col>
      <xdr:colOff>1224931</xdr:colOff>
      <xdr:row>257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D528513-A2A5-489B-B834-C7DBD21C5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3506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246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548FF9-2CFD-47D6-9272-8350F62F2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4575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13AE0C3-A9BC-4CD2-BA1B-55EF81FD4B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8627" y="188920"/>
          <a:ext cx="1736232" cy="7655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BF4408D-6E87-49E9-9F6F-A89824F89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6410" y="106205"/>
          <a:ext cx="1541528" cy="754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C64F8D8-1419-42A5-96E6-B3D113B12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0979117"/>
          <a:ext cx="1473638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02276EC-0310-40DA-B736-230DBCCCE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40494" y="40917045"/>
          <a:ext cx="1472738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E6F78EE-AAF4-4059-8A32-68CDA89BA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7F60B8D-F835-4C75-A00E-08B3A4FF1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1475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0B680BD-2461-4139-81A9-C8F89EF3C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293225" y="120618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4441A234-5216-4CF8-9CF4-4420987E7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6B9C228-C634-4E62-AC5F-836E34973D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119564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7E4235-89FD-426F-A98A-DFB269FA2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698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80</xdr:row>
      <xdr:rowOff>50371</xdr:rowOff>
    </xdr:from>
    <xdr:to>
      <xdr:col>3</xdr:col>
      <xdr:colOff>1672040</xdr:colOff>
      <xdr:row>84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7FED660-68C4-401C-881B-A6DF5087E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53315" y="120994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79</xdr:row>
      <xdr:rowOff>181781</xdr:rowOff>
    </xdr:from>
    <xdr:to>
      <xdr:col>6</xdr:col>
      <xdr:colOff>482365</xdr:colOff>
      <xdr:row>84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F1CF06-F4C0-4890-B823-1FCD5AB49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9543" y="120499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AC976FD-D59A-4749-BE73-4BFB9D694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5705DEA-5135-495B-9999-9820EDBA8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70216EA-0D17-402B-A289-108A4814E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4785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544484</xdr:colOff>
      <xdr:row>50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ECA6AE-5FB5-4BB3-B8EB-3ED6A787A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081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1BD6E5B-0A73-4CE1-BE02-65B2A930B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896BBF4-FB38-4991-B52D-29F1233D6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1368425</xdr:colOff>
      <xdr:row>35</xdr:row>
      <xdr:rowOff>25400</xdr:rowOff>
    </xdr:from>
    <xdr:to>
      <xdr:col>2</xdr:col>
      <xdr:colOff>2618213</xdr:colOff>
      <xdr:row>41</xdr:row>
      <xdr:rowOff>168767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E11AC63-D345-4CF3-2A7F-77136D4D1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81550" y="6835775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755650</xdr:colOff>
      <xdr:row>35</xdr:row>
      <xdr:rowOff>31750</xdr:rowOff>
    </xdr:from>
    <xdr:to>
      <xdr:col>6</xdr:col>
      <xdr:colOff>402183</xdr:colOff>
      <xdr:row>41</xdr:row>
      <xdr:rowOff>53187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F9F6A503-D247-50A8-9FEE-32A97A9CF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21650" y="6842125"/>
          <a:ext cx="1170533" cy="1164437"/>
        </a:xfrm>
        <a:prstGeom prst="rect">
          <a:avLst/>
        </a:prstGeom>
      </xdr:spPr>
    </xdr:pic>
    <xdr:clientData/>
  </xdr:twoCellAnchor>
</xdr:wsDr>
</file>

<file path=xl/drawings/drawing2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C0B984-A166-4534-9A2C-8BBE08FE7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59C2CC1-A010-4D49-9F00-88BC7F38A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2282226</xdr:colOff>
      <xdr:row>0</xdr:row>
      <xdr:rowOff>261938</xdr:rowOff>
    </xdr:from>
    <xdr:to>
      <xdr:col>5</xdr:col>
      <xdr:colOff>15875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0EAF5D6-CFB7-4D8C-BCA4-736A1E3B6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16726" y="261938"/>
          <a:ext cx="1924649" cy="10385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521164</xdr:colOff>
      <xdr:row>0</xdr:row>
      <xdr:rowOff>150812</xdr:rowOff>
    </xdr:from>
    <xdr:to>
      <xdr:col>3</xdr:col>
      <xdr:colOff>2441371</xdr:colOff>
      <xdr:row>4</xdr:row>
      <xdr:rowOff>285749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37D38BC3-58C3-4E09-9757-007DAE50D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5664" y="150812"/>
          <a:ext cx="1920207" cy="10556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247</xdr:row>
      <xdr:rowOff>67327</xdr:rowOff>
    </xdr:from>
    <xdr:to>
      <xdr:col>3</xdr:col>
      <xdr:colOff>1224931</xdr:colOff>
      <xdr:row>258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2A64362-EF20-47D9-9115-0961EE9361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8459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247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B64EA62-CE76-4F4A-9144-41E3031E3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9528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E91C487-3511-4B46-822C-8E3A2925E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1507" y="191135"/>
          <a:ext cx="1741105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F9E2777-39A7-4764-A301-E1361AEE8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0176" y="106205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32A0A7A-FAC4-4FA7-A7A5-5D158AC428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2112592"/>
          <a:ext cx="146839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5A1A7A-C9C5-4CF4-81F4-6CFDC2AA9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21419" y="4205052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05F4F50-8217-47EA-A6B4-066B65451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3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6A764EF-8D22-4542-95EC-375B6C25F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35700" y="139096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17F669-E2AC-450A-9D2F-B98C56BA1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07525" y="138239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C8132B06-F042-44C9-A42B-4815B2E0D0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61A464B-0088-4F2A-9231-2BD1339378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94799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2370C44-01F4-4EE7-9AB6-17D372717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933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690965</xdr:colOff>
      <xdr:row>77</xdr:row>
      <xdr:rowOff>59896</xdr:rowOff>
    </xdr:from>
    <xdr:to>
      <xdr:col>3</xdr:col>
      <xdr:colOff>1929215</xdr:colOff>
      <xdr:row>81</xdr:row>
      <xdr:rowOff>101224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275BBF-ABE3-4A94-820C-58C13C3D9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0490" y="125662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500143</xdr:colOff>
      <xdr:row>77</xdr:row>
      <xdr:rowOff>806</xdr:rowOff>
    </xdr:from>
    <xdr:to>
      <xdr:col>6</xdr:col>
      <xdr:colOff>158515</xdr:colOff>
      <xdr:row>81</xdr:row>
      <xdr:rowOff>108961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DF96E3D-6D62-46CF-9FC5-D22C4C270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48518" y="12507131"/>
          <a:ext cx="1172847" cy="1165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2009775</xdr:colOff>
      <xdr:row>0</xdr:row>
      <xdr:rowOff>52790</xdr:rowOff>
    </xdr:from>
    <xdr:to>
      <xdr:col>4</xdr:col>
      <xdr:colOff>40360</xdr:colOff>
      <xdr:row>4</xdr:row>
      <xdr:rowOff>145296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C461078-83C4-482E-945A-129BC063F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7953" y="52790"/>
          <a:ext cx="1719504" cy="8674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42136</xdr:colOff>
      <xdr:row>0</xdr:row>
      <xdr:rowOff>154660</xdr:rowOff>
    </xdr:from>
    <xdr:to>
      <xdr:col>5</xdr:col>
      <xdr:colOff>476250</xdr:colOff>
      <xdr:row>4</xdr:row>
      <xdr:rowOff>145297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9A27DCE-2BAB-4B23-A84B-E7D8F6695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9233" y="154660"/>
          <a:ext cx="1297822" cy="7655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CEFA7AC-674D-4E73-A0A5-D136C2302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87358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45BA4B2-F0AB-44C5-8305-F0FA0831F5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87654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92F44CA-339B-4E7C-9BC8-E5ED22250D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8CFE94F-927D-44C0-ADF5-819A4B8689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45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1638300</xdr:colOff>
      <xdr:row>35</xdr:row>
      <xdr:rowOff>9525</xdr:rowOff>
    </xdr:from>
    <xdr:to>
      <xdr:col>3</xdr:col>
      <xdr:colOff>205213</xdr:colOff>
      <xdr:row>41</xdr:row>
      <xdr:rowOff>152892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73A70F9-EAA6-43DB-B109-18AF3535F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51425" y="6819900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454025</xdr:colOff>
      <xdr:row>35</xdr:row>
      <xdr:rowOff>0</xdr:rowOff>
    </xdr:from>
    <xdr:to>
      <xdr:col>6</xdr:col>
      <xdr:colOff>100558</xdr:colOff>
      <xdr:row>41</xdr:row>
      <xdr:rowOff>21437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0046A36-DBC2-40A4-AF1D-78F380071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20025" y="6810375"/>
          <a:ext cx="1170533" cy="1164437"/>
        </a:xfrm>
        <a:prstGeom prst="rect">
          <a:avLst/>
        </a:prstGeom>
      </xdr:spPr>
    </xdr:pic>
    <xdr:clientData/>
  </xdr:twoCellAnchor>
</xdr:wsDr>
</file>

<file path=xl/drawings/drawing2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70893DD-7E90-4CAC-B4A6-70282B258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76F5EA7-DE64-4EA8-AA62-A7222749F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2234601</xdr:colOff>
      <xdr:row>0</xdr:row>
      <xdr:rowOff>297657</xdr:rowOff>
    </xdr:from>
    <xdr:to>
      <xdr:col>5</xdr:col>
      <xdr:colOff>99880</xdr:colOff>
      <xdr:row>5</xdr:row>
      <xdr:rowOff>11906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41E7C86D-D71B-45EB-A457-0CA897DB6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95257" y="297657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488156</xdr:colOff>
      <xdr:row>0</xdr:row>
      <xdr:rowOff>174625</xdr:rowOff>
    </xdr:from>
    <xdr:to>
      <xdr:col>3</xdr:col>
      <xdr:colOff>2608059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860C183-D80B-4D93-A1A1-81C51A8B7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48812" y="174625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1082056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FCC3B57-698D-4EDD-A396-9A3E383A72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216282" y="588461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2393267</xdr:colOff>
      <xdr:row>239</xdr:row>
      <xdr:rowOff>190081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658F371-7480-42B2-AE02-E7C03AE15F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870642" y="5751470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F081B5-111C-4BE7-9365-D2713C305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227" y="193275"/>
          <a:ext cx="1745814" cy="775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C5E97B1-AC1A-45DD-A9A0-FE638AC8D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858" y="127609"/>
          <a:ext cx="1539786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448518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197693F-8D14-4A98-90C7-CBE1230FDE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6913" y="42893642"/>
          <a:ext cx="1470369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D49459F-A2D7-4ED4-9E95-33BD00861C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313" y="42893643"/>
          <a:ext cx="1475305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879474</xdr:colOff>
      <xdr:row>0</xdr:row>
      <xdr:rowOff>171451</xdr:rowOff>
    </xdr:from>
    <xdr:to>
      <xdr:col>6</xdr:col>
      <xdr:colOff>499250</xdr:colOff>
      <xdr:row>5</xdr:row>
      <xdr:rowOff>127000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80DABAA-F9FB-4317-807D-10AA38B8C9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4" y="171451"/>
          <a:ext cx="1985151" cy="9080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52</xdr:row>
      <xdr:rowOff>222250</xdr:rowOff>
    </xdr:from>
    <xdr:to>
      <xdr:col>4</xdr:col>
      <xdr:colOff>482600</xdr:colOff>
      <xdr:row>58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EFB22D9F-C737-446D-BE77-739D5F4E8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0333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52</xdr:row>
      <xdr:rowOff>155575</xdr:rowOff>
    </xdr:from>
    <xdr:to>
      <xdr:col>6</xdr:col>
      <xdr:colOff>444500</xdr:colOff>
      <xdr:row>58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136CF60-BC44-4E8A-8706-4752EF53F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29667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1111250</xdr:colOff>
      <xdr:row>0</xdr:row>
      <xdr:rowOff>142875</xdr:rowOff>
    </xdr:from>
    <xdr:to>
      <xdr:col>5</xdr:col>
      <xdr:colOff>140092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0A208A24-5042-41E3-8F0F-11047D9E68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42875"/>
          <a:ext cx="191809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6CEDA7A-26E8-4565-BB25-D200A3359C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8934" y="245533"/>
          <a:ext cx="1064559" cy="4968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599541-287F-4BC7-B9A2-2AEA5F0B5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4593" y="244640"/>
          <a:ext cx="1144433" cy="4907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0BD074A-B035-4DA7-8B93-8586F789E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F77FF2-94FB-4AE3-9F19-3E6994D0FD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18975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C889C16-386A-42C3-9EB3-2270B8613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8186" y="214231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2ED5EA3-7929-43E5-8111-6496A7BAE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3729" y="24345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B2DD0D0-B4BC-4E3D-8B7E-49394D466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8989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4C72F4-A712-44F7-BBED-6F06027E39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37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BF59649-7701-44C5-8A0B-6610B5979E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990EE1A-24BD-45E3-B5C4-8A6D373BC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35</xdr:row>
      <xdr:rowOff>47625</xdr:rowOff>
    </xdr:from>
    <xdr:to>
      <xdr:col>5</xdr:col>
      <xdr:colOff>259308</xdr:colOff>
      <xdr:row>41</xdr:row>
      <xdr:rowOff>69062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2E4394B-6A3B-4BCB-A15A-1EADC80EF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053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35</xdr:row>
      <xdr:rowOff>22225</xdr:rowOff>
    </xdr:from>
    <xdr:to>
      <xdr:col>3</xdr:col>
      <xdr:colOff>501650</xdr:colOff>
      <xdr:row>41</xdr:row>
      <xdr:rowOff>167037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80D42275-AC7E-4B7B-8E6B-CF2784A3B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3050" y="6832600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1DD184F-C4B3-4F01-89C6-530C7AD5D7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CE586B-B176-4F7B-9D69-67DE0DA5D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91729FB-ECE1-4BDE-A33F-4775A58351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3242" y="5739216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95C6253-9D44-4404-9ECD-B55E30568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361" y="5828008"/>
          <a:ext cx="1265830" cy="1259238"/>
        </a:xfrm>
        <a:prstGeom prst="rect">
          <a:avLst/>
        </a:prstGeom>
      </xdr:spPr>
    </xdr:pic>
    <xdr:clientData/>
  </xdr:twoCellAnchor>
</xdr:wsDr>
</file>

<file path=xl/drawings/drawing30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1984570</xdr:colOff>
      <xdr:row>1</xdr:row>
      <xdr:rowOff>11906</xdr:rowOff>
    </xdr:from>
    <xdr:to>
      <xdr:col>4</xdr:col>
      <xdr:colOff>1278599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910A91-71D4-4F47-90EF-0B5B1D9342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50039" y="321469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190499</xdr:colOff>
      <xdr:row>0</xdr:row>
      <xdr:rowOff>222250</xdr:rowOff>
    </xdr:from>
    <xdr:to>
      <xdr:col>3</xdr:col>
      <xdr:colOff>2310402</xdr:colOff>
      <xdr:row>5</xdr:row>
      <xdr:rowOff>11905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C28CB9E-C136-4802-96C3-0399E345F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5968" y="222250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455788</xdr:colOff>
      <xdr:row>240</xdr:row>
      <xdr:rowOff>31609</xdr:rowOff>
    </xdr:from>
    <xdr:to>
      <xdr:col>3</xdr:col>
      <xdr:colOff>2350326</xdr:colOff>
      <xdr:row>249</xdr:row>
      <xdr:rowOff>95249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03F8B52-2722-4E5C-8D6D-AB99E00A9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921257" y="57955515"/>
          <a:ext cx="1894538" cy="1885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381110</xdr:colOff>
      <xdr:row>240</xdr:row>
      <xdr:rowOff>71020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2DC3B240-32C9-4805-B5C6-90EBBD57E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608829" y="57994926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2154A-332E-41EE-AD8C-9826B388D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869" y="191135"/>
          <a:ext cx="1743353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A814C0-4412-4AC5-8809-22E34C672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644" y="127609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511418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C70066-C0D2-442C-A948-5E0DE77C0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1669" y="41217242"/>
          <a:ext cx="1475399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B61BC9F-C564-4865-B76C-B9E49026F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955" y="41217243"/>
          <a:ext cx="1472844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1022349</xdr:colOff>
      <xdr:row>1</xdr:row>
      <xdr:rowOff>123827</xdr:rowOff>
    </xdr:from>
    <xdr:to>
      <xdr:col>6</xdr:col>
      <xdr:colOff>300923</xdr:colOff>
      <xdr:row>5</xdr:row>
      <xdr:rowOff>114301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6B7D038-CC0C-4190-9ABA-934D72C65C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2274" y="31432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46</xdr:row>
      <xdr:rowOff>222250</xdr:rowOff>
    </xdr:from>
    <xdr:to>
      <xdr:col>4</xdr:col>
      <xdr:colOff>482600</xdr:colOff>
      <xdr:row>52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8DC3FF9-D8C4-4097-ABFE-2ED91C471A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1572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46</xdr:row>
      <xdr:rowOff>155575</xdr:rowOff>
    </xdr:from>
    <xdr:to>
      <xdr:col>6</xdr:col>
      <xdr:colOff>444500</xdr:colOff>
      <xdr:row>52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D6F8728-2974-47AF-BBEC-BBC04AEE95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30905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1158875</xdr:colOff>
      <xdr:row>0</xdr:row>
      <xdr:rowOff>142875</xdr:rowOff>
    </xdr:from>
    <xdr:to>
      <xdr:col>5</xdr:col>
      <xdr:colOff>187717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4D9F40D-E323-4DB2-9DDC-7AF0B15BD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8575" y="14287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12516A9-079C-477A-90ED-5C06FE0C2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7E78C9-24A7-46E0-AF37-25D7E412C4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8F7E2F6-4603-4A13-AF13-E39BA1B33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E49D69-4B8A-4AC6-9FA0-43C756F40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C91E132-A717-436F-8783-8EEFA8956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1483" y="211002"/>
          <a:ext cx="1450384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81C97CE-EA09-47D1-A8B2-264B9FD9F2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7026" y="240224"/>
          <a:ext cx="1307307" cy="6751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50</xdr:row>
      <xdr:rowOff>1454</xdr:rowOff>
    </xdr:from>
    <xdr:to>
      <xdr:col>3</xdr:col>
      <xdr:colOff>1760942</xdr:colOff>
      <xdr:row>55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65672D-5AC7-44F3-A4F7-9341970FA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464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50</xdr:row>
      <xdr:rowOff>31050</xdr:rowOff>
    </xdr:from>
    <xdr:to>
      <xdr:col>4</xdr:col>
      <xdr:colOff>496053</xdr:colOff>
      <xdr:row>54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24D9DA-96EC-4CFC-A767-91CF3B76CC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6312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EF31500-8E87-4AC8-A8B4-678A3EB66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F263148-E13A-45A5-ADA4-652674716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31</xdr:row>
      <xdr:rowOff>47625</xdr:rowOff>
    </xdr:from>
    <xdr:to>
      <xdr:col>5</xdr:col>
      <xdr:colOff>259308</xdr:colOff>
      <xdr:row>37</xdr:row>
      <xdr:rowOff>69062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E4E9FB-4947-419E-8320-96C1BEBDE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688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31</xdr:row>
      <xdr:rowOff>22225</xdr:rowOff>
    </xdr:from>
    <xdr:to>
      <xdr:col>3</xdr:col>
      <xdr:colOff>501650</xdr:colOff>
      <xdr:row>37</xdr:row>
      <xdr:rowOff>167037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0D195F0-9D71-4DFD-AE94-2E45DA502E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49875" y="6832600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971436A-5CD4-42A9-A0DB-3C966AAE6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7903" y="212779"/>
          <a:ext cx="1544987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7B61D97-996A-405E-B710-69572F804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4131CC1-BFC6-483D-AB16-E5FFA2F9E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789" y="566237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3823513-DF51-447C-B566-C701DE494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1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841570</xdr:colOff>
      <xdr:row>1</xdr:row>
      <xdr:rowOff>11906</xdr:rowOff>
    </xdr:from>
    <xdr:to>
      <xdr:col>4</xdr:col>
      <xdr:colOff>135599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2DC4809-6AFC-4AA1-9B83-71088E609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1645" y="316706"/>
          <a:ext cx="2056279" cy="9667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2714625</xdr:colOff>
      <xdr:row>0</xdr:row>
      <xdr:rowOff>174625</xdr:rowOff>
    </xdr:from>
    <xdr:to>
      <xdr:col>3</xdr:col>
      <xdr:colOff>1084059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29D5263-EC25-488E-97AA-B431186EB9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91850" y="174625"/>
          <a:ext cx="2122284" cy="10398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254</xdr:row>
      <xdr:rowOff>93728</xdr:rowOff>
    </xdr:from>
    <xdr:to>
      <xdr:col>3</xdr:col>
      <xdr:colOff>1542771</xdr:colOff>
      <xdr:row>263</xdr:row>
      <xdr:rowOff>157367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8373BDD-92BD-427F-AEAA-84394BDFF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1658017" y="62751663"/>
          <a:ext cx="1894538" cy="1927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254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E263ABE7-66D3-49DC-8E9D-22C0DDC33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647904" y="6270824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163</xdr:row>
      <xdr:rowOff>138165</xdr:rowOff>
    </xdr:from>
    <xdr:to>
      <xdr:col>4</xdr:col>
      <xdr:colOff>756606</xdr:colOff>
      <xdr:row>170</xdr:row>
      <xdr:rowOff>159355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8544EE0-C4F5-4302-A4A2-D63B44D1F6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3739" y="49015328"/>
          <a:ext cx="1468092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163</xdr:row>
      <xdr:rowOff>127463</xdr:rowOff>
    </xdr:from>
    <xdr:to>
      <xdr:col>7</xdr:col>
      <xdr:colOff>1039619</xdr:colOff>
      <xdr:row>170</xdr:row>
      <xdr:rowOff>148653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8245453-FB21-49B3-AC89-38A694E1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5773" y="49004626"/>
          <a:ext cx="1475306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ADC454-A68C-40AE-8E41-255CAFDE5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1295401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7" name="Picture 10">
          <a:extLst>
            <a:ext uri="{FF2B5EF4-FFF2-40B4-BE49-F238E27FC236}">
              <a16:creationId xmlns:a16="http://schemas.microsoft.com/office/drawing/2014/main" id="{4C72B700-C782-4BCC-9400-955FFCA0F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0" y="1381125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6AB10F-4D55-4950-A13A-860BE36D9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47</xdr:row>
      <xdr:rowOff>222250</xdr:rowOff>
    </xdr:from>
    <xdr:to>
      <xdr:col>3</xdr:col>
      <xdr:colOff>482600</xdr:colOff>
      <xdr:row>53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9B0822D-7303-471F-A5D8-B0B2D1D0D0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45200" y="114427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47</xdr:row>
      <xdr:rowOff>155575</xdr:rowOff>
    </xdr:from>
    <xdr:to>
      <xdr:col>5</xdr:col>
      <xdr:colOff>444500</xdr:colOff>
      <xdr:row>53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F9CB229-F9DC-4BFC-8A31-C24D099A41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6925" y="113760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E063653A-DBF0-406F-90AC-E9A197BB0C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4C408005-9545-4CFF-8D22-12DDF2BF4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9BB58E-6131-4438-8A3A-B21EF1C1DD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78</xdr:row>
      <xdr:rowOff>97996</xdr:rowOff>
    </xdr:from>
    <xdr:to>
      <xdr:col>3</xdr:col>
      <xdr:colOff>2072090</xdr:colOff>
      <xdr:row>82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315AB0B-C906-4255-AFAC-69C16DF330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78</xdr:row>
      <xdr:rowOff>806</xdr:rowOff>
    </xdr:from>
    <xdr:to>
      <xdr:col>6</xdr:col>
      <xdr:colOff>15640</xdr:colOff>
      <xdr:row>82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4BA0401-A84D-4BC0-BC6E-56BBA53B96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C369F0E-2082-4F25-8DC0-7E09EEB1F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2403" y="206159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A8CD3C-AEA1-4F92-A577-BEF11C64D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1801" y="28381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925917</xdr:colOff>
      <xdr:row>50</xdr:row>
      <xdr:rowOff>96704</xdr:rowOff>
    </xdr:from>
    <xdr:to>
      <xdr:col>3</xdr:col>
      <xdr:colOff>2173692</xdr:colOff>
      <xdr:row>55</xdr:row>
      <xdr:rowOff>125279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C12FE44-EA86-4BDC-A43D-427142C663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751917" y="10431329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2965773</xdr:colOff>
      <xdr:row>49</xdr:row>
      <xdr:rowOff>189800</xdr:rowOff>
    </xdr:from>
    <xdr:to>
      <xdr:col>4</xdr:col>
      <xdr:colOff>480178</xdr:colOff>
      <xdr:row>54</xdr:row>
      <xdr:rowOff>135879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D1C02AD-E109-4ED0-93C4-D53BF3CB35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1773" y="10333925"/>
          <a:ext cx="1197405" cy="12002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08D7948-A685-45E6-9D42-C3DC12261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2E9115-C1A6-4D87-995E-CD92AA9C45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468B5A-E272-4787-A9E9-481C8AEE8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70189" y="5049595"/>
          <a:ext cx="124460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0B1C85F-1E47-4502-8C8D-811D049B8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606708</xdr:colOff>
      <xdr:row>4</xdr:row>
      <xdr:rowOff>38002</xdr:rowOff>
    </xdr:from>
    <xdr:to>
      <xdr:col>4</xdr:col>
      <xdr:colOff>808973</xdr:colOff>
      <xdr:row>12</xdr:row>
      <xdr:rowOff>327626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3811116-310A-443E-9147-6E0747656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45270" y="925262"/>
          <a:ext cx="2968429" cy="185537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2531302</xdr:colOff>
      <xdr:row>5</xdr:row>
      <xdr:rowOff>52193</xdr:rowOff>
    </xdr:from>
    <xdr:to>
      <xdr:col>3</xdr:col>
      <xdr:colOff>456678</xdr:colOff>
      <xdr:row>12</xdr:row>
      <xdr:rowOff>247912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7DF75-C89A-485E-B7A9-58641198F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2055" y="1135172"/>
          <a:ext cx="1683185" cy="15657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1542771</xdr:colOff>
      <xdr:row>268</xdr:row>
      <xdr:rowOff>157369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C40A25D-1AC7-4760-ABAE-2AAF2B7EF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682740" y="60606053"/>
          <a:ext cx="1899506" cy="18638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582AE6E5-2841-4244-94BA-6F66D14D3B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677596" y="605626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2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173</xdr:row>
      <xdr:rowOff>138165</xdr:rowOff>
    </xdr:from>
    <xdr:to>
      <xdr:col>4</xdr:col>
      <xdr:colOff>566106</xdr:colOff>
      <xdr:row>180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70EE571-2539-490B-8E81-19D5985F88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50590" y="47915565"/>
          <a:ext cx="1468841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173</xdr:row>
      <xdr:rowOff>127463</xdr:rowOff>
    </xdr:from>
    <xdr:to>
      <xdr:col>7</xdr:col>
      <xdr:colOff>1039619</xdr:colOff>
      <xdr:row>180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90A2994-0831-4322-A389-A72DAF6AA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53724" y="47904863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32DE635B-5728-4BDC-865D-D95C88138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86725" y="180976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714886CC-2022-4E48-8F4F-9283C5B230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63100" y="266700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CB698CA-712B-4C42-81D9-BB2A806D86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9564" y="158750"/>
          <a:ext cx="1268132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480419</xdr:colOff>
      <xdr:row>0</xdr:row>
      <xdr:rowOff>103188</xdr:rowOff>
    </xdr:from>
    <xdr:to>
      <xdr:col>6</xdr:col>
      <xdr:colOff>285749</xdr:colOff>
      <xdr:row>4</xdr:row>
      <xdr:rowOff>39688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214F0568-77A6-4761-89C7-79A85E906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4" y="103188"/>
          <a:ext cx="1321393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65</xdr:row>
      <xdr:rowOff>97996</xdr:rowOff>
    </xdr:from>
    <xdr:to>
      <xdr:col>3</xdr:col>
      <xdr:colOff>2072090</xdr:colOff>
      <xdr:row>69</xdr:row>
      <xdr:rowOff>139326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8A16693-59D4-4A03-B815-F43E2F4CAE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30615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65</xdr:row>
      <xdr:rowOff>806</xdr:rowOff>
    </xdr:from>
    <xdr:to>
      <xdr:col>6</xdr:col>
      <xdr:colOff>15640</xdr:colOff>
      <xdr:row>69</xdr:row>
      <xdr:rowOff>108963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04F677-0E46-4C7E-8533-7CEF8D9C0D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9643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2FB60BB-5FC6-4E35-AC86-C5F98D2154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1726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14E7F45-BA01-471C-BDAB-66DF4459AF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1124" y="280584"/>
          <a:ext cx="1304240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878292</xdr:colOff>
      <xdr:row>46</xdr:row>
      <xdr:rowOff>1454</xdr:rowOff>
    </xdr:from>
    <xdr:to>
      <xdr:col>3</xdr:col>
      <xdr:colOff>2126067</xdr:colOff>
      <xdr:row>54</xdr:row>
      <xdr:rowOff>14154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4006EBE-BE22-42F1-90C4-2B2BC3FCBE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44042" y="10193204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2949898</xdr:colOff>
      <xdr:row>47</xdr:row>
      <xdr:rowOff>15175</xdr:rowOff>
    </xdr:from>
    <xdr:to>
      <xdr:col>4</xdr:col>
      <xdr:colOff>464303</xdr:colOff>
      <xdr:row>54</xdr:row>
      <xdr:rowOff>143682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C542023-A26D-461C-860C-E028BCCB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315648" y="10397425"/>
          <a:ext cx="1197405" cy="1208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6A6D48E-F08E-4B4C-90E5-4315CB2B1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C992C25-74A8-427D-A571-0B62B068A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6FDB3E-AC99-4CC5-B05E-04870F4B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60664" y="505912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35B4390-6441-4773-A988-6E772F149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4989162"/>
          <a:ext cx="1267929" cy="1247776"/>
        </a:xfrm>
        <a:prstGeom prst="rect">
          <a:avLst/>
        </a:prstGeom>
      </xdr:spPr>
    </xdr:pic>
    <xdr:clientData/>
  </xdr:twoCellAnchor>
</xdr:wsDr>
</file>

<file path=xl/drawings/drawing3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2C96DB-658F-49DE-B37D-C4F303158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61</xdr:row>
      <xdr:rowOff>222250</xdr:rowOff>
    </xdr:from>
    <xdr:to>
      <xdr:col>2</xdr:col>
      <xdr:colOff>2276475</xdr:colOff>
      <xdr:row>67</xdr:row>
      <xdr:rowOff>117476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E4C7632-9B16-4B92-B283-773726998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6425" y="11709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61</xdr:row>
      <xdr:rowOff>155575</xdr:rowOff>
    </xdr:from>
    <xdr:to>
      <xdr:col>5</xdr:col>
      <xdr:colOff>508000</xdr:colOff>
      <xdr:row>67</xdr:row>
      <xdr:rowOff>88901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793004-B09B-47D2-A8C2-6F8AD2E5B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31375" y="16014700"/>
          <a:ext cx="14763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9EF0D5A-7F99-4A68-B9E8-ABA79FD56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1865369</xdr:colOff>
      <xdr:row>5</xdr:row>
      <xdr:rowOff>158198</xdr:rowOff>
    </xdr:from>
    <xdr:to>
      <xdr:col>4</xdr:col>
      <xdr:colOff>1235982</xdr:colOff>
      <xdr:row>10</xdr:row>
      <xdr:rowOff>237503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A5869C9-D6CB-4055-91A7-75B317EC4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6262" y="1280787"/>
          <a:ext cx="2420881" cy="1099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3741966</xdr:colOff>
      <xdr:row>5</xdr:row>
      <xdr:rowOff>104320</xdr:rowOff>
    </xdr:from>
    <xdr:to>
      <xdr:col>3</xdr:col>
      <xdr:colOff>2267860</xdr:colOff>
      <xdr:row>10</xdr:row>
      <xdr:rowOff>312960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560D363-65EB-4D2E-B1F8-B20A99E3E5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9555" y="1226909"/>
          <a:ext cx="2279198" cy="12291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255</xdr:row>
      <xdr:rowOff>93728</xdr:rowOff>
    </xdr:from>
    <xdr:to>
      <xdr:col>3</xdr:col>
      <xdr:colOff>1542770</xdr:colOff>
      <xdr:row>264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1F2A7B9-B8F3-43AB-B3EE-C28B4D35E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682740" y="61463303"/>
          <a:ext cx="1899506" cy="1863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255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848E3A71-BADF-4CB2-9D37-5BA7EE7581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677596" y="6141988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2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188</xdr:row>
      <xdr:rowOff>138165</xdr:rowOff>
    </xdr:from>
    <xdr:to>
      <xdr:col>4</xdr:col>
      <xdr:colOff>461331</xdr:colOff>
      <xdr:row>195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B638EB0B-6E05-47FC-92AD-22EBE36C72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50590" y="51230265"/>
          <a:ext cx="1459316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188</xdr:row>
      <xdr:rowOff>127463</xdr:rowOff>
    </xdr:from>
    <xdr:to>
      <xdr:col>7</xdr:col>
      <xdr:colOff>1039619</xdr:colOff>
      <xdr:row>195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6EF4E6F-09F8-4904-AB59-D2E3902CD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634699" y="51219563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C6CF82FB-2885-4339-B7A9-3DEACA578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67700" y="180976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B0729852-6777-4D3E-9FA2-F935CBA71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4075" y="266700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4A28835-3870-43AA-A9FE-AD5C249687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1" y="158750"/>
          <a:ext cx="126654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468569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9FCDBC-CFE1-4390-8A11-B8828BF04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0943" y="118550"/>
          <a:ext cx="1585892" cy="7046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46</xdr:row>
      <xdr:rowOff>97996</xdr:rowOff>
    </xdr:from>
    <xdr:to>
      <xdr:col>3</xdr:col>
      <xdr:colOff>2072090</xdr:colOff>
      <xdr:row>50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6B487B-4BC3-4CDA-8272-188E671E5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0908871"/>
          <a:ext cx="1238250" cy="1098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46</xdr:row>
      <xdr:rowOff>806</xdr:rowOff>
    </xdr:from>
    <xdr:to>
      <xdr:col>6</xdr:col>
      <xdr:colOff>15640</xdr:colOff>
      <xdr:row>50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527C87-4A9E-4B03-A52A-7BFF7E01DB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0811681"/>
          <a:ext cx="1172847" cy="1165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1618551</xdr:colOff>
      <xdr:row>1</xdr:row>
      <xdr:rowOff>12430</xdr:rowOff>
    </xdr:from>
    <xdr:to>
      <xdr:col>3</xdr:col>
      <xdr:colOff>3071679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3D588C2-7AE3-4788-8C29-DC4128E958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4301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3004949</xdr:colOff>
      <xdr:row>1</xdr:row>
      <xdr:rowOff>90084</xdr:rowOff>
    </xdr:from>
    <xdr:to>
      <xdr:col>4</xdr:col>
      <xdr:colOff>623014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6145FC-7484-4F55-B7B5-6B1E164C2C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70699" y="280584"/>
          <a:ext cx="1301065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552133</xdr:colOff>
      <xdr:row>49</xdr:row>
      <xdr:rowOff>24545</xdr:rowOff>
    </xdr:from>
    <xdr:to>
      <xdr:col>3</xdr:col>
      <xdr:colOff>1799908</xdr:colOff>
      <xdr:row>54</xdr:row>
      <xdr:rowOff>54563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1CCAED-3010-4D0E-AEA9-C6913C2C2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29428" y="11090863"/>
          <a:ext cx="1247775" cy="1276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49</xdr:row>
      <xdr:rowOff>171039</xdr:rowOff>
    </xdr:from>
    <xdr:to>
      <xdr:col>4</xdr:col>
      <xdr:colOff>360394</xdr:colOff>
      <xdr:row>54</xdr:row>
      <xdr:rowOff>126364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02F4F12-2C15-40B7-B028-CE7D9E2FF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23284" y="11237357"/>
          <a:ext cx="1203178" cy="12022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838993</xdr:colOff>
      <xdr:row>1</xdr:row>
      <xdr:rowOff>47626</xdr:rowOff>
    </xdr:from>
    <xdr:to>
      <xdr:col>5</xdr:col>
      <xdr:colOff>452438</xdr:colOff>
      <xdr:row>5</xdr:row>
      <xdr:rowOff>83343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96E2E56C-24E7-4511-AFA8-9D1E95A681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40056" y="238126"/>
          <a:ext cx="1982788" cy="7977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71</xdr:row>
      <xdr:rowOff>117476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B144600-8962-406B-B61C-C04452B6F0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54725" y="15557500"/>
          <a:ext cx="1450975" cy="1343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71</xdr:row>
      <xdr:rowOff>88901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FC4A5E5-B7FB-42C9-BFD8-A9CFB817A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40900" y="15490825"/>
          <a:ext cx="1482725" cy="1381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2142331</xdr:colOff>
      <xdr:row>0</xdr:row>
      <xdr:rowOff>88106</xdr:rowOff>
    </xdr:from>
    <xdr:to>
      <xdr:col>3</xdr:col>
      <xdr:colOff>944953</xdr:colOff>
      <xdr:row>5</xdr:row>
      <xdr:rowOff>113507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22495743-8D49-4084-9BFF-81FE9222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3956" y="88106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146860</xdr:rowOff>
    </xdr:from>
    <xdr:to>
      <xdr:col>4</xdr:col>
      <xdr:colOff>1258661</xdr:colOff>
      <xdr:row>10</xdr:row>
      <xdr:rowOff>23123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43867EB-AE96-459A-8F8F-A7E090218B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6976" y="1269449"/>
          <a:ext cx="2273471" cy="10328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415019</xdr:colOff>
      <xdr:row>4</xdr:row>
      <xdr:rowOff>163285</xdr:rowOff>
    </xdr:from>
    <xdr:to>
      <xdr:col>3</xdr:col>
      <xdr:colOff>2483998</xdr:colOff>
      <xdr:row>9</xdr:row>
      <xdr:rowOff>315233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045F9A-83D9-40B9-8DE3-DA0EBC86E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24269" y="1084035"/>
          <a:ext cx="2068979" cy="118382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257</xdr:row>
      <xdr:rowOff>93728</xdr:rowOff>
    </xdr:from>
    <xdr:to>
      <xdr:col>3</xdr:col>
      <xdr:colOff>1542770</xdr:colOff>
      <xdr:row>266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DE39394-6BC7-413D-9E97-02A147E3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225540" y="60796553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257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07F10F3B-DDB9-49C1-953C-1169C9107F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20396" y="607531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3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186</xdr:row>
      <xdr:rowOff>138165</xdr:rowOff>
    </xdr:from>
    <xdr:to>
      <xdr:col>4</xdr:col>
      <xdr:colOff>461332</xdr:colOff>
      <xdr:row>193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7BBFCBC-02C2-4A6F-A6A0-8C82768EF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45790" y="55583190"/>
          <a:ext cx="1459316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186</xdr:row>
      <xdr:rowOff>127463</xdr:rowOff>
    </xdr:from>
    <xdr:to>
      <xdr:col>7</xdr:col>
      <xdr:colOff>1039618</xdr:colOff>
      <xdr:row>193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952BE6C-DACB-4EE8-8113-B84A4BE8F3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34674" y="55572488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586484</xdr:colOff>
      <xdr:row>0</xdr:row>
      <xdr:rowOff>239303</xdr:rowOff>
    </xdr:from>
    <xdr:to>
      <xdr:col>6</xdr:col>
      <xdr:colOff>799459</xdr:colOff>
      <xdr:row>4</xdr:row>
      <xdr:rowOff>94437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D6DC86C4-6621-41CC-9B66-AAF74416C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0669" y="239303"/>
          <a:ext cx="1850419" cy="925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469508</xdr:colOff>
      <xdr:row>1</xdr:row>
      <xdr:rowOff>26220</xdr:rowOff>
    </xdr:from>
    <xdr:to>
      <xdr:col>8</xdr:col>
      <xdr:colOff>221857</xdr:colOff>
      <xdr:row>4</xdr:row>
      <xdr:rowOff>73845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6EA7DAC5-3EC9-429F-B25A-9B1FDFFA63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81137" y="293776"/>
          <a:ext cx="1700158" cy="8502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74A57D3-12AC-44B4-BB6F-7613B5B25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1" y="158750"/>
          <a:ext cx="136179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468569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4F79025-C70F-4B50-B692-6B6AFC889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4798" y="118550"/>
          <a:ext cx="1587121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BED8659-EA0C-4492-83F9-44B1F38C2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762274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093EB3C-90F1-4370-878C-C9FF7B190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7525556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1729676</xdr:colOff>
      <xdr:row>1</xdr:row>
      <xdr:rowOff>12430</xdr:rowOff>
    </xdr:from>
    <xdr:to>
      <xdr:col>3</xdr:col>
      <xdr:colOff>3182804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E2D98AC-921E-4420-866E-4DD33A914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5426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3052574</xdr:colOff>
      <xdr:row>1</xdr:row>
      <xdr:rowOff>58334</xdr:rowOff>
    </xdr:from>
    <xdr:to>
      <xdr:col>4</xdr:col>
      <xdr:colOff>670639</xdr:colOff>
      <xdr:row>4</xdr:row>
      <xdr:rowOff>158750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7A4CCF63-88DD-4FCE-8FB3-430B10DDE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18324" y="248834"/>
          <a:ext cx="1301065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CE9297-1D31-46BE-9D92-B12001E8F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6633" y="11073545"/>
          <a:ext cx="1247775" cy="12769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7D084C5-2CC9-4AF2-89B0-39D450C90B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23284" y="11133448"/>
          <a:ext cx="1203178" cy="1202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588960</xdr:colOff>
      <xdr:row>1</xdr:row>
      <xdr:rowOff>11907</xdr:rowOff>
    </xdr:from>
    <xdr:to>
      <xdr:col>5</xdr:col>
      <xdr:colOff>214312</xdr:colOff>
      <xdr:row>5</xdr:row>
      <xdr:rowOff>130969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73CA834-0C7D-41C8-975C-E00C72AE8E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90023" y="202407"/>
          <a:ext cx="1994695" cy="88106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AA71AB4-AAA7-492F-A0F5-2CAAB9876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39175"/>
          <a:ext cx="1450975" cy="1343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5212BF3-3147-43E3-8DE7-A3BB0A2DDC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272500"/>
          <a:ext cx="1482726" cy="1381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2130425</xdr:colOff>
      <xdr:row>0</xdr:row>
      <xdr:rowOff>88106</xdr:rowOff>
    </xdr:from>
    <xdr:to>
      <xdr:col>3</xdr:col>
      <xdr:colOff>933047</xdr:colOff>
      <xdr:row>5</xdr:row>
      <xdr:rowOff>113507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652CC46A-CE73-4A21-8D5C-C74EB91D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2050" y="88106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44806</xdr:rowOff>
    </xdr:from>
    <xdr:to>
      <xdr:col>4</xdr:col>
      <xdr:colOff>1258661</xdr:colOff>
      <xdr:row>9</xdr:row>
      <xdr:rowOff>261247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1EF8A9-A7CE-43CA-9BB4-4ACD5616E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6976" y="1167395"/>
          <a:ext cx="2284810" cy="10328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419554</xdr:colOff>
      <xdr:row>4</xdr:row>
      <xdr:rowOff>174625</xdr:rowOff>
    </xdr:from>
    <xdr:to>
      <xdr:col>3</xdr:col>
      <xdr:colOff>2563374</xdr:colOff>
      <xdr:row>9</xdr:row>
      <xdr:rowOff>326573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D5C6E8B-8E82-4E5A-A2F2-69F946B317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31072" y="1093107"/>
          <a:ext cx="2143820" cy="117248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1542770</xdr:colOff>
      <xdr:row>268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681F2CB-E077-44B1-B0C5-22C44641D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149340" y="62168153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AB95B92C-62DF-4CDA-AF12-F61A9C2B3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44196" y="621247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3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189</xdr:row>
      <xdr:rowOff>127463</xdr:rowOff>
    </xdr:from>
    <xdr:to>
      <xdr:col>4</xdr:col>
      <xdr:colOff>589973</xdr:colOff>
      <xdr:row>195</xdr:row>
      <xdr:rowOff>555339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481630B4-8B58-4276-BF43-84CA711D2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2166" y="55768446"/>
          <a:ext cx="1461992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189</xdr:row>
      <xdr:rowOff>159569</xdr:rowOff>
    </xdr:from>
    <xdr:to>
      <xdr:col>7</xdr:col>
      <xdr:colOff>1018214</xdr:colOff>
      <xdr:row>195</xdr:row>
      <xdr:rowOff>568395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4961433-7845-4E17-82EE-5FB5D711C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2824" y="55800552"/>
          <a:ext cx="1475306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737599</xdr:colOff>
      <xdr:row>0</xdr:row>
      <xdr:rowOff>258353</xdr:rowOff>
    </xdr:from>
    <xdr:to>
      <xdr:col>7</xdr:col>
      <xdr:colOff>62287</xdr:colOff>
      <xdr:row>4</xdr:row>
      <xdr:rowOff>113487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D33EDB87-1DBD-4985-968A-2977E82977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1784" y="258353"/>
          <a:ext cx="1850419" cy="925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700356</xdr:colOff>
      <xdr:row>1</xdr:row>
      <xdr:rowOff>103597</xdr:rowOff>
    </xdr:from>
    <xdr:to>
      <xdr:col>8</xdr:col>
      <xdr:colOff>452705</xdr:colOff>
      <xdr:row>4</xdr:row>
      <xdr:rowOff>151222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EDB3BEEB-BDB2-4ECF-8609-DF3833FFC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11985" y="371153"/>
          <a:ext cx="1700158" cy="8502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1648441</xdr:colOff>
      <xdr:row>0</xdr:row>
      <xdr:rowOff>158750</xdr:rowOff>
    </xdr:from>
    <xdr:to>
      <xdr:col>4</xdr:col>
      <xdr:colOff>686136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94E18B7-F68D-4FD8-9EA3-4175E01A5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5981" y="158750"/>
          <a:ext cx="1365175" cy="59245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345665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38CE07A4-2332-44C2-8B4B-0D999B34D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0943" y="118550"/>
          <a:ext cx="1462988" cy="7046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C69A5C1-7A29-4B07-834B-4DF5EED607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595587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08FB41B-4649-46EB-A9BC-3F9756930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585868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1772972</xdr:colOff>
      <xdr:row>1</xdr:row>
      <xdr:rowOff>29748</xdr:rowOff>
    </xdr:from>
    <xdr:to>
      <xdr:col>3</xdr:col>
      <xdr:colOff>3226100</xdr:colOff>
      <xdr:row>4</xdr:row>
      <xdr:rowOff>181607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7DF5BA7E-497D-4008-9E25-66808F3C3B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0267" y="220248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2991961</xdr:colOff>
      <xdr:row>1</xdr:row>
      <xdr:rowOff>75652</xdr:rowOff>
    </xdr:from>
    <xdr:to>
      <xdr:col>4</xdr:col>
      <xdr:colOff>610026</xdr:colOff>
      <xdr:row>4</xdr:row>
      <xdr:rowOff>176068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E400707-5839-41E6-A748-EBC6FCF929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9256" y="266152"/>
          <a:ext cx="1306838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5B4E06F-2C53-4DF4-81CA-121966E10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405188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E32427E-C778-473C-B227-D08EA8A835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18089" y="11465091"/>
          <a:ext cx="1200580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541335</xdr:colOff>
      <xdr:row>1</xdr:row>
      <xdr:rowOff>83344</xdr:rowOff>
    </xdr:from>
    <xdr:to>
      <xdr:col>5</xdr:col>
      <xdr:colOff>166687</xdr:colOff>
      <xdr:row>6</xdr:row>
      <xdr:rowOff>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A7FDDB0-B394-4F0C-ADEB-442BCDA566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2398" y="273844"/>
          <a:ext cx="1994695" cy="88106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DDD5A06-289D-40FA-82F0-3725416F6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2167850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10F83B1-3D7F-4BC9-A88B-6E9035968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2101175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2154237</xdr:colOff>
      <xdr:row>0</xdr:row>
      <xdr:rowOff>183357</xdr:rowOff>
    </xdr:from>
    <xdr:to>
      <xdr:col>3</xdr:col>
      <xdr:colOff>956859</xdr:colOff>
      <xdr:row>6</xdr:row>
      <xdr:rowOff>6352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75324DCE-E378-4A9E-B182-6A2E9A67F2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5862" y="183357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44806</xdr:rowOff>
    </xdr:from>
    <xdr:to>
      <xdr:col>4</xdr:col>
      <xdr:colOff>1258661</xdr:colOff>
      <xdr:row>9</xdr:row>
      <xdr:rowOff>261247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AD934A6-AED1-409B-AAF3-C7FE1278B6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1533" y="1149706"/>
          <a:ext cx="2280728" cy="10165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419554</xdr:colOff>
      <xdr:row>4</xdr:row>
      <xdr:rowOff>174625</xdr:rowOff>
    </xdr:from>
    <xdr:to>
      <xdr:col>3</xdr:col>
      <xdr:colOff>2563374</xdr:colOff>
      <xdr:row>9</xdr:row>
      <xdr:rowOff>326573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048FA04-B01F-4A2F-8B0A-34CD47836D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25629" y="1079500"/>
          <a:ext cx="2143820" cy="115207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1542770</xdr:colOff>
      <xdr:row>268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630A3BA-C52B-41D9-BCD6-48DC113772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149340" y="62520578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14FF0864-9BD8-44CA-985C-19C75C016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44196" y="62477163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4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190</xdr:row>
      <xdr:rowOff>127463</xdr:rowOff>
    </xdr:from>
    <xdr:to>
      <xdr:col>4</xdr:col>
      <xdr:colOff>589973</xdr:colOff>
      <xdr:row>196</xdr:row>
      <xdr:rowOff>555339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BA09BE5-83E2-440C-858D-30C1F77AF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98206" y="54772388"/>
          <a:ext cx="1459317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190</xdr:row>
      <xdr:rowOff>159569</xdr:rowOff>
    </xdr:from>
    <xdr:to>
      <xdr:col>7</xdr:col>
      <xdr:colOff>1018214</xdr:colOff>
      <xdr:row>196</xdr:row>
      <xdr:rowOff>568395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5F264EE3-1232-4142-9A7B-E023AF4D34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37045" y="54785444"/>
          <a:ext cx="1472844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670924</xdr:colOff>
      <xdr:row>0</xdr:row>
      <xdr:rowOff>258353</xdr:rowOff>
    </xdr:from>
    <xdr:to>
      <xdr:col>6</xdr:col>
      <xdr:colOff>881437</xdr:colOff>
      <xdr:row>4</xdr:row>
      <xdr:rowOff>113487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1486A144-B572-46DF-8639-C06EC4750D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00349" y="258353"/>
          <a:ext cx="1848813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557481</xdr:colOff>
      <xdr:row>0</xdr:row>
      <xdr:rowOff>257175</xdr:rowOff>
    </xdr:from>
    <xdr:to>
      <xdr:col>8</xdr:col>
      <xdr:colOff>476250</xdr:colOff>
      <xdr:row>4</xdr:row>
      <xdr:rowOff>151222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66A53BA5-028E-4B50-950B-DD358CDC9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06" y="257175"/>
          <a:ext cx="1861869" cy="9608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1648441</xdr:colOff>
      <xdr:row>0</xdr:row>
      <xdr:rowOff>158750</xdr:rowOff>
    </xdr:from>
    <xdr:to>
      <xdr:col>4</xdr:col>
      <xdr:colOff>686136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14F8B66-314D-48F4-A2FC-862164BA0C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3216" y="158750"/>
          <a:ext cx="136179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345665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25FB116B-3F9F-4A7B-AAA5-F6D6D9B56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4798" y="118550"/>
          <a:ext cx="1464217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D3C29D-5CB1-421C-9FF2-6730E9A00A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595587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D06195-DD70-447E-B03C-79924392A0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585868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1772972</xdr:colOff>
      <xdr:row>1</xdr:row>
      <xdr:rowOff>29748</xdr:rowOff>
    </xdr:from>
    <xdr:to>
      <xdr:col>3</xdr:col>
      <xdr:colOff>3226100</xdr:colOff>
      <xdr:row>4</xdr:row>
      <xdr:rowOff>181607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4F9E6D16-0408-4651-A204-45A05C513E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5072" y="220248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2991961</xdr:colOff>
      <xdr:row>1</xdr:row>
      <xdr:rowOff>75652</xdr:rowOff>
    </xdr:from>
    <xdr:to>
      <xdr:col>4</xdr:col>
      <xdr:colOff>610026</xdr:colOff>
      <xdr:row>4</xdr:row>
      <xdr:rowOff>176068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F9A0C59-7DAF-4787-8127-A3C0D1C6D7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4061" y="266152"/>
          <a:ext cx="1304240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EDDC6C-6512-4535-95B6-BDA74F76FD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60521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ED2855E-DF67-4D02-9065-F6258EBCD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18089" y="11665116"/>
          <a:ext cx="1200580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541335</xdr:colOff>
      <xdr:row>1</xdr:row>
      <xdr:rowOff>83344</xdr:rowOff>
    </xdr:from>
    <xdr:to>
      <xdr:col>5</xdr:col>
      <xdr:colOff>166687</xdr:colOff>
      <xdr:row>6</xdr:row>
      <xdr:rowOff>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BC94461-0AA1-4957-B0CA-5C0E6F087E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37635" y="273844"/>
          <a:ext cx="1997077" cy="8786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7DD970E-5EF3-4992-A3D3-2B88D7DDB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96325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DD84304-5387-4CFB-85D8-1EB84102C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329650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2154237</xdr:colOff>
      <xdr:row>0</xdr:row>
      <xdr:rowOff>183357</xdr:rowOff>
    </xdr:from>
    <xdr:to>
      <xdr:col>3</xdr:col>
      <xdr:colOff>956859</xdr:colOff>
      <xdr:row>6</xdr:row>
      <xdr:rowOff>6352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6C59EFF8-3923-4B34-8C85-6A3947ED5D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5862" y="183357"/>
          <a:ext cx="1917297" cy="97552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2400583</xdr:colOff>
      <xdr:row>4</xdr:row>
      <xdr:rowOff>151395</xdr:rowOff>
    </xdr:from>
    <xdr:to>
      <xdr:col>5</xdr:col>
      <xdr:colOff>195036</xdr:colOff>
      <xdr:row>9</xdr:row>
      <xdr:rowOff>27658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F5A493-3302-4E10-98F8-F7BF69AE77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07012" y="1069877"/>
          <a:ext cx="2284810" cy="10328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566964</xdr:colOff>
      <xdr:row>4</xdr:row>
      <xdr:rowOff>65768</xdr:rowOff>
    </xdr:from>
    <xdr:to>
      <xdr:col>3</xdr:col>
      <xdr:colOff>2770789</xdr:colOff>
      <xdr:row>9</xdr:row>
      <xdr:rowOff>22678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B96C391-001D-412E-AADD-80F99F8F4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3393" y="984250"/>
          <a:ext cx="2203825" cy="11135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3350758</xdr:colOff>
      <xdr:row>258</xdr:row>
      <xdr:rowOff>93728</xdr:rowOff>
    </xdr:from>
    <xdr:to>
      <xdr:col>3</xdr:col>
      <xdr:colOff>1497413</xdr:colOff>
      <xdr:row>266</xdr:row>
      <xdr:rowOff>202727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6E24C35-01D6-4ECC-8B98-CD82AB7996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303883" y="63797835"/>
          <a:ext cx="1899959" cy="19006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258</xdr:row>
      <xdr:rowOff>4956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89299D53-0D98-42A8-A5E4-A9000186C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344550" y="63709063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4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195</xdr:row>
      <xdr:rowOff>127463</xdr:rowOff>
    </xdr:from>
    <xdr:to>
      <xdr:col>4</xdr:col>
      <xdr:colOff>589973</xdr:colOff>
      <xdr:row>201</xdr:row>
      <xdr:rowOff>341294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E7D3CC6C-95B4-4570-BCCF-FB29394DA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60081" y="55077188"/>
          <a:ext cx="1459317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195</xdr:row>
      <xdr:rowOff>159569</xdr:rowOff>
    </xdr:from>
    <xdr:to>
      <xdr:col>7</xdr:col>
      <xdr:colOff>1018214</xdr:colOff>
      <xdr:row>201</xdr:row>
      <xdr:rowOff>363876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0E3FF27-00EB-4A46-8F5E-A5C92A2CB0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98920" y="55090244"/>
          <a:ext cx="1472844" cy="1504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766175</xdr:colOff>
      <xdr:row>0</xdr:row>
      <xdr:rowOff>66676</xdr:rowOff>
    </xdr:from>
    <xdr:to>
      <xdr:col>6</xdr:col>
      <xdr:colOff>785577</xdr:colOff>
      <xdr:row>3</xdr:row>
      <xdr:rowOff>85726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7B2EF41E-0327-48CB-B724-6D134CACDA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5600" y="66676"/>
          <a:ext cx="1657702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481282</xdr:colOff>
      <xdr:row>0</xdr:row>
      <xdr:rowOff>76200</xdr:rowOff>
    </xdr:from>
    <xdr:to>
      <xdr:col>8</xdr:col>
      <xdr:colOff>438150</xdr:colOff>
      <xdr:row>3</xdr:row>
      <xdr:rowOff>164154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ABEA6AD8-E1B8-4137-A5AE-9C5F57258D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49007" y="76200"/>
          <a:ext cx="1899968" cy="8880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1835729</xdr:colOff>
      <xdr:row>0</xdr:row>
      <xdr:rowOff>77932</xdr:rowOff>
    </xdr:from>
    <xdr:to>
      <xdr:col>4</xdr:col>
      <xdr:colOff>259774</xdr:colOff>
      <xdr:row>5</xdr:row>
      <xdr:rowOff>34636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563F993-F658-403E-B5CF-7F18330CEC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39297" y="77932"/>
          <a:ext cx="1575954" cy="7793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3146958</xdr:colOff>
      <xdr:row>1</xdr:row>
      <xdr:rowOff>32357</xdr:rowOff>
    </xdr:from>
    <xdr:to>
      <xdr:col>5</xdr:col>
      <xdr:colOff>207818</xdr:colOff>
      <xdr:row>5</xdr:row>
      <xdr:rowOff>17318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948597-9C1F-4BD4-AC9E-2E1957954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0526" y="196880"/>
          <a:ext cx="1243201" cy="6430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54</xdr:row>
      <xdr:rowOff>137113</xdr:rowOff>
    </xdr:from>
    <xdr:to>
      <xdr:col>3</xdr:col>
      <xdr:colOff>1947113</xdr:colOff>
      <xdr:row>59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51FCB5A-E819-4F2B-8E7E-455485B24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605213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2854648</xdr:colOff>
      <xdr:row>54</xdr:row>
      <xdr:rowOff>87334</xdr:rowOff>
    </xdr:from>
    <xdr:to>
      <xdr:col>4</xdr:col>
      <xdr:colOff>905917</xdr:colOff>
      <xdr:row>59</xdr:row>
      <xdr:rowOff>42660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2C83282-0DD4-48B7-AC73-80DBC12C5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56773" y="10533084"/>
          <a:ext cx="1210394" cy="12094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910429</xdr:colOff>
      <xdr:row>1</xdr:row>
      <xdr:rowOff>95248</xdr:rowOff>
    </xdr:from>
    <xdr:to>
      <xdr:col>5</xdr:col>
      <xdr:colOff>226220</xdr:colOff>
      <xdr:row>6</xdr:row>
      <xdr:rowOff>47329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CD73A7C-0676-4D5F-AAA9-FF49FCEE9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6617" y="285748"/>
          <a:ext cx="2161384" cy="9164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64</xdr:row>
      <xdr:rowOff>222250</xdr:rowOff>
    </xdr:from>
    <xdr:to>
      <xdr:col>3</xdr:col>
      <xdr:colOff>61912</xdr:colOff>
      <xdr:row>69</xdr:row>
      <xdr:rowOff>331788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5C1D6BC-7C20-450F-BF3F-F5D001876A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96325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64</xdr:row>
      <xdr:rowOff>155575</xdr:rowOff>
    </xdr:from>
    <xdr:to>
      <xdr:col>5</xdr:col>
      <xdr:colOff>508001</xdr:colOff>
      <xdr:row>69</xdr:row>
      <xdr:rowOff>303213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505A6F3-DE43-40A1-99DA-F288BABF76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329650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1738312</xdr:colOff>
      <xdr:row>1</xdr:row>
      <xdr:rowOff>28576</xdr:rowOff>
    </xdr:from>
    <xdr:to>
      <xdr:col>3</xdr:col>
      <xdr:colOff>988218</xdr:colOff>
      <xdr:row>5</xdr:row>
      <xdr:rowOff>108991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97BBBFF8-73A7-436D-BFBB-94CC93A85D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9937" y="219076"/>
          <a:ext cx="1464469" cy="84241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_rels/sheet2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45.bin"/></Relationships>
</file>

<file path=xl/worksheets/_rels/sheet2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46.bin"/></Relationships>
</file>

<file path=xl/worksheets/_rels/sheet2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8.xml"/><Relationship Id="rId1" Type="http://schemas.openxmlformats.org/officeDocument/2006/relationships/printerSettings" Target="../printerSettings/printerSettings247.bin"/></Relationships>
</file>

<file path=xl/worksheets/_rels/sheet2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9.xml"/><Relationship Id="rId1" Type="http://schemas.openxmlformats.org/officeDocument/2006/relationships/printerSettings" Target="../printerSettings/printerSettings248.bin"/></Relationships>
</file>

<file path=xl/worksheets/_rels/sheet2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9.bin"/></Relationships>
</file>

<file path=xl/worksheets/_rels/sheet2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50.bin"/></Relationships>
</file>

<file path=xl/worksheets/_rels/sheet2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2.xml"/><Relationship Id="rId1" Type="http://schemas.openxmlformats.org/officeDocument/2006/relationships/printerSettings" Target="../printerSettings/printerSettings251.bin"/></Relationships>
</file>

<file path=xl/worksheets/_rels/sheet2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3.xml"/><Relationship Id="rId1" Type="http://schemas.openxmlformats.org/officeDocument/2006/relationships/printerSettings" Target="../printerSettings/printerSettings252.bin"/></Relationships>
</file>

<file path=xl/worksheets/_rels/sheet2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4.xml"/><Relationship Id="rId1" Type="http://schemas.openxmlformats.org/officeDocument/2006/relationships/printerSettings" Target="../printerSettings/printerSettings253.bin"/></Relationships>
</file>

<file path=xl/worksheets/_rels/sheet2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5.xml"/><Relationship Id="rId1" Type="http://schemas.openxmlformats.org/officeDocument/2006/relationships/printerSettings" Target="../printerSettings/printerSettings254.bin"/></Relationships>
</file>

<file path=xl/worksheets/_rels/sheet2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6.xml"/><Relationship Id="rId1" Type="http://schemas.openxmlformats.org/officeDocument/2006/relationships/printerSettings" Target="../printerSettings/printerSettings255.bin"/></Relationships>
</file>

<file path=xl/worksheets/_rels/sheet2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7.xml"/><Relationship Id="rId1" Type="http://schemas.openxmlformats.org/officeDocument/2006/relationships/printerSettings" Target="../printerSettings/printerSettings256.bin"/></Relationships>
</file>

<file path=xl/worksheets/_rels/sheet2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8.xml"/><Relationship Id="rId1" Type="http://schemas.openxmlformats.org/officeDocument/2006/relationships/printerSettings" Target="../printerSettings/printerSettings257.bin"/></Relationships>
</file>

<file path=xl/worksheets/_rels/sheet2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9.xml"/><Relationship Id="rId1" Type="http://schemas.openxmlformats.org/officeDocument/2006/relationships/printerSettings" Target="../printerSettings/printerSettings258.bin"/></Relationships>
</file>

<file path=xl/worksheets/_rels/sheet2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0.xml"/><Relationship Id="rId1" Type="http://schemas.openxmlformats.org/officeDocument/2006/relationships/printerSettings" Target="../printerSettings/printerSettings259.bin"/></Relationships>
</file>

<file path=xl/worksheets/_rels/sheet2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1.xml"/><Relationship Id="rId1" Type="http://schemas.openxmlformats.org/officeDocument/2006/relationships/printerSettings" Target="../printerSettings/printerSettings260.bin"/></Relationships>
</file>

<file path=xl/worksheets/_rels/sheet2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2.xml"/><Relationship Id="rId1" Type="http://schemas.openxmlformats.org/officeDocument/2006/relationships/printerSettings" Target="../printerSettings/printerSettings261.bin"/></Relationships>
</file>

<file path=xl/worksheets/_rels/sheet2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3.xml"/><Relationship Id="rId1" Type="http://schemas.openxmlformats.org/officeDocument/2006/relationships/printerSettings" Target="../printerSettings/printerSettings262.bin"/></Relationships>
</file>

<file path=xl/worksheets/_rels/sheet2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4.xml"/><Relationship Id="rId1" Type="http://schemas.openxmlformats.org/officeDocument/2006/relationships/printerSettings" Target="../printerSettings/printerSettings263.bin"/></Relationships>
</file>

<file path=xl/worksheets/_rels/sheet2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5.xml"/><Relationship Id="rId1" Type="http://schemas.openxmlformats.org/officeDocument/2006/relationships/printerSettings" Target="../printerSettings/printerSettings264.bin"/></Relationships>
</file>

<file path=xl/worksheets/_rels/sheet2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6.xml"/><Relationship Id="rId1" Type="http://schemas.openxmlformats.org/officeDocument/2006/relationships/printerSettings" Target="../printerSettings/printerSettings265.bin"/></Relationships>
</file>

<file path=xl/worksheets/_rels/sheet2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7.xml"/><Relationship Id="rId1" Type="http://schemas.openxmlformats.org/officeDocument/2006/relationships/printerSettings" Target="../printerSettings/printerSettings266.bin"/></Relationships>
</file>

<file path=xl/worksheets/_rels/sheet2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8.xml"/><Relationship Id="rId1" Type="http://schemas.openxmlformats.org/officeDocument/2006/relationships/printerSettings" Target="../printerSettings/printerSettings267.bin"/></Relationships>
</file>

<file path=xl/worksheets/_rels/sheet2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9.xml"/><Relationship Id="rId1" Type="http://schemas.openxmlformats.org/officeDocument/2006/relationships/printerSettings" Target="../printerSettings/printerSettings268.bin"/></Relationships>
</file>

<file path=xl/worksheets/_rels/sheet2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0.xml"/><Relationship Id="rId1" Type="http://schemas.openxmlformats.org/officeDocument/2006/relationships/printerSettings" Target="../printerSettings/printerSettings269.bin"/></Relationships>
</file>

<file path=xl/worksheets/_rels/sheet2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1.xml"/><Relationship Id="rId1" Type="http://schemas.openxmlformats.org/officeDocument/2006/relationships/printerSettings" Target="../printerSettings/printerSettings270.bin"/></Relationships>
</file>

<file path=xl/worksheets/_rels/sheet2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2.xml"/><Relationship Id="rId1" Type="http://schemas.openxmlformats.org/officeDocument/2006/relationships/printerSettings" Target="../printerSettings/printerSettings271.bin"/></Relationships>
</file>

<file path=xl/worksheets/_rels/sheet2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3.xml"/><Relationship Id="rId1" Type="http://schemas.openxmlformats.org/officeDocument/2006/relationships/printerSettings" Target="../printerSettings/printerSettings272.bin"/></Relationships>
</file>

<file path=xl/worksheets/_rels/sheet2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4.xml"/><Relationship Id="rId1" Type="http://schemas.openxmlformats.org/officeDocument/2006/relationships/printerSettings" Target="../printerSettings/printerSettings273.bin"/></Relationships>
</file>

<file path=xl/worksheets/_rels/sheet2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5.xml"/><Relationship Id="rId1" Type="http://schemas.openxmlformats.org/officeDocument/2006/relationships/printerSettings" Target="../printerSettings/printerSettings274.bin"/></Relationships>
</file>

<file path=xl/worksheets/_rels/sheet2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6.xml"/><Relationship Id="rId1" Type="http://schemas.openxmlformats.org/officeDocument/2006/relationships/printerSettings" Target="../printerSettings/printerSettings275.bin"/></Relationships>
</file>

<file path=xl/worksheets/_rels/sheet2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7.xml"/><Relationship Id="rId1" Type="http://schemas.openxmlformats.org/officeDocument/2006/relationships/printerSettings" Target="../printerSettings/printerSettings276.bin"/></Relationships>
</file>

<file path=xl/worksheets/_rels/sheet2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8.xml"/><Relationship Id="rId1" Type="http://schemas.openxmlformats.org/officeDocument/2006/relationships/printerSettings" Target="../printerSettings/printerSettings277.bin"/></Relationships>
</file>

<file path=xl/worksheets/_rels/sheet2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9.xml"/><Relationship Id="rId1" Type="http://schemas.openxmlformats.org/officeDocument/2006/relationships/printerSettings" Target="../printerSettings/printerSettings278.bin"/></Relationships>
</file>

<file path=xl/worksheets/_rels/sheet2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0.xml"/><Relationship Id="rId1" Type="http://schemas.openxmlformats.org/officeDocument/2006/relationships/printerSettings" Target="../printerSettings/printerSettings279.bin"/></Relationships>
</file>

<file path=xl/worksheets/_rels/sheet2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1.xml"/><Relationship Id="rId1" Type="http://schemas.openxmlformats.org/officeDocument/2006/relationships/printerSettings" Target="../printerSettings/printerSettings280.bin"/></Relationships>
</file>

<file path=xl/worksheets/_rels/sheet2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2.xml"/><Relationship Id="rId1" Type="http://schemas.openxmlformats.org/officeDocument/2006/relationships/printerSettings" Target="../printerSettings/printerSettings281.bin"/></Relationships>
</file>

<file path=xl/worksheets/_rels/sheet2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3.xml"/><Relationship Id="rId1" Type="http://schemas.openxmlformats.org/officeDocument/2006/relationships/printerSettings" Target="../printerSettings/printerSettings282.bin"/></Relationships>
</file>

<file path=xl/worksheets/_rels/sheet2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4.xml"/><Relationship Id="rId1" Type="http://schemas.openxmlformats.org/officeDocument/2006/relationships/printerSettings" Target="../printerSettings/printerSettings283.bin"/></Relationships>
</file>

<file path=xl/worksheets/_rels/sheet2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5.xml"/><Relationship Id="rId1" Type="http://schemas.openxmlformats.org/officeDocument/2006/relationships/printerSettings" Target="../printerSettings/printerSettings284.bin"/></Relationships>
</file>

<file path=xl/worksheets/_rels/sheet2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6.xml"/><Relationship Id="rId1" Type="http://schemas.openxmlformats.org/officeDocument/2006/relationships/printerSettings" Target="../printerSettings/printerSettings285.bin"/></Relationships>
</file>

<file path=xl/worksheets/_rels/sheet2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7.xml"/><Relationship Id="rId1" Type="http://schemas.openxmlformats.org/officeDocument/2006/relationships/printerSettings" Target="../printerSettings/printerSettings286.bin"/></Relationships>
</file>

<file path=xl/worksheets/_rels/sheet2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8.xml"/><Relationship Id="rId1" Type="http://schemas.openxmlformats.org/officeDocument/2006/relationships/printerSettings" Target="../printerSettings/printerSettings287.bin"/></Relationships>
</file>

<file path=xl/worksheets/_rels/sheet2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9.xml"/><Relationship Id="rId1" Type="http://schemas.openxmlformats.org/officeDocument/2006/relationships/printerSettings" Target="../printerSettings/printerSettings288.bin"/></Relationships>
</file>

<file path=xl/worksheets/_rels/sheet2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0.xml"/><Relationship Id="rId1" Type="http://schemas.openxmlformats.org/officeDocument/2006/relationships/printerSettings" Target="../printerSettings/printerSettings289.bin"/></Relationships>
</file>

<file path=xl/worksheets/_rels/sheet2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1.xml"/><Relationship Id="rId1" Type="http://schemas.openxmlformats.org/officeDocument/2006/relationships/printerSettings" Target="../printerSettings/printerSettings290.bin"/></Relationships>
</file>

<file path=xl/worksheets/_rels/sheet2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2.xml"/><Relationship Id="rId1" Type="http://schemas.openxmlformats.org/officeDocument/2006/relationships/printerSettings" Target="../printerSettings/printerSettings291.bin"/></Relationships>
</file>

<file path=xl/worksheets/_rels/sheet2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3.xml"/><Relationship Id="rId1" Type="http://schemas.openxmlformats.org/officeDocument/2006/relationships/printerSettings" Target="../printerSettings/printerSettings292.bin"/></Relationships>
</file>

<file path=xl/worksheets/_rels/sheet2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4.xml"/><Relationship Id="rId1" Type="http://schemas.openxmlformats.org/officeDocument/2006/relationships/printerSettings" Target="../printerSettings/printerSettings293.bin"/></Relationships>
</file>

<file path=xl/worksheets/_rels/sheet2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5.xml"/><Relationship Id="rId1" Type="http://schemas.openxmlformats.org/officeDocument/2006/relationships/printerSettings" Target="../printerSettings/printerSettings294.bin"/></Relationships>
</file>

<file path=xl/worksheets/_rels/sheet2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6.xml"/><Relationship Id="rId1" Type="http://schemas.openxmlformats.org/officeDocument/2006/relationships/printerSettings" Target="../printerSettings/printerSettings295.bin"/></Relationships>
</file>

<file path=xl/worksheets/_rels/sheet2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7.xml"/><Relationship Id="rId1" Type="http://schemas.openxmlformats.org/officeDocument/2006/relationships/printerSettings" Target="../printerSettings/printerSettings296.bin"/></Relationships>
</file>

<file path=xl/worksheets/_rels/sheet2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8.xml"/><Relationship Id="rId1" Type="http://schemas.openxmlformats.org/officeDocument/2006/relationships/printerSettings" Target="../printerSettings/printerSettings297.bin"/></Relationships>
</file>

<file path=xl/worksheets/_rels/sheet2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9.xml"/><Relationship Id="rId1" Type="http://schemas.openxmlformats.org/officeDocument/2006/relationships/printerSettings" Target="../printerSettings/printerSettings298.bin"/></Relationships>
</file>

<file path=xl/worksheets/_rels/sheet3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0.xml"/><Relationship Id="rId1" Type="http://schemas.openxmlformats.org/officeDocument/2006/relationships/printerSettings" Target="../printerSettings/printerSettings299.bin"/></Relationships>
</file>

<file path=xl/worksheets/_rels/sheet3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1.xml"/><Relationship Id="rId1" Type="http://schemas.openxmlformats.org/officeDocument/2006/relationships/printerSettings" Target="../printerSettings/printerSettings300.bin"/></Relationships>
</file>

<file path=xl/worksheets/_rels/sheet3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2.xml"/><Relationship Id="rId1" Type="http://schemas.openxmlformats.org/officeDocument/2006/relationships/printerSettings" Target="../printerSettings/printerSettings301.bin"/></Relationships>
</file>

<file path=xl/worksheets/_rels/sheet3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3.xml"/><Relationship Id="rId1" Type="http://schemas.openxmlformats.org/officeDocument/2006/relationships/printerSettings" Target="../printerSettings/printerSettings302.bin"/></Relationships>
</file>

<file path=xl/worksheets/_rels/sheet3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4.xml"/><Relationship Id="rId1" Type="http://schemas.openxmlformats.org/officeDocument/2006/relationships/printerSettings" Target="../printerSettings/printerSettings303.bin"/></Relationships>
</file>

<file path=xl/worksheets/_rels/sheet3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5.xml"/><Relationship Id="rId1" Type="http://schemas.openxmlformats.org/officeDocument/2006/relationships/printerSettings" Target="../printerSettings/printerSettings304.bin"/></Relationships>
</file>

<file path=xl/worksheets/_rels/sheet3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6.xml"/><Relationship Id="rId1" Type="http://schemas.openxmlformats.org/officeDocument/2006/relationships/printerSettings" Target="../printerSettings/printerSettings305.bin"/></Relationships>
</file>

<file path=xl/worksheets/_rels/sheet3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7.xml"/><Relationship Id="rId1" Type="http://schemas.openxmlformats.org/officeDocument/2006/relationships/printerSettings" Target="../printerSettings/printerSettings306.bin"/></Relationships>
</file>

<file path=xl/worksheets/_rels/sheet3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8.xml"/><Relationship Id="rId1" Type="http://schemas.openxmlformats.org/officeDocument/2006/relationships/printerSettings" Target="../printerSettings/printerSettings307.bin"/></Relationships>
</file>

<file path=xl/worksheets/_rels/sheet3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9.xml"/><Relationship Id="rId1" Type="http://schemas.openxmlformats.org/officeDocument/2006/relationships/printerSettings" Target="../printerSettings/printerSettings308.bin"/></Relationships>
</file>

<file path=xl/worksheets/_rels/sheet3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0.xml"/><Relationship Id="rId1" Type="http://schemas.openxmlformats.org/officeDocument/2006/relationships/printerSettings" Target="../printerSettings/printerSettings309.bin"/></Relationships>
</file>

<file path=xl/worksheets/_rels/sheet3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1.xml"/><Relationship Id="rId1" Type="http://schemas.openxmlformats.org/officeDocument/2006/relationships/printerSettings" Target="../printerSettings/printerSettings310.bin"/></Relationships>
</file>

<file path=xl/worksheets/_rels/sheet3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2.xml"/><Relationship Id="rId1" Type="http://schemas.openxmlformats.org/officeDocument/2006/relationships/printerSettings" Target="../printerSettings/printerSettings311.bin"/></Relationships>
</file>

<file path=xl/worksheets/_rels/sheet3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3.xml"/><Relationship Id="rId1" Type="http://schemas.openxmlformats.org/officeDocument/2006/relationships/printerSettings" Target="../printerSettings/printerSettings312.bin"/></Relationships>
</file>

<file path=xl/worksheets/_rels/sheet3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4.xml"/><Relationship Id="rId1" Type="http://schemas.openxmlformats.org/officeDocument/2006/relationships/printerSettings" Target="../printerSettings/printerSettings313.bin"/></Relationships>
</file>

<file path=xl/worksheets/_rels/sheet3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5.xml"/><Relationship Id="rId1" Type="http://schemas.openxmlformats.org/officeDocument/2006/relationships/printerSettings" Target="../printerSettings/printerSettings314.bin"/></Relationships>
</file>

<file path=xl/worksheets/_rels/sheet3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6.xml"/><Relationship Id="rId1" Type="http://schemas.openxmlformats.org/officeDocument/2006/relationships/printerSettings" Target="../printerSettings/printerSettings315.bin"/></Relationships>
</file>

<file path=xl/worksheets/_rels/sheet3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7.xml"/><Relationship Id="rId1" Type="http://schemas.openxmlformats.org/officeDocument/2006/relationships/printerSettings" Target="../printerSettings/printerSettings316.bin"/></Relationships>
</file>

<file path=xl/worksheets/_rels/sheet3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8.xml"/><Relationship Id="rId1" Type="http://schemas.openxmlformats.org/officeDocument/2006/relationships/printerSettings" Target="../printerSettings/printerSettings317.bin"/></Relationships>
</file>

<file path=xl/worksheets/_rels/sheet3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9.xml"/><Relationship Id="rId1" Type="http://schemas.openxmlformats.org/officeDocument/2006/relationships/printerSettings" Target="../printerSettings/printerSettings318.bin"/></Relationships>
</file>

<file path=xl/worksheets/_rels/sheet3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0.xml"/><Relationship Id="rId1" Type="http://schemas.openxmlformats.org/officeDocument/2006/relationships/printerSettings" Target="../printerSettings/printerSettings319.bin"/></Relationships>
</file>

<file path=xl/worksheets/_rels/sheet3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1.xml"/><Relationship Id="rId1" Type="http://schemas.openxmlformats.org/officeDocument/2006/relationships/printerSettings" Target="../printerSettings/printerSettings320.bin"/></Relationships>
</file>

<file path=xl/worksheets/_rels/sheet3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2.xml"/><Relationship Id="rId1" Type="http://schemas.openxmlformats.org/officeDocument/2006/relationships/printerSettings" Target="../printerSettings/printerSettings321.bin"/></Relationships>
</file>

<file path=xl/worksheets/_rels/sheet3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3.xml"/><Relationship Id="rId1" Type="http://schemas.openxmlformats.org/officeDocument/2006/relationships/printerSettings" Target="../printerSettings/printerSettings322.bin"/></Relationships>
</file>

<file path=xl/worksheets/_rels/sheet3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4.xml"/><Relationship Id="rId1" Type="http://schemas.openxmlformats.org/officeDocument/2006/relationships/printerSettings" Target="../printerSettings/printerSettings323.bin"/></Relationships>
</file>

<file path=xl/worksheets/_rels/sheet3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5.xml"/><Relationship Id="rId1" Type="http://schemas.openxmlformats.org/officeDocument/2006/relationships/printerSettings" Target="../printerSettings/printerSettings324.bin"/></Relationships>
</file>

<file path=xl/worksheets/_rels/sheet3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6.xml"/><Relationship Id="rId1" Type="http://schemas.openxmlformats.org/officeDocument/2006/relationships/printerSettings" Target="../printerSettings/printerSettings325.bin"/></Relationships>
</file>

<file path=xl/worksheets/_rels/sheet3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7.xml"/><Relationship Id="rId1" Type="http://schemas.openxmlformats.org/officeDocument/2006/relationships/printerSettings" Target="../printerSettings/printerSettings326.bin"/></Relationships>
</file>

<file path=xl/worksheets/_rels/sheet3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8.xml"/><Relationship Id="rId1" Type="http://schemas.openxmlformats.org/officeDocument/2006/relationships/printerSettings" Target="../printerSettings/printerSettings327.bin"/></Relationships>
</file>

<file path=xl/worksheets/_rels/sheet3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9.xml"/><Relationship Id="rId1" Type="http://schemas.openxmlformats.org/officeDocument/2006/relationships/printerSettings" Target="../printerSettings/printerSettings328.bin"/></Relationships>
</file>

<file path=xl/worksheets/_rels/sheet3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0.xml"/><Relationship Id="rId1" Type="http://schemas.openxmlformats.org/officeDocument/2006/relationships/printerSettings" Target="../printerSettings/printerSettings329.bin"/></Relationships>
</file>

<file path=xl/worksheets/_rels/sheet3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1.xml"/><Relationship Id="rId1" Type="http://schemas.openxmlformats.org/officeDocument/2006/relationships/printerSettings" Target="../printerSettings/printerSettings330.bin"/></Relationships>
</file>

<file path=xl/worksheets/_rels/sheet3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2.xml"/><Relationship Id="rId1" Type="http://schemas.openxmlformats.org/officeDocument/2006/relationships/printerSettings" Target="../printerSettings/printerSettings331.bin"/></Relationships>
</file>

<file path=xl/worksheets/_rels/sheet3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3.xml"/><Relationship Id="rId1" Type="http://schemas.openxmlformats.org/officeDocument/2006/relationships/printerSettings" Target="../printerSettings/printerSettings332.bin"/></Relationships>
</file>

<file path=xl/worksheets/_rels/sheet3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4.xml"/><Relationship Id="rId1" Type="http://schemas.openxmlformats.org/officeDocument/2006/relationships/printerSettings" Target="../printerSettings/printerSettings333.bin"/></Relationships>
</file>

<file path=xl/worksheets/_rels/sheet3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5.xml"/><Relationship Id="rId1" Type="http://schemas.openxmlformats.org/officeDocument/2006/relationships/printerSettings" Target="../printerSettings/printerSettings334.bin"/></Relationships>
</file>

<file path=xl/worksheets/_rels/sheet3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6.xml"/><Relationship Id="rId1" Type="http://schemas.openxmlformats.org/officeDocument/2006/relationships/printerSettings" Target="../printerSettings/printerSettings335.bin"/></Relationships>
</file>

<file path=xl/worksheets/_rels/sheet3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7.xml"/><Relationship Id="rId1" Type="http://schemas.openxmlformats.org/officeDocument/2006/relationships/printerSettings" Target="../printerSettings/printerSettings336.bin"/></Relationships>
</file>

<file path=xl/worksheets/_rels/sheet3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8.xml"/><Relationship Id="rId1" Type="http://schemas.openxmlformats.org/officeDocument/2006/relationships/printerSettings" Target="../printerSettings/printerSettings337.bin"/></Relationships>
</file>

<file path=xl/worksheets/_rels/sheet3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9.xml"/><Relationship Id="rId1" Type="http://schemas.openxmlformats.org/officeDocument/2006/relationships/printerSettings" Target="../printerSettings/printerSettings338.bin"/></Relationships>
</file>

<file path=xl/worksheets/_rels/sheet3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0.xml"/><Relationship Id="rId1" Type="http://schemas.openxmlformats.org/officeDocument/2006/relationships/printerSettings" Target="../printerSettings/printerSettings339.bin"/></Relationships>
</file>

<file path=xl/worksheets/_rels/sheet3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1.xml"/><Relationship Id="rId1" Type="http://schemas.openxmlformats.org/officeDocument/2006/relationships/printerSettings" Target="../printerSettings/printerSettings340.bin"/></Relationships>
</file>

<file path=xl/worksheets/_rels/sheet3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2.xml"/><Relationship Id="rId1" Type="http://schemas.openxmlformats.org/officeDocument/2006/relationships/printerSettings" Target="../printerSettings/printerSettings341.bin"/></Relationships>
</file>

<file path=xl/worksheets/_rels/sheet3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3.xml"/><Relationship Id="rId1" Type="http://schemas.openxmlformats.org/officeDocument/2006/relationships/printerSettings" Target="../printerSettings/printerSettings342.bin"/></Relationships>
</file>

<file path=xl/worksheets/_rels/sheet3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4.xml"/><Relationship Id="rId1" Type="http://schemas.openxmlformats.org/officeDocument/2006/relationships/printerSettings" Target="../printerSettings/printerSettings343.bin"/></Relationships>
</file>

<file path=xl/worksheets/_rels/sheet3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5.xml"/><Relationship Id="rId1" Type="http://schemas.openxmlformats.org/officeDocument/2006/relationships/printerSettings" Target="../printerSettings/printerSettings344.bin"/></Relationships>
</file>

<file path=xl/worksheets/_rels/sheet3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6.xml"/><Relationship Id="rId1" Type="http://schemas.openxmlformats.org/officeDocument/2006/relationships/printerSettings" Target="../printerSettings/printerSettings345.bin"/></Relationships>
</file>

<file path=xl/worksheets/_rels/sheet3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7.xml"/><Relationship Id="rId1" Type="http://schemas.openxmlformats.org/officeDocument/2006/relationships/printerSettings" Target="../printerSettings/printerSettings346.bin"/></Relationships>
</file>

<file path=xl/worksheets/_rels/sheet3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8.xml"/><Relationship Id="rId1" Type="http://schemas.openxmlformats.org/officeDocument/2006/relationships/printerSettings" Target="../printerSettings/printerSettings347.bin"/></Relationships>
</file>

<file path=xl/worksheets/_rels/sheet3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9.xml"/><Relationship Id="rId1" Type="http://schemas.openxmlformats.org/officeDocument/2006/relationships/printerSettings" Target="../printerSettings/printerSettings34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443" t="s">
        <v>0</v>
      </c>
      <c r="C6" s="1443"/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  <c r="O6" s="1443"/>
      <c r="P6" s="1443"/>
    </row>
    <row r="7" spans="1:16" x14ac:dyDescent="0.25">
      <c r="B7" s="1443" t="s">
        <v>1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</row>
    <row r="8" spans="1:16" x14ac:dyDescent="0.25">
      <c r="B8" s="1444" t="s">
        <v>2</v>
      </c>
      <c r="C8" s="1444"/>
      <c r="D8" s="1444"/>
      <c r="E8" s="1444"/>
      <c r="F8" s="1444"/>
      <c r="G8" s="1444"/>
      <c r="H8" s="1444"/>
      <c r="I8" s="1444"/>
      <c r="J8" s="1444"/>
      <c r="K8" s="1444"/>
      <c r="L8" s="1444"/>
      <c r="M8" s="1444"/>
      <c r="N8" s="1444"/>
      <c r="O8" s="1444"/>
      <c r="P8" s="1444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443" t="s">
        <v>3</v>
      </c>
      <c r="C10" s="1443"/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  <c r="P10" s="1443"/>
    </row>
    <row r="11" spans="1:16" x14ac:dyDescent="0.25">
      <c r="B11" s="1443" t="s">
        <v>4</v>
      </c>
      <c r="C11" s="1443"/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</row>
    <row r="12" spans="1:16" x14ac:dyDescent="0.25">
      <c r="B12" s="1442" t="s">
        <v>5</v>
      </c>
      <c r="C12" s="1442"/>
      <c r="D12" s="1442"/>
      <c r="E12" s="1442"/>
      <c r="F12" s="1442"/>
      <c r="G12" s="1442"/>
      <c r="H12" s="1442"/>
      <c r="I12" s="1442"/>
      <c r="J12" s="1442"/>
      <c r="K12" s="1442"/>
      <c r="L12" s="1442"/>
      <c r="M12" s="1442"/>
      <c r="N12" s="1442"/>
      <c r="O12" s="1442"/>
      <c r="P12" s="1442"/>
    </row>
    <row r="14" spans="1:16" x14ac:dyDescent="0.25">
      <c r="A14" s="1446" t="s">
        <v>6</v>
      </c>
      <c r="B14" s="1447" t="s">
        <v>7</v>
      </c>
      <c r="C14" s="1447" t="s">
        <v>8</v>
      </c>
      <c r="D14" s="1447" t="s">
        <v>9</v>
      </c>
      <c r="E14" s="1447" t="s">
        <v>10</v>
      </c>
      <c r="F14" s="1451" t="s">
        <v>11</v>
      </c>
      <c r="G14" s="1447" t="s">
        <v>11</v>
      </c>
      <c r="H14" s="3" t="s">
        <v>12</v>
      </c>
      <c r="I14" s="1450" t="s">
        <v>13</v>
      </c>
      <c r="J14" s="1447" t="s">
        <v>14</v>
      </c>
      <c r="K14" s="1447" t="s">
        <v>15</v>
      </c>
      <c r="L14" s="1447" t="s">
        <v>16</v>
      </c>
      <c r="M14" s="1447" t="s">
        <v>17</v>
      </c>
      <c r="N14" s="1447" t="s">
        <v>18</v>
      </c>
      <c r="O14" s="1447" t="s">
        <v>19</v>
      </c>
      <c r="P14" s="1448" t="s">
        <v>20</v>
      </c>
    </row>
    <row r="15" spans="1:16" x14ac:dyDescent="0.25">
      <c r="A15" s="1446"/>
      <c r="B15" s="1447"/>
      <c r="C15" s="1447"/>
      <c r="D15" s="1447"/>
      <c r="E15" s="1447"/>
      <c r="F15" s="1451"/>
      <c r="G15" s="1447"/>
      <c r="H15" s="4" t="s">
        <v>21</v>
      </c>
      <c r="I15" s="1450"/>
      <c r="J15" s="1447"/>
      <c r="K15" s="1447"/>
      <c r="L15" s="1447"/>
      <c r="M15" s="1447"/>
      <c r="N15" s="1447"/>
      <c r="O15" s="1447"/>
      <c r="P15" s="1448"/>
    </row>
    <row r="17" spans="1:16" x14ac:dyDescent="0.25">
      <c r="A17" s="6">
        <v>1</v>
      </c>
      <c r="B17" s="7" t="s">
        <v>22</v>
      </c>
      <c r="C17" s="7" t="s">
        <v>23</v>
      </c>
      <c r="D17" s="1449" t="s">
        <v>24</v>
      </c>
      <c r="E17" s="1449"/>
      <c r="F17" s="1449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445" t="s">
        <v>27</v>
      </c>
      <c r="E18" s="1445"/>
      <c r="F18" s="1445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445" t="s">
        <v>30</v>
      </c>
      <c r="E19" s="1445" t="s">
        <v>31</v>
      </c>
      <c r="F19" s="1445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445" t="s">
        <v>27</v>
      </c>
      <c r="E20" s="1445" t="s">
        <v>33</v>
      </c>
      <c r="F20" s="1445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445" t="s">
        <v>36</v>
      </c>
      <c r="E21" s="1445" t="s">
        <v>37</v>
      </c>
      <c r="F21" s="1445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445" t="s">
        <v>40</v>
      </c>
      <c r="E22" s="1445" t="s">
        <v>41</v>
      </c>
      <c r="F22" s="1445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445" t="s">
        <v>44</v>
      </c>
      <c r="E23" s="1445" t="s">
        <v>45</v>
      </c>
      <c r="F23" s="1445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445" t="s">
        <v>49</v>
      </c>
      <c r="E24" s="1445" t="s">
        <v>50</v>
      </c>
      <c r="F24" s="1445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445" t="s">
        <v>53</v>
      </c>
      <c r="E25" s="1445" t="s">
        <v>54</v>
      </c>
      <c r="F25" s="1445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445" t="s">
        <v>56</v>
      </c>
      <c r="E26" s="1445" t="s">
        <v>57</v>
      </c>
      <c r="F26" s="1445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445" t="s">
        <v>53</v>
      </c>
      <c r="E27" s="1445" t="s">
        <v>60</v>
      </c>
      <c r="F27" s="1445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445" t="s">
        <v>63</v>
      </c>
      <c r="E28" s="1445" t="s">
        <v>64</v>
      </c>
      <c r="F28" s="1445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445" t="s">
        <v>67</v>
      </c>
      <c r="E29" s="1445" t="s">
        <v>68</v>
      </c>
      <c r="F29" s="1445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445" t="s">
        <v>71</v>
      </c>
      <c r="E30" s="1445" t="s">
        <v>72</v>
      </c>
      <c r="F30" s="1445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445" t="s">
        <v>75</v>
      </c>
      <c r="E31" s="1445" t="s">
        <v>76</v>
      </c>
      <c r="F31" s="1445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445" t="s">
        <v>78</v>
      </c>
      <c r="E32" s="1445" t="s">
        <v>79</v>
      </c>
      <c r="F32" s="1445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445" t="s">
        <v>82</v>
      </c>
      <c r="E33" s="1445" t="s">
        <v>83</v>
      </c>
      <c r="F33" s="1445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445" t="s">
        <v>85</v>
      </c>
      <c r="E34" s="1445" t="s">
        <v>86</v>
      </c>
      <c r="F34" s="1445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445" t="s">
        <v>89</v>
      </c>
      <c r="E35" s="1445" t="s">
        <v>90</v>
      </c>
      <c r="F35" s="1445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445" t="s">
        <v>92</v>
      </c>
      <c r="E36" s="1445" t="s">
        <v>93</v>
      </c>
      <c r="F36" s="1445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445" t="s">
        <v>71</v>
      </c>
      <c r="E37" s="1445" t="s">
        <v>95</v>
      </c>
      <c r="F37" s="1445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445" t="s">
        <v>97</v>
      </c>
      <c r="E38" s="1445" t="s">
        <v>98</v>
      </c>
      <c r="F38" s="1445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445" t="s">
        <v>92</v>
      </c>
      <c r="E39" s="1445" t="s">
        <v>100</v>
      </c>
      <c r="F39" s="1445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445" t="s">
        <v>102</v>
      </c>
      <c r="E40" s="1445" t="s">
        <v>103</v>
      </c>
      <c r="F40" s="1445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445" t="s">
        <v>105</v>
      </c>
      <c r="E41" s="1445" t="s">
        <v>106</v>
      </c>
      <c r="F41" s="1445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445" t="s">
        <v>105</v>
      </c>
      <c r="E42" s="1445" t="s">
        <v>108</v>
      </c>
      <c r="F42" s="1445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445" t="s">
        <v>105</v>
      </c>
      <c r="E43" s="1445" t="s">
        <v>110</v>
      </c>
      <c r="F43" s="1445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445" t="s">
        <v>112</v>
      </c>
      <c r="E44" s="1445" t="s">
        <v>113</v>
      </c>
      <c r="F44" s="1445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445" t="s">
        <v>78</v>
      </c>
      <c r="E45" s="1445" t="s">
        <v>115</v>
      </c>
      <c r="F45" s="1445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445" t="s">
        <v>117</v>
      </c>
      <c r="E46" s="1445" t="s">
        <v>118</v>
      </c>
      <c r="F46" s="1445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445" t="s">
        <v>120</v>
      </c>
      <c r="E47" s="1445" t="s">
        <v>121</v>
      </c>
      <c r="F47" s="1445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445" t="s">
        <v>49</v>
      </c>
      <c r="E48" s="1445" t="s">
        <v>123</v>
      </c>
      <c r="F48" s="1445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445" t="s">
        <v>125</v>
      </c>
      <c r="E49" s="1445" t="s">
        <v>126</v>
      </c>
      <c r="F49" s="1445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445" t="s">
        <v>105</v>
      </c>
      <c r="E50" s="1445" t="s">
        <v>128</v>
      </c>
      <c r="F50" s="1445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445" t="s">
        <v>102</v>
      </c>
      <c r="E51" s="1445" t="s">
        <v>130</v>
      </c>
      <c r="F51" s="1445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445" t="s">
        <v>132</v>
      </c>
      <c r="E52" s="1445" t="s">
        <v>133</v>
      </c>
      <c r="F52" s="1445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445" t="s">
        <v>117</v>
      </c>
      <c r="E53" s="1445" t="s">
        <v>135</v>
      </c>
      <c r="F53" s="1445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445" t="s">
        <v>85</v>
      </c>
      <c r="E54" s="1445" t="s">
        <v>137</v>
      </c>
      <c r="F54" s="1445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445" t="s">
        <v>139</v>
      </c>
      <c r="E55" s="1445" t="s">
        <v>140</v>
      </c>
      <c r="F55" s="1445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445" t="s">
        <v>142</v>
      </c>
      <c r="E56" s="1445" t="s">
        <v>143</v>
      </c>
      <c r="F56" s="1445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445" t="s">
        <v>145</v>
      </c>
      <c r="E57" s="1445" t="s">
        <v>146</v>
      </c>
      <c r="F57" s="1445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445" t="s">
        <v>148</v>
      </c>
      <c r="E58" s="1445" t="s">
        <v>149</v>
      </c>
      <c r="F58" s="1445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445" t="s">
        <v>151</v>
      </c>
      <c r="E59" s="1445" t="s">
        <v>152</v>
      </c>
      <c r="F59" s="1445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445" t="s">
        <v>154</v>
      </c>
      <c r="E60" s="1445" t="s">
        <v>155</v>
      </c>
      <c r="F60" s="1445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445" t="s">
        <v>157</v>
      </c>
      <c r="E61" s="1445" t="s">
        <v>158</v>
      </c>
      <c r="F61" s="1445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445" t="s">
        <v>160</v>
      </c>
      <c r="E62" s="1445" t="s">
        <v>161</v>
      </c>
      <c r="F62" s="1445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445" t="s">
        <v>163</v>
      </c>
      <c r="E63" s="1445" t="s">
        <v>164</v>
      </c>
      <c r="F63" s="1445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445" t="s">
        <v>92</v>
      </c>
      <c r="E65" s="1445" t="s">
        <v>168</v>
      </c>
      <c r="F65" s="1445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445" t="s">
        <v>105</v>
      </c>
      <c r="E66" s="1445" t="s">
        <v>170</v>
      </c>
      <c r="F66" s="1445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445" t="s">
        <v>40</v>
      </c>
      <c r="E67" s="1445" t="s">
        <v>172</v>
      </c>
      <c r="F67" s="1445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445" t="s">
        <v>92</v>
      </c>
      <c r="E70" s="1445" t="s">
        <v>176</v>
      </c>
      <c r="F70" s="1445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445" t="s">
        <v>178</v>
      </c>
      <c r="E71" s="1445" t="s">
        <v>179</v>
      </c>
      <c r="F71" s="1445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445" t="s">
        <v>181</v>
      </c>
      <c r="E72" s="1445" t="s">
        <v>182</v>
      </c>
      <c r="F72" s="1445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445" t="s">
        <v>184</v>
      </c>
      <c r="E73" s="1445" t="s">
        <v>185</v>
      </c>
      <c r="F73" s="1445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445" t="s">
        <v>187</v>
      </c>
      <c r="E74" s="1445" t="s">
        <v>188</v>
      </c>
      <c r="F74" s="1445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445" t="s">
        <v>190</v>
      </c>
      <c r="E75" s="1445" t="s">
        <v>191</v>
      </c>
      <c r="F75" s="1445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452" t="s">
        <v>92</v>
      </c>
      <c r="E76" s="1452" t="s">
        <v>193</v>
      </c>
      <c r="F76" s="1452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455" t="s">
        <v>194</v>
      </c>
      <c r="C77" s="1455"/>
      <c r="D77" s="1455"/>
      <c r="E77" s="1455"/>
      <c r="F77" s="1455"/>
      <c r="G77" s="1455"/>
      <c r="H77" s="1456" t="e">
        <f ca="1">SUM(H17:H77)</f>
        <v>#VALUE!</v>
      </c>
      <c r="I77" s="1457">
        <v>0</v>
      </c>
      <c r="J77" s="1456" t="e">
        <f ca="1">SUM(J17:J77)</f>
        <v>#VALUE!</v>
      </c>
      <c r="K77" s="1456" t="e">
        <f ca="1">SUM(K17:K77)</f>
        <v>#VALUE!</v>
      </c>
      <c r="L77" s="1456" t="e">
        <f ca="1">SUM(L17:L77)</f>
        <v>#VALUE!</v>
      </c>
      <c r="M77" s="1456">
        <v>68224.509999999995</v>
      </c>
      <c r="N77" s="1456">
        <v>42225.96</v>
      </c>
      <c r="O77" s="1456">
        <v>305460.49</v>
      </c>
      <c r="P77" s="1453">
        <v>2020507.01</v>
      </c>
    </row>
    <row r="78" spans="1:16" x14ac:dyDescent="0.25">
      <c r="B78" s="1455"/>
      <c r="C78" s="1455"/>
      <c r="D78" s="1455"/>
      <c r="E78" s="1455"/>
      <c r="F78" s="1455"/>
      <c r="G78" s="1455"/>
      <c r="H78" s="1456"/>
      <c r="I78" s="1457"/>
      <c r="J78" s="1456"/>
      <c r="K78" s="1456"/>
      <c r="L78" s="1456"/>
      <c r="M78" s="1456"/>
      <c r="N78" s="1456"/>
      <c r="O78" s="1456"/>
      <c r="P78" s="1453"/>
    </row>
    <row r="81" spans="2:15" x14ac:dyDescent="0.25">
      <c r="B81" s="24" t="s">
        <v>195</v>
      </c>
      <c r="C81" s="24"/>
      <c r="M81" s="1443" t="s">
        <v>196</v>
      </c>
      <c r="N81" s="1443"/>
      <c r="O81" s="1443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454" t="s">
        <v>198</v>
      </c>
      <c r="N84" s="1454"/>
      <c r="O84" s="1454"/>
    </row>
    <row r="85" spans="2:15" x14ac:dyDescent="0.25">
      <c r="B85" s="24" t="s">
        <v>199</v>
      </c>
      <c r="C85" s="24"/>
      <c r="M85" s="1443" t="s">
        <v>200</v>
      </c>
      <c r="N85" s="1443"/>
      <c r="O85" s="1443"/>
    </row>
    <row r="86" spans="2:15" x14ac:dyDescent="0.25">
      <c r="B86" s="25" t="s">
        <v>201</v>
      </c>
      <c r="C86" s="25"/>
      <c r="M86" s="1454" t="s">
        <v>202</v>
      </c>
      <c r="N86" s="1454"/>
      <c r="O86" s="1454"/>
    </row>
    <row r="89" spans="2:15" x14ac:dyDescent="0.25">
      <c r="B89" s="1443" t="s">
        <v>203</v>
      </c>
      <c r="C89" s="1443"/>
      <c r="D89" s="1443"/>
      <c r="E89" s="1443"/>
      <c r="F89" s="1443"/>
      <c r="G89" s="1443"/>
      <c r="H89" s="1443"/>
      <c r="I89" s="1443"/>
      <c r="J89" s="1443"/>
      <c r="K89" s="1443"/>
      <c r="L89" s="1443"/>
      <c r="M89" s="1443"/>
      <c r="N89" s="1443"/>
      <c r="O89" s="1443"/>
    </row>
    <row r="92" spans="2:15" x14ac:dyDescent="0.25">
      <c r="B92" s="1454" t="s">
        <v>204</v>
      </c>
      <c r="C92" s="1454"/>
      <c r="D92" s="1454"/>
      <c r="E92" s="1454"/>
      <c r="F92" s="1454"/>
      <c r="G92" s="1454"/>
      <c r="H92" s="1454"/>
      <c r="I92" s="1454"/>
      <c r="J92" s="1454"/>
      <c r="K92" s="1454"/>
      <c r="L92" s="1454"/>
      <c r="M92" s="1454"/>
      <c r="N92" s="1454"/>
      <c r="O92" s="1454"/>
    </row>
    <row r="93" spans="2:15" x14ac:dyDescent="0.25">
      <c r="B93" s="1443" t="s">
        <v>205</v>
      </c>
      <c r="C93" s="1443"/>
      <c r="D93" s="1443"/>
      <c r="E93" s="1443"/>
      <c r="F93" s="1443"/>
      <c r="G93" s="1443"/>
      <c r="H93" s="1443"/>
      <c r="I93" s="1443"/>
      <c r="J93" s="1443"/>
      <c r="K93" s="1443"/>
      <c r="L93" s="1443"/>
      <c r="M93" s="1443"/>
      <c r="N93" s="1443"/>
      <c r="O93" s="1443"/>
    </row>
    <row r="94" spans="2:15" x14ac:dyDescent="0.25">
      <c r="B94" s="1454" t="s">
        <v>206</v>
      </c>
      <c r="C94" s="1454"/>
      <c r="D94" s="1454"/>
      <c r="E94" s="1454"/>
      <c r="F94" s="1454"/>
      <c r="G94" s="1454"/>
      <c r="H94" s="1454"/>
      <c r="I94" s="1454"/>
      <c r="J94" s="1454"/>
      <c r="K94" s="1454"/>
      <c r="L94" s="1454"/>
      <c r="M94" s="1454"/>
      <c r="N94" s="1454"/>
      <c r="O94" s="1454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443" t="s">
        <v>0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</row>
    <row r="8" spans="1:16" x14ac:dyDescent="0.25">
      <c r="B8" s="1443" t="s">
        <v>1</v>
      </c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</row>
    <row r="9" spans="1:16" x14ac:dyDescent="0.25">
      <c r="B9" s="1444" t="s">
        <v>2</v>
      </c>
      <c r="C9" s="1444"/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443" t="s">
        <v>3</v>
      </c>
      <c r="C11" s="1443"/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</row>
    <row r="12" spans="1:16" x14ac:dyDescent="0.25">
      <c r="B12" s="1443" t="s">
        <v>207</v>
      </c>
      <c r="C12" s="1443"/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</row>
    <row r="13" spans="1:16" x14ac:dyDescent="0.25">
      <c r="B13" s="1442" t="s">
        <v>5</v>
      </c>
      <c r="C13" s="1442"/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446" t="s">
        <v>6</v>
      </c>
      <c r="B15" s="1447" t="s">
        <v>7</v>
      </c>
      <c r="C15" s="1447" t="s">
        <v>8</v>
      </c>
      <c r="D15" s="1447" t="s">
        <v>10</v>
      </c>
      <c r="E15" s="1451" t="s">
        <v>11</v>
      </c>
      <c r="F15" s="1447" t="s">
        <v>208</v>
      </c>
      <c r="G15" s="1447" t="s">
        <v>209</v>
      </c>
      <c r="H15" s="3" t="s">
        <v>12</v>
      </c>
      <c r="I15" s="1450" t="s">
        <v>13</v>
      </c>
      <c r="J15" s="1447" t="s">
        <v>14</v>
      </c>
      <c r="K15" s="1447" t="s">
        <v>15</v>
      </c>
      <c r="L15" s="1447" t="s">
        <v>16</v>
      </c>
      <c r="M15" s="1447" t="s">
        <v>17</v>
      </c>
      <c r="N15" s="1447" t="s">
        <v>18</v>
      </c>
      <c r="O15" s="1447" t="s">
        <v>19</v>
      </c>
      <c r="P15" s="1448" t="s">
        <v>20</v>
      </c>
    </row>
    <row r="16" spans="1:16" x14ac:dyDescent="0.25">
      <c r="A16" s="1446"/>
      <c r="B16" s="1447"/>
      <c r="C16" s="1447"/>
      <c r="D16" s="1447"/>
      <c r="E16" s="1451"/>
      <c r="F16" s="1447"/>
      <c r="G16" s="1447"/>
      <c r="H16" s="4" t="s">
        <v>21</v>
      </c>
      <c r="I16" s="1450"/>
      <c r="J16" s="1447"/>
      <c r="K16" s="1447"/>
      <c r="L16" s="1447"/>
      <c r="M16" s="1447"/>
      <c r="N16" s="1447"/>
      <c r="O16" s="1447"/>
      <c r="P16" s="1448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455" t="s">
        <v>194</v>
      </c>
      <c r="C29" s="1455"/>
      <c r="D29" s="1455"/>
      <c r="E29" s="1455"/>
      <c r="F29" s="1455"/>
      <c r="G29" s="1455"/>
      <c r="H29" s="1456">
        <f t="shared" ref="H29:P29" si="0">SUM(H18:H28)</f>
        <v>259500</v>
      </c>
      <c r="I29" s="1457">
        <f t="shared" si="0"/>
        <v>0</v>
      </c>
      <c r="J29" s="1456">
        <f t="shared" si="0"/>
        <v>259500</v>
      </c>
      <c r="K29" s="1456">
        <f t="shared" si="0"/>
        <v>7447.6600000000008</v>
      </c>
      <c r="L29" s="1457">
        <f t="shared" si="0"/>
        <v>442.65</v>
      </c>
      <c r="M29" s="1456">
        <f t="shared" si="0"/>
        <v>7888.8</v>
      </c>
      <c r="N29" s="1456">
        <f t="shared" si="0"/>
        <v>2845</v>
      </c>
      <c r="O29" s="1456">
        <f t="shared" si="0"/>
        <v>18624.11</v>
      </c>
      <c r="P29" s="1453">
        <f t="shared" si="0"/>
        <v>240875.89</v>
      </c>
    </row>
    <row r="30" spans="1:16" x14ac:dyDescent="0.25">
      <c r="B30" s="1455"/>
      <c r="C30" s="1455"/>
      <c r="D30" s="1455"/>
      <c r="E30" s="1455"/>
      <c r="F30" s="1455"/>
      <c r="G30" s="1455"/>
      <c r="H30" s="1456"/>
      <c r="I30" s="1457"/>
      <c r="J30" s="1456"/>
      <c r="K30" s="1456"/>
      <c r="L30" s="1457"/>
      <c r="M30" s="1456"/>
      <c r="N30" s="1456"/>
      <c r="O30" s="1456"/>
      <c r="P30" s="1453"/>
    </row>
    <row r="33" spans="2:15" x14ac:dyDescent="0.25">
      <c r="B33" s="24" t="s">
        <v>195</v>
      </c>
      <c r="C33" s="24"/>
      <c r="M33" s="1443" t="s">
        <v>196</v>
      </c>
      <c r="N33" s="1443"/>
      <c r="O33" s="1443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443" t="s">
        <v>200</v>
      </c>
      <c r="N37" s="1443"/>
      <c r="O37" s="1443"/>
    </row>
    <row r="38" spans="2:15" x14ac:dyDescent="0.25">
      <c r="B38" s="25" t="s">
        <v>201</v>
      </c>
      <c r="C38" s="25"/>
      <c r="M38" s="1454" t="s">
        <v>202</v>
      </c>
      <c r="N38" s="1454"/>
      <c r="O38" s="1454"/>
    </row>
    <row r="41" spans="2:15" x14ac:dyDescent="0.25">
      <c r="B41" s="1443" t="s">
        <v>203</v>
      </c>
      <c r="C41" s="1443"/>
      <c r="D41" s="1443"/>
      <c r="E41" s="1443"/>
      <c r="F41" s="1443"/>
      <c r="G41" s="1443"/>
      <c r="H41" s="1443"/>
      <c r="I41" s="1443"/>
      <c r="J41" s="1443"/>
      <c r="K41" s="1443"/>
      <c r="L41" s="1443"/>
      <c r="M41" s="1443"/>
      <c r="N41" s="1443"/>
      <c r="O41" s="1443"/>
    </row>
    <row r="44" spans="2:15" x14ac:dyDescent="0.25">
      <c r="B44" s="1454" t="s">
        <v>204</v>
      </c>
      <c r="C44" s="1454"/>
      <c r="D44" s="1454"/>
      <c r="E44" s="1454"/>
      <c r="F44" s="1454"/>
      <c r="G44" s="1454"/>
      <c r="H44" s="1454"/>
      <c r="I44" s="1454"/>
      <c r="J44" s="1454"/>
      <c r="K44" s="1454"/>
      <c r="L44" s="1454"/>
      <c r="M44" s="1454"/>
      <c r="N44" s="1454"/>
      <c r="O44" s="1454"/>
    </row>
    <row r="45" spans="2:15" x14ac:dyDescent="0.25">
      <c r="B45" s="1443" t="s">
        <v>205</v>
      </c>
      <c r="C45" s="1443"/>
      <c r="D45" s="1443"/>
      <c r="E45" s="1443"/>
      <c r="F45" s="1443"/>
      <c r="G45" s="1443"/>
      <c r="H45" s="1443"/>
      <c r="I45" s="1443"/>
      <c r="J45" s="1443"/>
      <c r="K45" s="1443"/>
      <c r="L45" s="1443"/>
      <c r="M45" s="1443"/>
      <c r="N45" s="1443"/>
      <c r="O45" s="1443"/>
    </row>
    <row r="46" spans="2:15" x14ac:dyDescent="0.25">
      <c r="B46" s="1454" t="s">
        <v>206</v>
      </c>
      <c r="C46" s="1454"/>
      <c r="D46" s="1454"/>
      <c r="E46" s="1454"/>
      <c r="F46" s="1454"/>
      <c r="G46" s="1454"/>
      <c r="H46" s="1454"/>
      <c r="I46" s="1454"/>
      <c r="J46" s="1454"/>
      <c r="K46" s="1454"/>
      <c r="L46" s="1454"/>
      <c r="M46" s="1454"/>
      <c r="N46" s="1454"/>
      <c r="O46" s="1454"/>
    </row>
  </sheetData>
  <sheetProtection selectLockedCells="1" selectUnlockedCells="1"/>
  <mergeCells count="38"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43" t="s">
        <v>0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</row>
    <row r="8" spans="1:14" x14ac:dyDescent="0.25">
      <c r="B8" s="1443" t="s">
        <v>1</v>
      </c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</row>
    <row r="9" spans="1:14" x14ac:dyDescent="0.25">
      <c r="B9" s="1444" t="s">
        <v>2</v>
      </c>
      <c r="C9" s="1444"/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443" t="s">
        <v>3</v>
      </c>
      <c r="C11" s="1443"/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</row>
    <row r="12" spans="1:14" x14ac:dyDescent="0.25">
      <c r="B12" s="1443" t="s">
        <v>233</v>
      </c>
      <c r="C12" s="1443"/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</row>
    <row r="13" spans="1:14" x14ac:dyDescent="0.25">
      <c r="B13" s="1442" t="s">
        <v>5</v>
      </c>
      <c r="C13" s="1442"/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46" t="s">
        <v>6</v>
      </c>
      <c r="B15" s="1447" t="s">
        <v>7</v>
      </c>
      <c r="C15" s="1447" t="s">
        <v>8</v>
      </c>
      <c r="D15" s="1447" t="s">
        <v>10</v>
      </c>
      <c r="E15" s="1451" t="s">
        <v>11</v>
      </c>
      <c r="F15" s="37" t="s">
        <v>12</v>
      </c>
      <c r="G15" s="1450" t="s">
        <v>13</v>
      </c>
      <c r="H15" s="1447" t="s">
        <v>14</v>
      </c>
      <c r="I15" s="1447" t="s">
        <v>15</v>
      </c>
      <c r="J15" s="1447" t="s">
        <v>16</v>
      </c>
      <c r="K15" s="1447" t="s">
        <v>17</v>
      </c>
      <c r="L15" s="1447" t="s">
        <v>18</v>
      </c>
      <c r="M15" s="1447" t="s">
        <v>19</v>
      </c>
      <c r="N15" s="1448" t="s">
        <v>20</v>
      </c>
    </row>
    <row r="16" spans="1:14" x14ac:dyDescent="0.25">
      <c r="A16" s="1446"/>
      <c r="B16" s="1447"/>
      <c r="C16" s="1447"/>
      <c r="D16" s="1447"/>
      <c r="E16" s="1451"/>
      <c r="F16" s="38" t="s">
        <v>21</v>
      </c>
      <c r="G16" s="1450"/>
      <c r="H16" s="1447"/>
      <c r="I16" s="1447"/>
      <c r="J16" s="1447"/>
      <c r="K16" s="1447"/>
      <c r="L16" s="1447"/>
      <c r="M16" s="1447"/>
      <c r="N16" s="1448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455" t="s">
        <v>194</v>
      </c>
      <c r="C20" s="1455"/>
      <c r="D20" s="1455"/>
      <c r="E20" s="1455"/>
      <c r="F20" s="1456">
        <v>35000</v>
      </c>
      <c r="G20" s="1457">
        <v>0</v>
      </c>
      <c r="H20" s="1456">
        <v>35000</v>
      </c>
      <c r="I20" s="1457">
        <v>0</v>
      </c>
      <c r="J20" s="1457">
        <v>0</v>
      </c>
      <c r="K20" s="1457">
        <v>0</v>
      </c>
      <c r="L20" s="1457">
        <v>0</v>
      </c>
      <c r="M20" s="1457">
        <v>0</v>
      </c>
      <c r="N20" s="1453">
        <v>35000</v>
      </c>
    </row>
    <row r="21" spans="1:14" x14ac:dyDescent="0.25">
      <c r="B21" s="1455"/>
      <c r="C21" s="1455"/>
      <c r="D21" s="1455"/>
      <c r="E21" s="1455"/>
      <c r="F21" s="1456"/>
      <c r="G21" s="1457"/>
      <c r="H21" s="1456"/>
      <c r="I21" s="1457"/>
      <c r="J21" s="1457"/>
      <c r="K21" s="1457"/>
      <c r="L21" s="1457"/>
      <c r="M21" s="1457"/>
      <c r="N21" s="1453"/>
    </row>
    <row r="24" spans="1:14" x14ac:dyDescent="0.25">
      <c r="B24" s="1443" t="s">
        <v>195</v>
      </c>
      <c r="C24" s="1443"/>
      <c r="L24" s="1443" t="s">
        <v>196</v>
      </c>
      <c r="M24" s="1443"/>
      <c r="N24" s="1443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443" t="s">
        <v>199</v>
      </c>
      <c r="C28" s="1443"/>
      <c r="L28" s="1443" t="s">
        <v>200</v>
      </c>
      <c r="M28" s="1443"/>
      <c r="N28" s="1443"/>
    </row>
    <row r="29" spans="1:14" x14ac:dyDescent="0.25">
      <c r="B29" s="1454" t="s">
        <v>201</v>
      </c>
      <c r="C29" s="1454"/>
      <c r="L29" s="1454" t="s">
        <v>202</v>
      </c>
      <c r="M29" s="1454"/>
      <c r="N29" s="1454"/>
    </row>
    <row r="31" spans="1:14" x14ac:dyDescent="0.25">
      <c r="A31" s="1443" t="s">
        <v>203</v>
      </c>
      <c r="B31" s="1443"/>
      <c r="C31" s="1443"/>
      <c r="D31" s="1443"/>
      <c r="E31" s="1443"/>
      <c r="F31" s="1443"/>
      <c r="G31" s="1443"/>
      <c r="H31" s="1443"/>
      <c r="I31" s="1443"/>
      <c r="J31" s="1443"/>
      <c r="K31" s="1443"/>
      <c r="L31" s="1443"/>
      <c r="M31" s="1443"/>
      <c r="N31" s="1443"/>
    </row>
    <row r="34" spans="1:14" x14ac:dyDescent="0.25">
      <c r="A34" s="1454" t="s">
        <v>204</v>
      </c>
      <c r="B34" s="1454"/>
      <c r="C34" s="1454"/>
      <c r="D34" s="1454"/>
      <c r="E34" s="1454"/>
      <c r="F34" s="1454"/>
      <c r="G34" s="1454"/>
      <c r="H34" s="1454"/>
      <c r="I34" s="1454"/>
      <c r="J34" s="1454"/>
      <c r="K34" s="1454"/>
      <c r="L34" s="1454"/>
      <c r="M34" s="1454"/>
      <c r="N34" s="1454"/>
    </row>
    <row r="35" spans="1:14" x14ac:dyDescent="0.25">
      <c r="A35" s="1443" t="s">
        <v>205</v>
      </c>
      <c r="B35" s="1443"/>
      <c r="C35" s="1443"/>
      <c r="D35" s="1443"/>
      <c r="E35" s="1443"/>
      <c r="F35" s="1443"/>
      <c r="G35" s="1443"/>
      <c r="H35" s="1443"/>
      <c r="I35" s="1443"/>
      <c r="J35" s="1443"/>
      <c r="K35" s="1443"/>
      <c r="L35" s="1443"/>
      <c r="M35" s="1443"/>
      <c r="N35" s="1443"/>
    </row>
    <row r="36" spans="1:14" x14ac:dyDescent="0.25">
      <c r="A36" s="1454" t="s">
        <v>206</v>
      </c>
      <c r="B36" s="1454"/>
      <c r="C36" s="1454"/>
      <c r="D36" s="1454"/>
      <c r="E36" s="1454"/>
      <c r="F36" s="1454"/>
      <c r="G36" s="1454"/>
      <c r="H36" s="1454"/>
      <c r="I36" s="1454"/>
      <c r="J36" s="1454"/>
      <c r="K36" s="1454"/>
      <c r="L36" s="1454"/>
      <c r="M36" s="1454"/>
      <c r="N36" s="1454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443" t="s">
        <v>0</v>
      </c>
      <c r="C6" s="1443"/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  <c r="O6" s="1443"/>
      <c r="P6" s="1443"/>
    </row>
    <row r="7" spans="1:16" x14ac:dyDescent="0.25">
      <c r="B7" s="1443" t="s">
        <v>1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</row>
    <row r="8" spans="1:16" x14ac:dyDescent="0.25">
      <c r="B8" s="1444" t="s">
        <v>2</v>
      </c>
      <c r="C8" s="1444"/>
      <c r="D8" s="1444"/>
      <c r="E8" s="1444"/>
      <c r="F8" s="1444"/>
      <c r="G8" s="1444"/>
      <c r="H8" s="1444"/>
      <c r="I8" s="1444"/>
      <c r="J8" s="1444"/>
      <c r="K8" s="1444"/>
      <c r="L8" s="1444"/>
      <c r="M8" s="1444"/>
      <c r="N8" s="1444"/>
      <c r="O8" s="1444"/>
      <c r="P8" s="1444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443" t="s">
        <v>3</v>
      </c>
      <c r="C10" s="1443"/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  <c r="P10" s="1443"/>
    </row>
    <row r="11" spans="1:16" x14ac:dyDescent="0.25">
      <c r="B11" s="1443" t="s">
        <v>239</v>
      </c>
      <c r="C11" s="1443"/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</row>
    <row r="12" spans="1:16" x14ac:dyDescent="0.25">
      <c r="B12" s="1442" t="s">
        <v>5</v>
      </c>
      <c r="C12" s="1442"/>
      <c r="D12" s="1442"/>
      <c r="E12" s="1442"/>
      <c r="F12" s="1442"/>
      <c r="G12" s="1442"/>
      <c r="H12" s="1442"/>
      <c r="I12" s="1442"/>
      <c r="J12" s="1442"/>
      <c r="K12" s="1442"/>
      <c r="L12" s="1442"/>
      <c r="M12" s="1442"/>
      <c r="N12" s="1442"/>
      <c r="O12" s="1442"/>
      <c r="P12" s="1442"/>
    </row>
    <row r="14" spans="1:16" x14ac:dyDescent="0.25">
      <c r="A14" s="1446" t="s">
        <v>6</v>
      </c>
      <c r="B14" s="1447" t="s">
        <v>7</v>
      </c>
      <c r="C14" s="1447" t="s">
        <v>8</v>
      </c>
      <c r="D14" s="1447" t="s">
        <v>9</v>
      </c>
      <c r="E14" s="1447" t="s">
        <v>10</v>
      </c>
      <c r="F14" s="1451" t="s">
        <v>11</v>
      </c>
      <c r="G14" s="1447" t="s">
        <v>11</v>
      </c>
      <c r="H14" s="3" t="s">
        <v>12</v>
      </c>
      <c r="I14" s="1450" t="s">
        <v>13</v>
      </c>
      <c r="J14" s="1447" t="s">
        <v>14</v>
      </c>
      <c r="K14" s="1447" t="s">
        <v>15</v>
      </c>
      <c r="L14" s="1447" t="s">
        <v>16</v>
      </c>
      <c r="M14" s="1447" t="s">
        <v>17</v>
      </c>
      <c r="N14" s="1447" t="s">
        <v>18</v>
      </c>
      <c r="O14" s="1447" t="s">
        <v>19</v>
      </c>
      <c r="P14" s="1448" t="s">
        <v>20</v>
      </c>
    </row>
    <row r="15" spans="1:16" x14ac:dyDescent="0.25">
      <c r="A15" s="1446"/>
      <c r="B15" s="1447"/>
      <c r="C15" s="1447"/>
      <c r="D15" s="1447"/>
      <c r="E15" s="1447"/>
      <c r="F15" s="1451"/>
      <c r="G15" s="1447"/>
      <c r="H15" s="4" t="s">
        <v>21</v>
      </c>
      <c r="I15" s="1450"/>
      <c r="J15" s="1447"/>
      <c r="K15" s="1447"/>
      <c r="L15" s="1447"/>
      <c r="M15" s="1447"/>
      <c r="N15" s="1447"/>
      <c r="O15" s="1447"/>
      <c r="P15" s="1448"/>
    </row>
    <row r="17" spans="1:16" x14ac:dyDescent="0.25">
      <c r="A17" s="6">
        <v>1</v>
      </c>
      <c r="B17" s="7" t="s">
        <v>22</v>
      </c>
      <c r="C17" s="7" t="s">
        <v>23</v>
      </c>
      <c r="D17" s="1449" t="s">
        <v>24</v>
      </c>
      <c r="E17" s="1449"/>
      <c r="F17" s="1449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445" t="s">
        <v>27</v>
      </c>
      <c r="E18" s="1445"/>
      <c r="F18" s="1445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445" t="s">
        <v>30</v>
      </c>
      <c r="E19" s="1445" t="s">
        <v>31</v>
      </c>
      <c r="F19" s="1445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445" t="s">
        <v>27</v>
      </c>
      <c r="E20" s="1445" t="s">
        <v>33</v>
      </c>
      <c r="F20" s="1445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445" t="s">
        <v>36</v>
      </c>
      <c r="E21" s="1445" t="s">
        <v>37</v>
      </c>
      <c r="F21" s="1445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445" t="s">
        <v>40</v>
      </c>
      <c r="E22" s="1445" t="s">
        <v>41</v>
      </c>
      <c r="F22" s="1445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445" t="s">
        <v>44</v>
      </c>
      <c r="E23" s="1445" t="s">
        <v>45</v>
      </c>
      <c r="F23" s="1445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445" t="s">
        <v>49</v>
      </c>
      <c r="E24" s="1445" t="s">
        <v>50</v>
      </c>
      <c r="F24" s="1445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445" t="s">
        <v>53</v>
      </c>
      <c r="E25" s="1445" t="s">
        <v>54</v>
      </c>
      <c r="F25" s="1445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445" t="s">
        <v>56</v>
      </c>
      <c r="E26" s="1445" t="s">
        <v>57</v>
      </c>
      <c r="F26" s="1445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445" t="s">
        <v>53</v>
      </c>
      <c r="E27" s="1445" t="s">
        <v>60</v>
      </c>
      <c r="F27" s="1445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445" t="s">
        <v>63</v>
      </c>
      <c r="E28" s="1445" t="s">
        <v>64</v>
      </c>
      <c r="F28" s="1445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445" t="s">
        <v>67</v>
      </c>
      <c r="E29" s="1445" t="s">
        <v>68</v>
      </c>
      <c r="F29" s="1445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445" t="s">
        <v>71</v>
      </c>
      <c r="E30" s="1445" t="s">
        <v>72</v>
      </c>
      <c r="F30" s="1445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445" t="s">
        <v>75</v>
      </c>
      <c r="E31" s="1445" t="s">
        <v>76</v>
      </c>
      <c r="F31" s="1445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445" t="s">
        <v>78</v>
      </c>
      <c r="E32" s="1445" t="s">
        <v>79</v>
      </c>
      <c r="F32" s="1445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445" t="s">
        <v>82</v>
      </c>
      <c r="E33" s="1445" t="s">
        <v>83</v>
      </c>
      <c r="F33" s="1445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445" t="s">
        <v>85</v>
      </c>
      <c r="E34" s="1445" t="s">
        <v>86</v>
      </c>
      <c r="F34" s="1445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445" t="s">
        <v>89</v>
      </c>
      <c r="E35" s="1445" t="s">
        <v>90</v>
      </c>
      <c r="F35" s="1445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445" t="s">
        <v>92</v>
      </c>
      <c r="E36" s="1445" t="s">
        <v>93</v>
      </c>
      <c r="F36" s="1445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445" t="s">
        <v>71</v>
      </c>
      <c r="E37" s="1445" t="s">
        <v>95</v>
      </c>
      <c r="F37" s="1445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445" t="s">
        <v>97</v>
      </c>
      <c r="E38" s="1445" t="s">
        <v>98</v>
      </c>
      <c r="F38" s="1445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445" t="s">
        <v>92</v>
      </c>
      <c r="E39" s="1445" t="s">
        <v>100</v>
      </c>
      <c r="F39" s="1445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445" t="s">
        <v>102</v>
      </c>
      <c r="E40" s="1445" t="s">
        <v>103</v>
      </c>
      <c r="F40" s="1445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445" t="s">
        <v>105</v>
      </c>
      <c r="E41" s="1445" t="s">
        <v>106</v>
      </c>
      <c r="F41" s="1445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445" t="s">
        <v>105</v>
      </c>
      <c r="E42" s="1445" t="s">
        <v>108</v>
      </c>
      <c r="F42" s="1445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445" t="s">
        <v>105</v>
      </c>
      <c r="E43" s="1445" t="s">
        <v>110</v>
      </c>
      <c r="F43" s="1445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445" t="s">
        <v>112</v>
      </c>
      <c r="E44" s="1445" t="s">
        <v>113</v>
      </c>
      <c r="F44" s="1445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445" t="s">
        <v>78</v>
      </c>
      <c r="E45" s="1445" t="s">
        <v>115</v>
      </c>
      <c r="F45" s="1445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445" t="s">
        <v>117</v>
      </c>
      <c r="E46" s="1445" t="s">
        <v>118</v>
      </c>
      <c r="F46" s="1445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445" t="s">
        <v>120</v>
      </c>
      <c r="E47" s="1445" t="s">
        <v>121</v>
      </c>
      <c r="F47" s="1445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445" t="s">
        <v>49</v>
      </c>
      <c r="E48" s="1445" t="s">
        <v>123</v>
      </c>
      <c r="F48" s="1445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445" t="s">
        <v>125</v>
      </c>
      <c r="E49" s="1445" t="s">
        <v>126</v>
      </c>
      <c r="F49" s="1445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445" t="s">
        <v>105</v>
      </c>
      <c r="E50" s="1445" t="s">
        <v>128</v>
      </c>
      <c r="F50" s="1445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445" t="s">
        <v>102</v>
      </c>
      <c r="E51" s="1445" t="s">
        <v>130</v>
      </c>
      <c r="F51" s="1445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445" t="s">
        <v>132</v>
      </c>
      <c r="E52" s="1445" t="s">
        <v>133</v>
      </c>
      <c r="F52" s="1445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445" t="s">
        <v>117</v>
      </c>
      <c r="E53" s="1445" t="s">
        <v>135</v>
      </c>
      <c r="F53" s="1445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445" t="s">
        <v>85</v>
      </c>
      <c r="E54" s="1445" t="s">
        <v>137</v>
      </c>
      <c r="F54" s="1445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445" t="s">
        <v>139</v>
      </c>
      <c r="E55" s="1445" t="s">
        <v>140</v>
      </c>
      <c r="F55" s="1445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445" t="s">
        <v>142</v>
      </c>
      <c r="E56" s="1445" t="s">
        <v>143</v>
      </c>
      <c r="F56" s="1445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445" t="s">
        <v>145</v>
      </c>
      <c r="E57" s="1445" t="s">
        <v>146</v>
      </c>
      <c r="F57" s="1445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445" t="s">
        <v>148</v>
      </c>
      <c r="E58" s="1445" t="s">
        <v>149</v>
      </c>
      <c r="F58" s="1445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445" t="s">
        <v>151</v>
      </c>
      <c r="E59" s="1445" t="s">
        <v>152</v>
      </c>
      <c r="F59" s="1445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445" t="s">
        <v>154</v>
      </c>
      <c r="E60" s="1445" t="s">
        <v>155</v>
      </c>
      <c r="F60" s="1445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445" t="s">
        <v>157</v>
      </c>
      <c r="E61" s="1445" t="s">
        <v>158</v>
      </c>
      <c r="F61" s="1445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445" t="s">
        <v>160</v>
      </c>
      <c r="E62" s="1445" t="s">
        <v>161</v>
      </c>
      <c r="F62" s="1445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445" t="s">
        <v>163</v>
      </c>
      <c r="E63" s="1445" t="s">
        <v>164</v>
      </c>
      <c r="F63" s="1445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445" t="s">
        <v>92</v>
      </c>
      <c r="E65" s="1445" t="s">
        <v>168</v>
      </c>
      <c r="F65" s="1445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445" t="s">
        <v>105</v>
      </c>
      <c r="E66" s="1445" t="s">
        <v>170</v>
      </c>
      <c r="F66" s="1445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445" t="s">
        <v>40</v>
      </c>
      <c r="E67" s="1445" t="s">
        <v>172</v>
      </c>
      <c r="F67" s="1445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445" t="s">
        <v>92</v>
      </c>
      <c r="E70" s="1445" t="s">
        <v>176</v>
      </c>
      <c r="F70" s="1445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445" t="s">
        <v>178</v>
      </c>
      <c r="E71" s="1445" t="s">
        <v>179</v>
      </c>
      <c r="F71" s="1445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445" t="s">
        <v>181</v>
      </c>
      <c r="E72" s="1445" t="s">
        <v>182</v>
      </c>
      <c r="F72" s="1445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445" t="s">
        <v>184</v>
      </c>
      <c r="E73" s="1445" t="s">
        <v>185</v>
      </c>
      <c r="F73" s="1445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445" t="s">
        <v>187</v>
      </c>
      <c r="E74" s="1445" t="s">
        <v>188</v>
      </c>
      <c r="F74" s="1445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445" t="s">
        <v>190</v>
      </c>
      <c r="E75" s="1445" t="s">
        <v>191</v>
      </c>
      <c r="F75" s="1445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452" t="s">
        <v>92</v>
      </c>
      <c r="E76" s="1452" t="s">
        <v>193</v>
      </c>
      <c r="F76" s="1452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455" t="s">
        <v>194</v>
      </c>
      <c r="C77" s="1455"/>
      <c r="D77" s="1455"/>
      <c r="E77" s="1455"/>
      <c r="F77" s="1455"/>
      <c r="G77" s="1455"/>
      <c r="H77" s="1456" t="e">
        <f ca="1">SUM(H17:H77)</f>
        <v>#VALUE!</v>
      </c>
      <c r="I77" s="1457">
        <v>0</v>
      </c>
      <c r="J77" s="1456" t="e">
        <f ca="1">SUM(J17:J77)</f>
        <v>#VALUE!</v>
      </c>
      <c r="K77" s="1456" t="e">
        <f ca="1">SUM(K17:K77)</f>
        <v>#VALUE!</v>
      </c>
      <c r="L77" s="1456" t="e">
        <f ca="1">SUM(L17:L77)</f>
        <v>#VALUE!</v>
      </c>
      <c r="M77" s="1456">
        <v>68224.509999999995</v>
      </c>
      <c r="N77" s="1456">
        <v>42225.96</v>
      </c>
      <c r="O77" s="1456">
        <v>305460.49</v>
      </c>
      <c r="P77" s="1453">
        <v>2020507.01</v>
      </c>
    </row>
    <row r="78" spans="1:16" x14ac:dyDescent="0.25">
      <c r="B78" s="1455"/>
      <c r="C78" s="1455"/>
      <c r="D78" s="1455"/>
      <c r="E78" s="1455"/>
      <c r="F78" s="1455"/>
      <c r="G78" s="1455"/>
      <c r="H78" s="1456"/>
      <c r="I78" s="1457"/>
      <c r="J78" s="1456"/>
      <c r="K78" s="1456"/>
      <c r="L78" s="1456"/>
      <c r="M78" s="1456"/>
      <c r="N78" s="1456"/>
      <c r="O78" s="1456"/>
      <c r="P78" s="1453"/>
    </row>
    <row r="81" spans="2:15" x14ac:dyDescent="0.25">
      <c r="B81" s="24" t="s">
        <v>195</v>
      </c>
      <c r="C81" s="24"/>
      <c r="M81" s="1443" t="s">
        <v>196</v>
      </c>
      <c r="N81" s="1443"/>
      <c r="O81" s="1443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454" t="s">
        <v>198</v>
      </c>
      <c r="N84" s="1454"/>
      <c r="O84" s="1454"/>
    </row>
    <row r="85" spans="2:15" x14ac:dyDescent="0.25">
      <c r="B85" s="24" t="s">
        <v>199</v>
      </c>
      <c r="C85" s="24"/>
      <c r="M85" s="1443" t="s">
        <v>200</v>
      </c>
      <c r="N85" s="1443"/>
      <c r="O85" s="1443"/>
    </row>
    <row r="86" spans="2:15" x14ac:dyDescent="0.25">
      <c r="B86" s="25" t="s">
        <v>201</v>
      </c>
      <c r="C86" s="25"/>
      <c r="M86" s="1454" t="s">
        <v>202</v>
      </c>
      <c r="N86" s="1454"/>
      <c r="O86" s="1454"/>
    </row>
    <row r="89" spans="2:15" x14ac:dyDescent="0.25">
      <c r="B89" s="1443" t="s">
        <v>203</v>
      </c>
      <c r="C89" s="1443"/>
      <c r="D89" s="1443"/>
      <c r="E89" s="1443"/>
      <c r="F89" s="1443"/>
      <c r="G89" s="1443"/>
      <c r="H89" s="1443"/>
      <c r="I89" s="1443"/>
      <c r="J89" s="1443"/>
      <c r="K89" s="1443"/>
      <c r="L89" s="1443"/>
      <c r="M89" s="1443"/>
      <c r="N89" s="1443"/>
      <c r="O89" s="1443"/>
    </row>
    <row r="92" spans="2:15" x14ac:dyDescent="0.25">
      <c r="B92" s="1454" t="s">
        <v>204</v>
      </c>
      <c r="C92" s="1454"/>
      <c r="D92" s="1454"/>
      <c r="E92" s="1454"/>
      <c r="F92" s="1454"/>
      <c r="G92" s="1454"/>
      <c r="H92" s="1454"/>
      <c r="I92" s="1454"/>
      <c r="J92" s="1454"/>
      <c r="K92" s="1454"/>
      <c r="L92" s="1454"/>
      <c r="M92" s="1454"/>
      <c r="N92" s="1454"/>
      <c r="O92" s="1454"/>
    </row>
    <row r="93" spans="2:15" x14ac:dyDescent="0.25">
      <c r="B93" s="1443" t="s">
        <v>205</v>
      </c>
      <c r="C93" s="1443"/>
      <c r="D93" s="1443"/>
      <c r="E93" s="1443"/>
      <c r="F93" s="1443"/>
      <c r="G93" s="1443"/>
      <c r="H93" s="1443"/>
      <c r="I93" s="1443"/>
      <c r="J93" s="1443"/>
      <c r="K93" s="1443"/>
      <c r="L93" s="1443"/>
      <c r="M93" s="1443"/>
      <c r="N93" s="1443"/>
      <c r="O93" s="1443"/>
    </row>
    <row r="94" spans="2:15" x14ac:dyDescent="0.25">
      <c r="B94" s="1454" t="s">
        <v>206</v>
      </c>
      <c r="C94" s="1454"/>
      <c r="D94" s="1454"/>
      <c r="E94" s="1454"/>
      <c r="F94" s="1454"/>
      <c r="G94" s="1454"/>
      <c r="H94" s="1454"/>
      <c r="I94" s="1454"/>
      <c r="J94" s="1454"/>
      <c r="K94" s="1454"/>
      <c r="L94" s="1454"/>
      <c r="M94" s="1454"/>
      <c r="N94" s="1454"/>
      <c r="O94" s="1454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443" t="s">
        <v>0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</row>
    <row r="8" spans="1:16" x14ac:dyDescent="0.25">
      <c r="B8" s="1443" t="s">
        <v>1</v>
      </c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</row>
    <row r="9" spans="1:16" x14ac:dyDescent="0.25">
      <c r="B9" s="1444" t="s">
        <v>2</v>
      </c>
      <c r="C9" s="1444"/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443" t="s">
        <v>3</v>
      </c>
      <c r="C11" s="1443"/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</row>
    <row r="12" spans="1:16" x14ac:dyDescent="0.25">
      <c r="B12" s="1443" t="s">
        <v>240</v>
      </c>
      <c r="C12" s="1443"/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</row>
    <row r="13" spans="1:16" x14ac:dyDescent="0.25">
      <c r="B13" s="1442" t="s">
        <v>5</v>
      </c>
      <c r="C13" s="1442"/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446" t="s">
        <v>6</v>
      </c>
      <c r="B15" s="1447" t="s">
        <v>7</v>
      </c>
      <c r="C15" s="1447" t="s">
        <v>8</v>
      </c>
      <c r="D15" s="1447" t="s">
        <v>10</v>
      </c>
      <c r="E15" s="1451" t="s">
        <v>11</v>
      </c>
      <c r="F15" s="1447" t="s">
        <v>208</v>
      </c>
      <c r="G15" s="1447" t="s">
        <v>209</v>
      </c>
      <c r="H15" s="3" t="s">
        <v>12</v>
      </c>
      <c r="I15" s="1450" t="s">
        <v>13</v>
      </c>
      <c r="J15" s="1447" t="s">
        <v>14</v>
      </c>
      <c r="K15" s="1447" t="s">
        <v>15</v>
      </c>
      <c r="L15" s="1447" t="s">
        <v>16</v>
      </c>
      <c r="M15" s="1447" t="s">
        <v>17</v>
      </c>
      <c r="N15" s="1447" t="s">
        <v>18</v>
      </c>
      <c r="O15" s="1447" t="s">
        <v>19</v>
      </c>
      <c r="P15" s="1448" t="s">
        <v>20</v>
      </c>
    </row>
    <row r="16" spans="1:16" x14ac:dyDescent="0.25">
      <c r="A16" s="1446"/>
      <c r="B16" s="1447"/>
      <c r="C16" s="1447"/>
      <c r="D16" s="1447"/>
      <c r="E16" s="1451"/>
      <c r="F16" s="1447"/>
      <c r="G16" s="1447"/>
      <c r="H16" s="4" t="s">
        <v>21</v>
      </c>
      <c r="I16" s="1450"/>
      <c r="J16" s="1447"/>
      <c r="K16" s="1447"/>
      <c r="L16" s="1447"/>
      <c r="M16" s="1447"/>
      <c r="N16" s="1447"/>
      <c r="O16" s="1447"/>
      <c r="P16" s="1448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455" t="s">
        <v>194</v>
      </c>
      <c r="C32" s="1455"/>
      <c r="D32" s="1455"/>
      <c r="E32" s="1455"/>
      <c r="F32" s="1455"/>
      <c r="G32" s="1455"/>
      <c r="H32" s="1456">
        <f t="shared" ref="H32:P32" si="0">SUM(H18:H31)</f>
        <v>411000</v>
      </c>
      <c r="I32" s="1457">
        <f t="shared" si="0"/>
        <v>0</v>
      </c>
      <c r="J32" s="1456">
        <f t="shared" si="0"/>
        <v>411000</v>
      </c>
      <c r="K32" s="1456">
        <f t="shared" si="0"/>
        <v>11795.71</v>
      </c>
      <c r="L32" s="1457">
        <f t="shared" si="0"/>
        <v>7416.01</v>
      </c>
      <c r="M32" s="1456">
        <f t="shared" si="0"/>
        <v>12494.4</v>
      </c>
      <c r="N32" s="1456">
        <f t="shared" si="0"/>
        <v>2920</v>
      </c>
      <c r="O32" s="1456">
        <f t="shared" si="0"/>
        <v>34626.119999999995</v>
      </c>
      <c r="P32" s="1453">
        <f t="shared" si="0"/>
        <v>376373.88</v>
      </c>
    </row>
    <row r="33" spans="2:16" x14ac:dyDescent="0.25">
      <c r="B33" s="1455"/>
      <c r="C33" s="1455"/>
      <c r="D33" s="1455"/>
      <c r="E33" s="1455"/>
      <c r="F33" s="1455"/>
      <c r="G33" s="1455"/>
      <c r="H33" s="1456"/>
      <c r="I33" s="1457"/>
      <c r="J33" s="1456"/>
      <c r="K33" s="1456"/>
      <c r="L33" s="1457"/>
      <c r="M33" s="1456"/>
      <c r="N33" s="1456"/>
      <c r="O33" s="1456"/>
      <c r="P33" s="1453"/>
    </row>
    <row r="36" spans="2:16" x14ac:dyDescent="0.25">
      <c r="B36" s="24" t="s">
        <v>195</v>
      </c>
      <c r="C36" s="24"/>
      <c r="M36" s="1443" t="s">
        <v>196</v>
      </c>
      <c r="N36" s="1443"/>
      <c r="O36" s="1443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443" t="s">
        <v>200</v>
      </c>
      <c r="N40" s="1443"/>
      <c r="O40" s="1443"/>
    </row>
    <row r="41" spans="2:16" x14ac:dyDescent="0.25">
      <c r="B41" s="25" t="s">
        <v>201</v>
      </c>
      <c r="C41" s="25"/>
      <c r="M41" s="1454" t="s">
        <v>202</v>
      </c>
      <c r="N41" s="1454"/>
      <c r="O41" s="1454"/>
    </row>
    <row r="44" spans="2:16" x14ac:dyDescent="0.25">
      <c r="B44" s="1443" t="s">
        <v>203</v>
      </c>
      <c r="C44" s="1443"/>
      <c r="D44" s="1443"/>
      <c r="E44" s="1443"/>
      <c r="F44" s="1443"/>
      <c r="G44" s="1443"/>
      <c r="H44" s="1443"/>
      <c r="I44" s="1443"/>
      <c r="J44" s="1443"/>
      <c r="K44" s="1443"/>
      <c r="L44" s="1443"/>
      <c r="M44" s="1443"/>
      <c r="N44" s="1443"/>
      <c r="O44" s="1443"/>
    </row>
    <row r="47" spans="2:16" x14ac:dyDescent="0.25">
      <c r="B47" s="1454" t="s">
        <v>204</v>
      </c>
      <c r="C47" s="1454"/>
      <c r="D47" s="1454"/>
      <c r="E47" s="1454"/>
      <c r="F47" s="1454"/>
      <c r="G47" s="1454"/>
      <c r="H47" s="1454"/>
      <c r="I47" s="1454"/>
      <c r="J47" s="1454"/>
      <c r="K47" s="1454"/>
      <c r="L47" s="1454"/>
      <c r="M47" s="1454"/>
      <c r="N47" s="1454"/>
      <c r="O47" s="1454"/>
    </row>
    <row r="48" spans="2:16" x14ac:dyDescent="0.25">
      <c r="B48" s="1443" t="s">
        <v>205</v>
      </c>
      <c r="C48" s="1443"/>
      <c r="D48" s="1443"/>
      <c r="E48" s="1443"/>
      <c r="F48" s="1443"/>
      <c r="G48" s="1443"/>
      <c r="H48" s="1443"/>
      <c r="I48" s="1443"/>
      <c r="J48" s="1443"/>
      <c r="K48" s="1443"/>
      <c r="L48" s="1443"/>
      <c r="M48" s="1443"/>
      <c r="N48" s="1443"/>
      <c r="O48" s="1443"/>
    </row>
    <row r="49" spans="2:15" x14ac:dyDescent="0.25">
      <c r="B49" s="1454" t="s">
        <v>206</v>
      </c>
      <c r="C49" s="1454"/>
      <c r="D49" s="1454"/>
      <c r="E49" s="1454"/>
      <c r="F49" s="1454"/>
      <c r="G49" s="1454"/>
      <c r="H49" s="1454"/>
      <c r="I49" s="1454"/>
      <c r="J49" s="1454"/>
      <c r="K49" s="1454"/>
      <c r="L49" s="1454"/>
      <c r="M49" s="1454"/>
      <c r="N49" s="1454"/>
      <c r="O49" s="1454"/>
    </row>
  </sheetData>
  <sheetProtection selectLockedCells="1" selectUnlockedCells="1"/>
  <mergeCells count="38"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43" t="s">
        <v>0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</row>
    <row r="8" spans="1:14" x14ac:dyDescent="0.25">
      <c r="B8" s="1443" t="s">
        <v>1</v>
      </c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</row>
    <row r="9" spans="1:14" x14ac:dyDescent="0.25">
      <c r="B9" s="1444" t="s">
        <v>2</v>
      </c>
      <c r="C9" s="1444"/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443" t="s">
        <v>3</v>
      </c>
      <c r="C11" s="1443"/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</row>
    <row r="12" spans="1:14" x14ac:dyDescent="0.25">
      <c r="B12" s="1443" t="s">
        <v>246</v>
      </c>
      <c r="C12" s="1443"/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</row>
    <row r="13" spans="1:14" x14ac:dyDescent="0.25">
      <c r="B13" s="1442" t="s">
        <v>5</v>
      </c>
      <c r="C13" s="1442"/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46" t="s">
        <v>6</v>
      </c>
      <c r="B15" s="1447" t="s">
        <v>7</v>
      </c>
      <c r="C15" s="1447" t="s">
        <v>8</v>
      </c>
      <c r="D15" s="1447" t="s">
        <v>10</v>
      </c>
      <c r="E15" s="1451" t="s">
        <v>11</v>
      </c>
      <c r="F15" s="37" t="s">
        <v>12</v>
      </c>
      <c r="G15" s="1450" t="s">
        <v>13</v>
      </c>
      <c r="H15" s="1447" t="s">
        <v>14</v>
      </c>
      <c r="I15" s="1447" t="s">
        <v>15</v>
      </c>
      <c r="J15" s="1447" t="s">
        <v>16</v>
      </c>
      <c r="K15" s="1447" t="s">
        <v>17</v>
      </c>
      <c r="L15" s="1447" t="s">
        <v>18</v>
      </c>
      <c r="M15" s="1447" t="s">
        <v>19</v>
      </c>
      <c r="N15" s="1448" t="s">
        <v>20</v>
      </c>
    </row>
    <row r="16" spans="1:14" x14ac:dyDescent="0.25">
      <c r="A16" s="1446"/>
      <c r="B16" s="1447"/>
      <c r="C16" s="1447"/>
      <c r="D16" s="1447"/>
      <c r="E16" s="1451"/>
      <c r="F16" s="38" t="s">
        <v>21</v>
      </c>
      <c r="G16" s="1450"/>
      <c r="H16" s="1447"/>
      <c r="I16" s="1447"/>
      <c r="J16" s="1447"/>
      <c r="K16" s="1447"/>
      <c r="L16" s="1447"/>
      <c r="M16" s="1447"/>
      <c r="N16" s="1448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455" t="s">
        <v>194</v>
      </c>
      <c r="C20" s="1455"/>
      <c r="D20" s="1455"/>
      <c r="E20" s="1455"/>
      <c r="F20" s="1456">
        <v>35000</v>
      </c>
      <c r="G20" s="1457">
        <v>0</v>
      </c>
      <c r="H20" s="1456">
        <v>35000</v>
      </c>
      <c r="I20" s="1457">
        <v>0</v>
      </c>
      <c r="J20" s="1457">
        <v>0</v>
      </c>
      <c r="K20" s="1457">
        <v>0</v>
      </c>
      <c r="L20" s="1457">
        <v>0</v>
      </c>
      <c r="M20" s="1457">
        <v>0</v>
      </c>
      <c r="N20" s="1453">
        <v>35000</v>
      </c>
    </row>
    <row r="21" spans="1:14" x14ac:dyDescent="0.25">
      <c r="B21" s="1455"/>
      <c r="C21" s="1455"/>
      <c r="D21" s="1455"/>
      <c r="E21" s="1455"/>
      <c r="F21" s="1456"/>
      <c r="G21" s="1457"/>
      <c r="H21" s="1456"/>
      <c r="I21" s="1457"/>
      <c r="J21" s="1457"/>
      <c r="K21" s="1457"/>
      <c r="L21" s="1457"/>
      <c r="M21" s="1457"/>
      <c r="N21" s="1453"/>
    </row>
    <row r="24" spans="1:14" x14ac:dyDescent="0.25">
      <c r="B24" s="1443" t="s">
        <v>195</v>
      </c>
      <c r="C24" s="1443"/>
      <c r="L24" s="1443" t="s">
        <v>196</v>
      </c>
      <c r="M24" s="1443"/>
      <c r="N24" s="1443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443" t="s">
        <v>199</v>
      </c>
      <c r="C28" s="1443"/>
      <c r="L28" s="1443" t="s">
        <v>200</v>
      </c>
      <c r="M28" s="1443"/>
      <c r="N28" s="1443"/>
    </row>
    <row r="29" spans="1:14" x14ac:dyDescent="0.25">
      <c r="B29" s="1454" t="s">
        <v>201</v>
      </c>
      <c r="C29" s="1454"/>
      <c r="L29" s="1454" t="s">
        <v>202</v>
      </c>
      <c r="M29" s="1454"/>
      <c r="N29" s="1454"/>
    </row>
    <row r="31" spans="1:14" x14ac:dyDescent="0.25">
      <c r="A31" s="1443" t="s">
        <v>203</v>
      </c>
      <c r="B31" s="1443"/>
      <c r="C31" s="1443"/>
      <c r="D31" s="1443"/>
      <c r="E31" s="1443"/>
      <c r="F31" s="1443"/>
      <c r="G31" s="1443"/>
      <c r="H31" s="1443"/>
      <c r="I31" s="1443"/>
      <c r="J31" s="1443"/>
      <c r="K31" s="1443"/>
      <c r="L31" s="1443"/>
      <c r="M31" s="1443"/>
      <c r="N31" s="1443"/>
    </row>
    <row r="34" spans="1:14" x14ac:dyDescent="0.25">
      <c r="A34" s="1454" t="s">
        <v>204</v>
      </c>
      <c r="B34" s="1454"/>
      <c r="C34" s="1454"/>
      <c r="D34" s="1454"/>
      <c r="E34" s="1454"/>
      <c r="F34" s="1454"/>
      <c r="G34" s="1454"/>
      <c r="H34" s="1454"/>
      <c r="I34" s="1454"/>
      <c r="J34" s="1454"/>
      <c r="K34" s="1454"/>
      <c r="L34" s="1454"/>
      <c r="M34" s="1454"/>
      <c r="N34" s="1454"/>
    </row>
    <row r="35" spans="1:14" x14ac:dyDescent="0.25">
      <c r="A35" s="1443" t="s">
        <v>205</v>
      </c>
      <c r="B35" s="1443"/>
      <c r="C35" s="1443"/>
      <c r="D35" s="1443"/>
      <c r="E35" s="1443"/>
      <c r="F35" s="1443"/>
      <c r="G35" s="1443"/>
      <c r="H35" s="1443"/>
      <c r="I35" s="1443"/>
      <c r="J35" s="1443"/>
      <c r="K35" s="1443"/>
      <c r="L35" s="1443"/>
      <c r="M35" s="1443"/>
      <c r="N35" s="1443"/>
    </row>
    <row r="36" spans="1:14" x14ac:dyDescent="0.25">
      <c r="A36" s="1454" t="s">
        <v>206</v>
      </c>
      <c r="B36" s="1454"/>
      <c r="C36" s="1454"/>
      <c r="D36" s="1454"/>
      <c r="E36" s="1454"/>
      <c r="F36" s="1454"/>
      <c r="G36" s="1454"/>
      <c r="H36" s="1454"/>
      <c r="I36" s="1454"/>
      <c r="J36" s="1454"/>
      <c r="K36" s="1454"/>
      <c r="L36" s="1454"/>
      <c r="M36" s="1454"/>
      <c r="N36" s="1454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443" t="s">
        <v>0</v>
      </c>
      <c r="C6" s="1443"/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  <c r="O6" s="1443"/>
      <c r="P6" s="1443"/>
    </row>
    <row r="7" spans="1:16" x14ac:dyDescent="0.25">
      <c r="B7" s="1443" t="s">
        <v>1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</row>
    <row r="8" spans="1:16" x14ac:dyDescent="0.25">
      <c r="B8" s="1444" t="s">
        <v>2</v>
      </c>
      <c r="C8" s="1444"/>
      <c r="D8" s="1444"/>
      <c r="E8" s="1444"/>
      <c r="F8" s="1444"/>
      <c r="G8" s="1444"/>
      <c r="H8" s="1444"/>
      <c r="I8" s="1444"/>
      <c r="J8" s="1444"/>
      <c r="K8" s="1444"/>
      <c r="L8" s="1444"/>
      <c r="M8" s="1444"/>
      <c r="N8" s="1444"/>
      <c r="O8" s="1444"/>
      <c r="P8" s="1444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443" t="s">
        <v>3</v>
      </c>
      <c r="C10" s="1443"/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  <c r="P10" s="1443"/>
    </row>
    <row r="11" spans="1:16" x14ac:dyDescent="0.25">
      <c r="B11" s="1443" t="s">
        <v>247</v>
      </c>
      <c r="C11" s="1443"/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</row>
    <row r="12" spans="1:16" x14ac:dyDescent="0.25">
      <c r="B12" s="1442" t="s">
        <v>5</v>
      </c>
      <c r="C12" s="1442"/>
      <c r="D12" s="1442"/>
      <c r="E12" s="1442"/>
      <c r="F12" s="1442"/>
      <c r="G12" s="1442"/>
      <c r="H12" s="1442"/>
      <c r="I12" s="1442"/>
      <c r="J12" s="1442"/>
      <c r="K12" s="1442"/>
      <c r="L12" s="1442"/>
      <c r="M12" s="1442"/>
      <c r="N12" s="1442"/>
      <c r="O12" s="1442"/>
      <c r="P12" s="1442"/>
    </row>
    <row r="14" spans="1:16" x14ac:dyDescent="0.25">
      <c r="A14" s="1446" t="s">
        <v>6</v>
      </c>
      <c r="B14" s="1447" t="s">
        <v>7</v>
      </c>
      <c r="C14" s="1447" t="s">
        <v>8</v>
      </c>
      <c r="D14" s="1447" t="s">
        <v>9</v>
      </c>
      <c r="E14" s="1447" t="s">
        <v>10</v>
      </c>
      <c r="F14" s="1451" t="s">
        <v>11</v>
      </c>
      <c r="G14" s="1447" t="s">
        <v>11</v>
      </c>
      <c r="H14" s="3" t="s">
        <v>12</v>
      </c>
      <c r="I14" s="1450" t="s">
        <v>13</v>
      </c>
      <c r="J14" s="1447" t="s">
        <v>14</v>
      </c>
      <c r="K14" s="1447" t="s">
        <v>15</v>
      </c>
      <c r="L14" s="1447" t="s">
        <v>16</v>
      </c>
      <c r="M14" s="1447" t="s">
        <v>17</v>
      </c>
      <c r="N14" s="1447" t="s">
        <v>18</v>
      </c>
      <c r="O14" s="1447" t="s">
        <v>19</v>
      </c>
      <c r="P14" s="1448" t="s">
        <v>20</v>
      </c>
    </row>
    <row r="15" spans="1:16" x14ac:dyDescent="0.25">
      <c r="A15" s="1446"/>
      <c r="B15" s="1447"/>
      <c r="C15" s="1447"/>
      <c r="D15" s="1447"/>
      <c r="E15" s="1447"/>
      <c r="F15" s="1451"/>
      <c r="G15" s="1447"/>
      <c r="H15" s="4" t="s">
        <v>21</v>
      </c>
      <c r="I15" s="1450"/>
      <c r="J15" s="1447"/>
      <c r="K15" s="1447"/>
      <c r="L15" s="1447"/>
      <c r="M15" s="1447"/>
      <c r="N15" s="1447"/>
      <c r="O15" s="1447"/>
      <c r="P15" s="1448"/>
    </row>
    <row r="17" spans="1:16" x14ac:dyDescent="0.25">
      <c r="A17" s="6">
        <v>1</v>
      </c>
      <c r="B17" s="7" t="s">
        <v>22</v>
      </c>
      <c r="C17" s="7" t="s">
        <v>23</v>
      </c>
      <c r="D17" s="1449" t="s">
        <v>24</v>
      </c>
      <c r="E17" s="1449"/>
      <c r="F17" s="1449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445" t="s">
        <v>27</v>
      </c>
      <c r="E18" s="1445"/>
      <c r="F18" s="1445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445" t="s">
        <v>30</v>
      </c>
      <c r="E19" s="1445" t="s">
        <v>31</v>
      </c>
      <c r="F19" s="1445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445" t="s">
        <v>27</v>
      </c>
      <c r="E20" s="1445" t="s">
        <v>33</v>
      </c>
      <c r="F20" s="1445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445" t="s">
        <v>36</v>
      </c>
      <c r="E21" s="1445" t="s">
        <v>37</v>
      </c>
      <c r="F21" s="1445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445" t="s">
        <v>40</v>
      </c>
      <c r="E22" s="1445" t="s">
        <v>41</v>
      </c>
      <c r="F22" s="1445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445" t="s">
        <v>44</v>
      </c>
      <c r="E23" s="1445" t="s">
        <v>45</v>
      </c>
      <c r="F23" s="1445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445" t="s">
        <v>49</v>
      </c>
      <c r="E24" s="1445" t="s">
        <v>50</v>
      </c>
      <c r="F24" s="1445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445" t="s">
        <v>53</v>
      </c>
      <c r="E25" s="1445" t="s">
        <v>54</v>
      </c>
      <c r="F25" s="1445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445" t="s">
        <v>56</v>
      </c>
      <c r="E26" s="1445" t="s">
        <v>57</v>
      </c>
      <c r="F26" s="1445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445" t="s">
        <v>53</v>
      </c>
      <c r="E27" s="1445" t="s">
        <v>60</v>
      </c>
      <c r="F27" s="1445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445" t="s">
        <v>63</v>
      </c>
      <c r="E28" s="1445" t="s">
        <v>64</v>
      </c>
      <c r="F28" s="1445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445" t="s">
        <v>67</v>
      </c>
      <c r="E29" s="1445" t="s">
        <v>68</v>
      </c>
      <c r="F29" s="1445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445" t="s">
        <v>71</v>
      </c>
      <c r="E30" s="1445" t="s">
        <v>72</v>
      </c>
      <c r="F30" s="1445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445" t="s">
        <v>75</v>
      </c>
      <c r="E31" s="1445" t="s">
        <v>76</v>
      </c>
      <c r="F31" s="1445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445" t="s">
        <v>78</v>
      </c>
      <c r="E32" s="1445" t="s">
        <v>79</v>
      </c>
      <c r="F32" s="1445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445" t="s">
        <v>82</v>
      </c>
      <c r="E33" s="1445" t="s">
        <v>83</v>
      </c>
      <c r="F33" s="1445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445" t="s">
        <v>85</v>
      </c>
      <c r="E34" s="1445" t="s">
        <v>86</v>
      </c>
      <c r="F34" s="1445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445" t="s">
        <v>89</v>
      </c>
      <c r="E35" s="1445" t="s">
        <v>90</v>
      </c>
      <c r="F35" s="1445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445" t="s">
        <v>92</v>
      </c>
      <c r="E36" s="1445" t="s">
        <v>93</v>
      </c>
      <c r="F36" s="1445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445" t="s">
        <v>71</v>
      </c>
      <c r="E37" s="1445" t="s">
        <v>95</v>
      </c>
      <c r="F37" s="1445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445" t="s">
        <v>97</v>
      </c>
      <c r="E38" s="1445" t="s">
        <v>98</v>
      </c>
      <c r="F38" s="1445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445" t="s">
        <v>92</v>
      </c>
      <c r="E39" s="1445" t="s">
        <v>100</v>
      </c>
      <c r="F39" s="1445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445" t="s">
        <v>102</v>
      </c>
      <c r="E40" s="1445" t="s">
        <v>103</v>
      </c>
      <c r="F40" s="1445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445" t="s">
        <v>105</v>
      </c>
      <c r="E41" s="1445" t="s">
        <v>106</v>
      </c>
      <c r="F41" s="1445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445" t="s">
        <v>105</v>
      </c>
      <c r="E42" s="1445" t="s">
        <v>108</v>
      </c>
      <c r="F42" s="1445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445" t="s">
        <v>105</v>
      </c>
      <c r="E43" s="1445" t="s">
        <v>110</v>
      </c>
      <c r="F43" s="1445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445" t="s">
        <v>112</v>
      </c>
      <c r="E44" s="1445" t="s">
        <v>113</v>
      </c>
      <c r="F44" s="1445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445" t="s">
        <v>78</v>
      </c>
      <c r="E45" s="1445" t="s">
        <v>115</v>
      </c>
      <c r="F45" s="1445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445" t="s">
        <v>117</v>
      </c>
      <c r="E46" s="1445" t="s">
        <v>118</v>
      </c>
      <c r="F46" s="1445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445" t="s">
        <v>120</v>
      </c>
      <c r="E47" s="1445" t="s">
        <v>121</v>
      </c>
      <c r="F47" s="1445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445" t="s">
        <v>49</v>
      </c>
      <c r="E48" s="1445" t="s">
        <v>123</v>
      </c>
      <c r="F48" s="1445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445" t="s">
        <v>125</v>
      </c>
      <c r="E49" s="1445" t="s">
        <v>126</v>
      </c>
      <c r="F49" s="1445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445" t="s">
        <v>105</v>
      </c>
      <c r="E50" s="1445" t="s">
        <v>128</v>
      </c>
      <c r="F50" s="1445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445" t="s">
        <v>102</v>
      </c>
      <c r="E51" s="1445" t="s">
        <v>130</v>
      </c>
      <c r="F51" s="1445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445" t="s">
        <v>132</v>
      </c>
      <c r="E52" s="1445" t="s">
        <v>133</v>
      </c>
      <c r="F52" s="1445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445" t="s">
        <v>117</v>
      </c>
      <c r="E53" s="1445" t="s">
        <v>135</v>
      </c>
      <c r="F53" s="1445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445" t="s">
        <v>85</v>
      </c>
      <c r="E54" s="1445" t="s">
        <v>137</v>
      </c>
      <c r="F54" s="1445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445" t="s">
        <v>139</v>
      </c>
      <c r="E55" s="1445" t="s">
        <v>140</v>
      </c>
      <c r="F55" s="1445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445" t="s">
        <v>142</v>
      </c>
      <c r="E56" s="1445" t="s">
        <v>143</v>
      </c>
      <c r="F56" s="1445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445" t="s">
        <v>145</v>
      </c>
      <c r="E57" s="1445" t="s">
        <v>146</v>
      </c>
      <c r="F57" s="1445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445" t="s">
        <v>148</v>
      </c>
      <c r="E58" s="1445" t="s">
        <v>149</v>
      </c>
      <c r="F58" s="1445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445" t="s">
        <v>151</v>
      </c>
      <c r="E59" s="1445" t="s">
        <v>152</v>
      </c>
      <c r="F59" s="1445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445" t="s">
        <v>154</v>
      </c>
      <c r="E60" s="1445" t="s">
        <v>155</v>
      </c>
      <c r="F60" s="1445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445" t="s">
        <v>157</v>
      </c>
      <c r="E61" s="1445" t="s">
        <v>158</v>
      </c>
      <c r="F61" s="1445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445" t="s">
        <v>160</v>
      </c>
      <c r="E62" s="1445" t="s">
        <v>161</v>
      </c>
      <c r="F62" s="1445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445" t="s">
        <v>163</v>
      </c>
      <c r="E63" s="1445" t="s">
        <v>164</v>
      </c>
      <c r="F63" s="1445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445" t="s">
        <v>92</v>
      </c>
      <c r="E65" s="1445" t="s">
        <v>168</v>
      </c>
      <c r="F65" s="1445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445" t="s">
        <v>105</v>
      </c>
      <c r="E66" s="1445" t="s">
        <v>170</v>
      </c>
      <c r="F66" s="1445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445" t="s">
        <v>40</v>
      </c>
      <c r="E67" s="1445" t="s">
        <v>172</v>
      </c>
      <c r="F67" s="1445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445" t="s">
        <v>92</v>
      </c>
      <c r="E70" s="1445" t="s">
        <v>176</v>
      </c>
      <c r="F70" s="1445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445" t="s">
        <v>178</v>
      </c>
      <c r="E71" s="1445" t="s">
        <v>179</v>
      </c>
      <c r="F71" s="1445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445" t="s">
        <v>181</v>
      </c>
      <c r="E72" s="1445" t="s">
        <v>182</v>
      </c>
      <c r="F72" s="1445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445" t="s">
        <v>184</v>
      </c>
      <c r="E73" s="1445" t="s">
        <v>185</v>
      </c>
      <c r="F73" s="1445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445" t="s">
        <v>187</v>
      </c>
      <c r="E74" s="1445" t="s">
        <v>188</v>
      </c>
      <c r="F74" s="1445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445" t="s">
        <v>190</v>
      </c>
      <c r="E78" s="1445" t="s">
        <v>191</v>
      </c>
      <c r="F78" s="1445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452" t="s">
        <v>92</v>
      </c>
      <c r="E79" s="1452" t="s">
        <v>193</v>
      </c>
      <c r="F79" s="1452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455" t="s">
        <v>194</v>
      </c>
      <c r="C80" s="1455"/>
      <c r="D80" s="1455"/>
      <c r="E80" s="1455"/>
      <c r="F80" s="1455"/>
      <c r="G80" s="1455"/>
      <c r="H80" s="46"/>
      <c r="I80" s="1457">
        <v>0</v>
      </c>
      <c r="J80" s="1456">
        <v>2194967.5</v>
      </c>
      <c r="K80" s="1456">
        <v>62995.59</v>
      </c>
      <c r="L80" s="1456">
        <v>90857.31</v>
      </c>
      <c r="M80" s="1456">
        <v>66727.009999999995</v>
      </c>
      <c r="N80" s="1456">
        <v>44686.89</v>
      </c>
      <c r="O80" s="1456">
        <v>265266.8</v>
      </c>
      <c r="P80" s="1453">
        <v>1929700.7</v>
      </c>
    </row>
    <row r="81" spans="2:16" x14ac:dyDescent="0.25">
      <c r="B81" s="1455"/>
      <c r="C81" s="1455"/>
      <c r="D81" s="1455"/>
      <c r="E81" s="1455"/>
      <c r="F81" s="1455"/>
      <c r="G81" s="1455"/>
      <c r="H81" s="47">
        <f>SUM(H17:H80)</f>
        <v>2194967.5</v>
      </c>
      <c r="I81" s="1457"/>
      <c r="J81" s="1456"/>
      <c r="K81" s="1456"/>
      <c r="L81" s="1456"/>
      <c r="M81" s="1456"/>
      <c r="N81" s="1456"/>
      <c r="O81" s="1456"/>
      <c r="P81" s="1453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443" t="s">
        <v>196</v>
      </c>
      <c r="N84" s="1443"/>
      <c r="O84" s="1443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454" t="s">
        <v>198</v>
      </c>
      <c r="N87" s="1454"/>
      <c r="O87" s="1454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443" t="s">
        <v>253</v>
      </c>
      <c r="N88" s="1443"/>
      <c r="O88" s="1443"/>
    </row>
    <row r="89" spans="2:16" x14ac:dyDescent="0.25">
      <c r="B89" s="25" t="s">
        <v>201</v>
      </c>
      <c r="C89" s="25"/>
      <c r="D89" t="s">
        <v>254</v>
      </c>
      <c r="M89" s="1454" t="s">
        <v>202</v>
      </c>
      <c r="N89" s="1454"/>
      <c r="O89" s="1454"/>
    </row>
    <row r="92" spans="2:16" x14ac:dyDescent="0.25">
      <c r="B92" s="1443"/>
      <c r="C92" s="1443"/>
      <c r="D92" s="1443"/>
      <c r="E92" s="1443"/>
      <c r="F92" s="1443"/>
      <c r="G92" s="1443"/>
      <c r="H92" s="1443"/>
      <c r="I92" s="1443"/>
      <c r="J92" s="1443"/>
      <c r="K92" s="1443"/>
      <c r="L92" s="1443"/>
      <c r="M92" s="1443"/>
      <c r="N92" s="1443"/>
      <c r="O92" s="1443"/>
    </row>
    <row r="95" spans="2:16" x14ac:dyDescent="0.25">
      <c r="B95" s="1454"/>
      <c r="C95" s="1454"/>
      <c r="D95" s="1454"/>
      <c r="E95" s="1454"/>
      <c r="F95" s="1454"/>
      <c r="G95" s="1454"/>
      <c r="H95" s="1454"/>
      <c r="I95" s="1454"/>
      <c r="J95" s="1454"/>
      <c r="K95" s="1454"/>
      <c r="L95" s="1454"/>
      <c r="M95" s="1454"/>
      <c r="N95" s="1454"/>
      <c r="O95" s="1454"/>
    </row>
    <row r="96" spans="2:16" x14ac:dyDescent="0.25">
      <c r="B96" s="1443"/>
      <c r="C96" s="1443"/>
      <c r="D96" s="1443"/>
      <c r="E96" s="1443"/>
      <c r="F96" s="1443"/>
      <c r="G96" s="1443"/>
      <c r="H96" s="1443"/>
      <c r="I96" s="1443"/>
      <c r="J96" s="1443"/>
      <c r="K96" s="1443"/>
      <c r="L96" s="1443"/>
      <c r="M96" s="1443"/>
      <c r="N96" s="1443"/>
      <c r="O96" s="1443"/>
    </row>
    <row r="97" spans="2:15" x14ac:dyDescent="0.25">
      <c r="B97" s="1454"/>
      <c r="C97" s="1454"/>
      <c r="D97" s="1454"/>
      <c r="E97" s="1454"/>
      <c r="F97" s="1454"/>
      <c r="G97" s="1454"/>
      <c r="H97" s="1454"/>
      <c r="I97" s="1454"/>
      <c r="J97" s="1454"/>
      <c r="K97" s="1454"/>
      <c r="L97" s="1454"/>
      <c r="M97" s="1454"/>
      <c r="N97" s="1454"/>
      <c r="O97" s="1454"/>
    </row>
  </sheetData>
  <sheetProtection selectLockedCells="1" selectUnlockedCells="1"/>
  <mergeCells count="95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443" t="s">
        <v>0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</row>
    <row r="8" spans="1:16" x14ac:dyDescent="0.25">
      <c r="B8" s="1443" t="s">
        <v>1</v>
      </c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</row>
    <row r="9" spans="1:16" x14ac:dyDescent="0.25">
      <c r="B9" s="1444" t="s">
        <v>2</v>
      </c>
      <c r="C9" s="1444"/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443" t="s">
        <v>3</v>
      </c>
      <c r="C11" s="1443"/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</row>
    <row r="12" spans="1:16" x14ac:dyDescent="0.25">
      <c r="B12" s="1443" t="s">
        <v>255</v>
      </c>
      <c r="C12" s="1443"/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</row>
    <row r="13" spans="1:16" x14ac:dyDescent="0.25">
      <c r="B13" s="1442" t="s">
        <v>5</v>
      </c>
      <c r="C13" s="1442"/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446" t="s">
        <v>6</v>
      </c>
      <c r="B15" s="1447" t="s">
        <v>7</v>
      </c>
      <c r="C15" s="1447" t="s">
        <v>8</v>
      </c>
      <c r="D15" s="1447" t="s">
        <v>10</v>
      </c>
      <c r="E15" s="1451" t="s">
        <v>11</v>
      </c>
      <c r="F15" s="1447" t="s">
        <v>208</v>
      </c>
      <c r="G15" s="1447" t="s">
        <v>209</v>
      </c>
      <c r="H15" s="3" t="s">
        <v>12</v>
      </c>
      <c r="I15" s="1450" t="s">
        <v>13</v>
      </c>
      <c r="J15" s="1447" t="s">
        <v>14</v>
      </c>
      <c r="K15" s="1447" t="s">
        <v>15</v>
      </c>
      <c r="L15" s="1447" t="s">
        <v>16</v>
      </c>
      <c r="M15" s="1447" t="s">
        <v>17</v>
      </c>
      <c r="N15" s="1447" t="s">
        <v>18</v>
      </c>
      <c r="O15" s="1447" t="s">
        <v>19</v>
      </c>
      <c r="P15" s="1448" t="s">
        <v>20</v>
      </c>
    </row>
    <row r="16" spans="1:16" x14ac:dyDescent="0.25">
      <c r="A16" s="1446"/>
      <c r="B16" s="1447"/>
      <c r="C16" s="1447"/>
      <c r="D16" s="1447"/>
      <c r="E16" s="1451"/>
      <c r="F16" s="1447"/>
      <c r="G16" s="1447"/>
      <c r="H16" s="4" t="s">
        <v>21</v>
      </c>
      <c r="I16" s="1450"/>
      <c r="J16" s="1447"/>
      <c r="K16" s="1447"/>
      <c r="L16" s="1447"/>
      <c r="M16" s="1447"/>
      <c r="N16" s="1447"/>
      <c r="O16" s="1447"/>
      <c r="P16" s="1448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455" t="s">
        <v>194</v>
      </c>
      <c r="C29" s="1455"/>
      <c r="D29" s="1455"/>
      <c r="E29" s="1455"/>
      <c r="F29" s="1455"/>
      <c r="G29" s="1455"/>
      <c r="H29" s="1456">
        <f t="shared" ref="H29:P29" si="0">SUM(H18:H28)</f>
        <v>332000</v>
      </c>
      <c r="I29" s="1457">
        <f t="shared" si="0"/>
        <v>0</v>
      </c>
      <c r="J29" s="1456">
        <f t="shared" si="0"/>
        <v>332000</v>
      </c>
      <c r="K29" s="1456">
        <f t="shared" si="0"/>
        <v>9528.41</v>
      </c>
      <c r="L29" s="1456">
        <f t="shared" si="0"/>
        <v>7416.01</v>
      </c>
      <c r="M29" s="1456">
        <f t="shared" si="0"/>
        <v>10092.799999999999</v>
      </c>
      <c r="N29" s="1456">
        <f t="shared" si="0"/>
        <v>1495</v>
      </c>
      <c r="O29" s="1456">
        <f t="shared" si="0"/>
        <v>28532.22</v>
      </c>
      <c r="P29" s="1453">
        <f t="shared" si="0"/>
        <v>303467.78000000003</v>
      </c>
    </row>
    <row r="30" spans="1:16" x14ac:dyDescent="0.25">
      <c r="B30" s="1455"/>
      <c r="C30" s="1455"/>
      <c r="D30" s="1455"/>
      <c r="E30" s="1455"/>
      <c r="F30" s="1455"/>
      <c r="G30" s="1455"/>
      <c r="H30" s="1456"/>
      <c r="I30" s="1457"/>
      <c r="J30" s="1456"/>
      <c r="K30" s="1456"/>
      <c r="L30" s="1456"/>
      <c r="M30" s="1456"/>
      <c r="N30" s="1456"/>
      <c r="O30" s="1456"/>
      <c r="P30" s="1453"/>
    </row>
    <row r="33" spans="2:15" x14ac:dyDescent="0.25">
      <c r="B33" s="24" t="s">
        <v>195</v>
      </c>
      <c r="C33" s="24"/>
      <c r="D33" s="5" t="s">
        <v>250</v>
      </c>
      <c r="M33" s="1443" t="s">
        <v>196</v>
      </c>
      <c r="N33" s="1443"/>
      <c r="O33" s="1443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454" t="s">
        <v>198</v>
      </c>
      <c r="N36" s="1454"/>
      <c r="O36" s="1454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443" t="s">
        <v>253</v>
      </c>
      <c r="N37" s="1443"/>
      <c r="O37" s="1443"/>
    </row>
    <row r="38" spans="2:15" x14ac:dyDescent="0.25">
      <c r="B38" s="25" t="s">
        <v>201</v>
      </c>
      <c r="C38" s="25"/>
      <c r="D38" t="s">
        <v>254</v>
      </c>
      <c r="M38" s="1454" t="s">
        <v>202</v>
      </c>
      <c r="N38" s="1454"/>
      <c r="O38" s="1454"/>
    </row>
    <row r="41" spans="2:15" x14ac:dyDescent="0.25">
      <c r="B41" s="1443"/>
      <c r="C41" s="1443"/>
      <c r="D41" s="1443"/>
      <c r="E41" s="1443"/>
      <c r="F41" s="1443"/>
      <c r="G41" s="1443"/>
      <c r="H41" s="1443"/>
      <c r="I41" s="1443"/>
      <c r="J41" s="1443"/>
      <c r="K41" s="1443"/>
      <c r="L41" s="1443"/>
      <c r="M41" s="1443"/>
      <c r="N41" s="1443"/>
      <c r="O41" s="1443"/>
    </row>
    <row r="44" spans="2:15" x14ac:dyDescent="0.25">
      <c r="B44" s="1454"/>
      <c r="C44" s="1454"/>
      <c r="D44" s="1454"/>
      <c r="E44" s="1454"/>
      <c r="F44" s="1454"/>
      <c r="G44" s="1454"/>
      <c r="H44" s="1454"/>
      <c r="I44" s="1454"/>
      <c r="J44" s="1454"/>
      <c r="K44" s="1454"/>
      <c r="L44" s="1454"/>
      <c r="M44" s="1454"/>
      <c r="N44" s="1454"/>
      <c r="O44" s="1454"/>
    </row>
    <row r="45" spans="2:15" x14ac:dyDescent="0.25">
      <c r="B45" s="1443"/>
      <c r="C45" s="1443"/>
      <c r="D45" s="1443"/>
      <c r="E45" s="1443"/>
      <c r="F45" s="1443"/>
      <c r="G45" s="1443"/>
      <c r="H45" s="1443"/>
      <c r="I45" s="1443"/>
      <c r="J45" s="1443"/>
      <c r="K45" s="1443"/>
      <c r="L45" s="1443"/>
      <c r="M45" s="1443"/>
      <c r="N45" s="1443"/>
      <c r="O45" s="1443"/>
    </row>
    <row r="46" spans="2:15" x14ac:dyDescent="0.25">
      <c r="B46" s="1454"/>
      <c r="C46" s="1454"/>
      <c r="D46" s="1454"/>
      <c r="E46" s="1454"/>
      <c r="F46" s="1454"/>
      <c r="G46" s="1454"/>
      <c r="H46" s="1454"/>
      <c r="I46" s="1454"/>
      <c r="J46" s="1454"/>
      <c r="K46" s="1454"/>
      <c r="L46" s="1454"/>
      <c r="M46" s="1454"/>
      <c r="N46" s="1454"/>
      <c r="O46" s="1454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43" t="s">
        <v>0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</row>
    <row r="8" spans="1:14" x14ac:dyDescent="0.25">
      <c r="B8" s="1443" t="s">
        <v>1</v>
      </c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</row>
    <row r="9" spans="1:14" x14ac:dyDescent="0.25">
      <c r="B9" s="1444" t="s">
        <v>2</v>
      </c>
      <c r="C9" s="1444"/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443" t="s">
        <v>3</v>
      </c>
      <c r="C11" s="1443"/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</row>
    <row r="12" spans="1:14" x14ac:dyDescent="0.25">
      <c r="B12" s="1443" t="s">
        <v>256</v>
      </c>
      <c r="C12" s="1443"/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</row>
    <row r="13" spans="1:14" x14ac:dyDescent="0.25">
      <c r="B13" s="1442" t="s">
        <v>5</v>
      </c>
      <c r="C13" s="1442"/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46" t="s">
        <v>6</v>
      </c>
      <c r="B15" s="1447" t="s">
        <v>7</v>
      </c>
      <c r="C15" s="1447" t="s">
        <v>8</v>
      </c>
      <c r="D15" s="1447" t="s">
        <v>10</v>
      </c>
      <c r="E15" s="1451" t="s">
        <v>11</v>
      </c>
      <c r="F15" s="37" t="s">
        <v>12</v>
      </c>
      <c r="G15" s="1450" t="s">
        <v>13</v>
      </c>
      <c r="H15" s="1447" t="s">
        <v>14</v>
      </c>
      <c r="I15" s="1447" t="s">
        <v>15</v>
      </c>
      <c r="J15" s="1447" t="s">
        <v>16</v>
      </c>
      <c r="K15" s="1447" t="s">
        <v>17</v>
      </c>
      <c r="L15" s="1447" t="s">
        <v>18</v>
      </c>
      <c r="M15" s="1447" t="s">
        <v>19</v>
      </c>
      <c r="N15" s="1448" t="s">
        <v>20</v>
      </c>
    </row>
    <row r="16" spans="1:14" x14ac:dyDescent="0.25">
      <c r="A16" s="1446"/>
      <c r="B16" s="1447"/>
      <c r="C16" s="1447"/>
      <c r="D16" s="1447"/>
      <c r="E16" s="1451"/>
      <c r="F16" s="38" t="s">
        <v>21</v>
      </c>
      <c r="G16" s="1450"/>
      <c r="H16" s="1447"/>
      <c r="I16" s="1447"/>
      <c r="J16" s="1447"/>
      <c r="K16" s="1447"/>
      <c r="L16" s="1447"/>
      <c r="M16" s="1447"/>
      <c r="N16" s="1448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455" t="s">
        <v>194</v>
      </c>
      <c r="C20" s="1455"/>
      <c r="D20" s="1455"/>
      <c r="E20" s="1455"/>
      <c r="F20" s="1456">
        <v>35000</v>
      </c>
      <c r="G20" s="1457">
        <v>0</v>
      </c>
      <c r="H20" s="1456">
        <v>35000</v>
      </c>
      <c r="I20" s="1457">
        <v>0</v>
      </c>
      <c r="J20" s="1457">
        <v>0</v>
      </c>
      <c r="K20" s="1457">
        <v>0</v>
      </c>
      <c r="L20" s="1457">
        <v>0</v>
      </c>
      <c r="M20" s="1457">
        <v>0</v>
      </c>
      <c r="N20" s="1453">
        <v>35000</v>
      </c>
    </row>
    <row r="21" spans="1:14" x14ac:dyDescent="0.25">
      <c r="B21" s="1455"/>
      <c r="C21" s="1455"/>
      <c r="D21" s="1455"/>
      <c r="E21" s="1455"/>
      <c r="F21" s="1456"/>
      <c r="G21" s="1457"/>
      <c r="H21" s="1456"/>
      <c r="I21" s="1457"/>
      <c r="J21" s="1457"/>
      <c r="K21" s="1457"/>
      <c r="L21" s="1457"/>
      <c r="M21" s="1457"/>
      <c r="N21" s="1453"/>
    </row>
    <row r="24" spans="1:14" x14ac:dyDescent="0.25">
      <c r="A24" s="24" t="s">
        <v>257</v>
      </c>
      <c r="B24" s="24"/>
      <c r="C24" s="5" t="s">
        <v>258</v>
      </c>
      <c r="L24" s="1443" t="s">
        <v>196</v>
      </c>
      <c r="M24" s="1443"/>
      <c r="N24" s="1443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454" t="s">
        <v>198</v>
      </c>
      <c r="M27" s="1454"/>
      <c r="N27" s="1454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443" t="s">
        <v>253</v>
      </c>
      <c r="M28" s="1443"/>
      <c r="N28" s="1443"/>
    </row>
    <row r="29" spans="1:14" x14ac:dyDescent="0.25">
      <c r="A29" s="25" t="s">
        <v>263</v>
      </c>
      <c r="B29" s="25"/>
      <c r="C29" t="s">
        <v>264</v>
      </c>
      <c r="L29" s="1454" t="s">
        <v>202</v>
      </c>
      <c r="M29" s="1454"/>
      <c r="N29" s="1454"/>
    </row>
    <row r="34" spans="1:14" x14ac:dyDescent="0.25">
      <c r="A34" s="1454"/>
      <c r="B34" s="1454"/>
      <c r="C34" s="1454"/>
      <c r="D34" s="1454"/>
      <c r="E34" s="1454"/>
      <c r="F34" s="1454"/>
      <c r="G34" s="1454"/>
      <c r="H34" s="1454"/>
      <c r="I34" s="1454"/>
      <c r="J34" s="1454"/>
      <c r="K34" s="1454"/>
      <c r="L34" s="1454"/>
      <c r="M34" s="1454"/>
      <c r="N34" s="1454"/>
    </row>
    <row r="35" spans="1:14" x14ac:dyDescent="0.25">
      <c r="A35" s="1443"/>
      <c r="B35" s="1443"/>
      <c r="C35" s="1443"/>
      <c r="D35" s="1443"/>
      <c r="E35" s="1443"/>
      <c r="F35" s="1443"/>
      <c r="G35" s="1443"/>
      <c r="H35" s="1443"/>
      <c r="I35" s="1443"/>
      <c r="J35" s="1443"/>
      <c r="K35" s="1443"/>
      <c r="L35" s="1443"/>
      <c r="M35" s="1443"/>
      <c r="N35" s="1443"/>
    </row>
    <row r="36" spans="1:14" x14ac:dyDescent="0.25">
      <c r="A36" s="1454"/>
      <c r="B36" s="1454"/>
      <c r="C36" s="1454"/>
      <c r="D36" s="1454"/>
      <c r="E36" s="1454"/>
      <c r="F36" s="1454"/>
      <c r="G36" s="1454"/>
      <c r="H36" s="1454"/>
      <c r="I36" s="1454"/>
      <c r="J36" s="1454"/>
      <c r="K36" s="1454"/>
      <c r="L36" s="1454"/>
      <c r="M36" s="1454"/>
      <c r="N36" s="1454"/>
    </row>
  </sheetData>
  <sheetProtection selectLockedCells="1" selectUnlockedCells="1"/>
  <mergeCells count="36"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443" t="s">
        <v>0</v>
      </c>
      <c r="C6" s="1443"/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  <c r="O6" s="1443"/>
      <c r="P6" s="1443"/>
    </row>
    <row r="7" spans="1:16" x14ac:dyDescent="0.25">
      <c r="B7" s="1443" t="s">
        <v>1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</row>
    <row r="8" spans="1:16" x14ac:dyDescent="0.25">
      <c r="B8" s="1444" t="s">
        <v>2</v>
      </c>
      <c r="C8" s="1444"/>
      <c r="D8" s="1444"/>
      <c r="E8" s="1444"/>
      <c r="F8" s="1444"/>
      <c r="G8" s="1444"/>
      <c r="H8" s="1444"/>
      <c r="I8" s="1444"/>
      <c r="J8" s="1444"/>
      <c r="K8" s="1444"/>
      <c r="L8" s="1444"/>
      <c r="M8" s="1444"/>
      <c r="N8" s="1444"/>
      <c r="O8" s="1444"/>
      <c r="P8" s="1444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443" t="s">
        <v>3</v>
      </c>
      <c r="C10" s="1443"/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  <c r="P10" s="1443"/>
    </row>
    <row r="11" spans="1:16" x14ac:dyDescent="0.25">
      <c r="B11" s="1443" t="s">
        <v>265</v>
      </c>
      <c r="C11" s="1443"/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</row>
    <row r="12" spans="1:16" x14ac:dyDescent="0.25">
      <c r="B12" s="1442" t="s">
        <v>5</v>
      </c>
      <c r="C12" s="1442"/>
      <c r="D12" s="1442"/>
      <c r="E12" s="1442"/>
      <c r="F12" s="1442"/>
      <c r="G12" s="1442"/>
      <c r="H12" s="1442"/>
      <c r="I12" s="1442"/>
      <c r="J12" s="1442"/>
      <c r="K12" s="1442"/>
      <c r="L12" s="1442"/>
      <c r="M12" s="1442"/>
      <c r="N12" s="1442"/>
      <c r="O12" s="1442"/>
      <c r="P12" s="1442"/>
    </row>
    <row r="14" spans="1:16" x14ac:dyDescent="0.25">
      <c r="A14" s="1446" t="s">
        <v>6</v>
      </c>
      <c r="B14" s="1447" t="s">
        <v>7</v>
      </c>
      <c r="C14" s="1447" t="s">
        <v>8</v>
      </c>
      <c r="D14" s="1447" t="s">
        <v>9</v>
      </c>
      <c r="E14" s="1447" t="s">
        <v>10</v>
      </c>
      <c r="F14" s="1451" t="s">
        <v>11</v>
      </c>
      <c r="G14" s="1447" t="s">
        <v>11</v>
      </c>
      <c r="H14" s="3" t="s">
        <v>12</v>
      </c>
      <c r="I14" s="1450" t="s">
        <v>13</v>
      </c>
      <c r="J14" s="1447" t="s">
        <v>14</v>
      </c>
      <c r="K14" s="1447" t="s">
        <v>15</v>
      </c>
      <c r="L14" s="1447" t="s">
        <v>16</v>
      </c>
      <c r="M14" s="1447" t="s">
        <v>17</v>
      </c>
      <c r="N14" s="1447" t="s">
        <v>18</v>
      </c>
      <c r="O14" s="1447" t="s">
        <v>19</v>
      </c>
      <c r="P14" s="1448" t="s">
        <v>20</v>
      </c>
    </row>
    <row r="15" spans="1:16" x14ac:dyDescent="0.25">
      <c r="A15" s="1446"/>
      <c r="B15" s="1447"/>
      <c r="C15" s="1447"/>
      <c r="D15" s="1447"/>
      <c r="E15" s="1447"/>
      <c r="F15" s="1451"/>
      <c r="G15" s="1447"/>
      <c r="H15" s="4" t="s">
        <v>21</v>
      </c>
      <c r="I15" s="1450"/>
      <c r="J15" s="1447"/>
      <c r="K15" s="1447"/>
      <c r="L15" s="1447"/>
      <c r="M15" s="1447"/>
      <c r="N15" s="1447"/>
      <c r="O15" s="1447"/>
      <c r="P15" s="1448"/>
    </row>
    <row r="17" spans="1:16" x14ac:dyDescent="0.25">
      <c r="A17" s="6">
        <v>1</v>
      </c>
      <c r="B17" s="7" t="s">
        <v>22</v>
      </c>
      <c r="C17" s="7" t="s">
        <v>23</v>
      </c>
      <c r="D17" s="1449" t="s">
        <v>24</v>
      </c>
      <c r="E17" s="1449"/>
      <c r="F17" s="1449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445" t="s">
        <v>27</v>
      </c>
      <c r="E18" s="1445"/>
      <c r="F18" s="1445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445" t="s">
        <v>30</v>
      </c>
      <c r="E19" s="1445" t="s">
        <v>31</v>
      </c>
      <c r="F19" s="1445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445" t="s">
        <v>27</v>
      </c>
      <c r="E20" s="1445" t="s">
        <v>33</v>
      </c>
      <c r="F20" s="1445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445" t="s">
        <v>36</v>
      </c>
      <c r="E21" s="1445" t="s">
        <v>37</v>
      </c>
      <c r="F21" s="1445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445" t="s">
        <v>40</v>
      </c>
      <c r="E22" s="1445" t="s">
        <v>41</v>
      </c>
      <c r="F22" s="1445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445" t="s">
        <v>44</v>
      </c>
      <c r="E23" s="1445" t="s">
        <v>45</v>
      </c>
      <c r="F23" s="1445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445" t="s">
        <v>49</v>
      </c>
      <c r="E24" s="1445" t="s">
        <v>50</v>
      </c>
      <c r="F24" s="1445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445" t="s">
        <v>53</v>
      </c>
      <c r="E25" s="1445" t="s">
        <v>54</v>
      </c>
      <c r="F25" s="1445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445" t="s">
        <v>56</v>
      </c>
      <c r="E26" s="1445" t="s">
        <v>57</v>
      </c>
      <c r="F26" s="1445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445" t="s">
        <v>53</v>
      </c>
      <c r="E27" s="1445" t="s">
        <v>60</v>
      </c>
      <c r="F27" s="1445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445" t="s">
        <v>63</v>
      </c>
      <c r="E28" s="1445" t="s">
        <v>64</v>
      </c>
      <c r="F28" s="1445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445" t="s">
        <v>67</v>
      </c>
      <c r="E29" s="1445" t="s">
        <v>68</v>
      </c>
      <c r="F29" s="1445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445" t="s">
        <v>71</v>
      </c>
      <c r="E30" s="1445" t="s">
        <v>72</v>
      </c>
      <c r="F30" s="1445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445" t="s">
        <v>75</v>
      </c>
      <c r="E31" s="1445" t="s">
        <v>76</v>
      </c>
      <c r="F31" s="1445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445" t="s">
        <v>78</v>
      </c>
      <c r="E32" s="1445" t="s">
        <v>79</v>
      </c>
      <c r="F32" s="1445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445" t="s">
        <v>82</v>
      </c>
      <c r="E33" s="1445" t="s">
        <v>83</v>
      </c>
      <c r="F33" s="1445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445" t="s">
        <v>85</v>
      </c>
      <c r="E34" s="1445" t="s">
        <v>86</v>
      </c>
      <c r="F34" s="1445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445" t="s">
        <v>89</v>
      </c>
      <c r="E35" s="1445" t="s">
        <v>90</v>
      </c>
      <c r="F35" s="1445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445" t="s">
        <v>92</v>
      </c>
      <c r="E36" s="1445" t="s">
        <v>93</v>
      </c>
      <c r="F36" s="1445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445" t="s">
        <v>71</v>
      </c>
      <c r="E37" s="1445" t="s">
        <v>95</v>
      </c>
      <c r="F37" s="1445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445" t="s">
        <v>97</v>
      </c>
      <c r="E38" s="1445" t="s">
        <v>98</v>
      </c>
      <c r="F38" s="1445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445" t="s">
        <v>92</v>
      </c>
      <c r="E39" s="1445" t="s">
        <v>100</v>
      </c>
      <c r="F39" s="1445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445" t="s">
        <v>102</v>
      </c>
      <c r="E40" s="1445" t="s">
        <v>103</v>
      </c>
      <c r="F40" s="1445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445" t="s">
        <v>105</v>
      </c>
      <c r="E41" s="1445" t="s">
        <v>106</v>
      </c>
      <c r="F41" s="1445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445" t="s">
        <v>105</v>
      </c>
      <c r="E42" s="1445" t="s">
        <v>108</v>
      </c>
      <c r="F42" s="1445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445" t="s">
        <v>105</v>
      </c>
      <c r="E43" s="1445" t="s">
        <v>110</v>
      </c>
      <c r="F43" s="1445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445" t="s">
        <v>78</v>
      </c>
      <c r="E44" s="1445" t="s">
        <v>115</v>
      </c>
      <c r="F44" s="1445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445" t="s">
        <v>117</v>
      </c>
      <c r="E45" s="1445" t="s">
        <v>118</v>
      </c>
      <c r="F45" s="1445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445" t="s">
        <v>120</v>
      </c>
      <c r="E46" s="1445" t="s">
        <v>121</v>
      </c>
      <c r="F46" s="1445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445" t="s">
        <v>49</v>
      </c>
      <c r="E47" s="1445" t="s">
        <v>123</v>
      </c>
      <c r="F47" s="1445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445" t="s">
        <v>125</v>
      </c>
      <c r="E48" s="1445" t="s">
        <v>126</v>
      </c>
      <c r="F48" s="1445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445" t="s">
        <v>105</v>
      </c>
      <c r="E49" s="1445" t="s">
        <v>128</v>
      </c>
      <c r="F49" s="1445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445" t="s">
        <v>102</v>
      </c>
      <c r="E50" s="1445" t="s">
        <v>130</v>
      </c>
      <c r="F50" s="1445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445" t="s">
        <v>132</v>
      </c>
      <c r="E51" s="1445" t="s">
        <v>133</v>
      </c>
      <c r="F51" s="1445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445" t="s">
        <v>117</v>
      </c>
      <c r="E52" s="1445" t="s">
        <v>135</v>
      </c>
      <c r="F52" s="1445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445" t="s">
        <v>85</v>
      </c>
      <c r="E53" s="1445" t="s">
        <v>137</v>
      </c>
      <c r="F53" s="1445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445" t="s">
        <v>139</v>
      </c>
      <c r="E54" s="1445" t="s">
        <v>140</v>
      </c>
      <c r="F54" s="1445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445" t="s">
        <v>148</v>
      </c>
      <c r="E55" s="1445" t="s">
        <v>149</v>
      </c>
      <c r="F55" s="1445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445" t="s">
        <v>151</v>
      </c>
      <c r="E56" s="1445" t="s">
        <v>152</v>
      </c>
      <c r="F56" s="1445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445" t="s">
        <v>157</v>
      </c>
      <c r="E57" s="1445" t="s">
        <v>158</v>
      </c>
      <c r="F57" s="1445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445" t="s">
        <v>160</v>
      </c>
      <c r="E58" s="1445" t="s">
        <v>161</v>
      </c>
      <c r="F58" s="1445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445" t="s">
        <v>163</v>
      </c>
      <c r="E59" s="1445" t="s">
        <v>164</v>
      </c>
      <c r="F59" s="1445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445" t="s">
        <v>92</v>
      </c>
      <c r="E61" s="1445" t="s">
        <v>168</v>
      </c>
      <c r="F61" s="1445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445" t="s">
        <v>105</v>
      </c>
      <c r="E62" s="1445" t="s">
        <v>170</v>
      </c>
      <c r="F62" s="1445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445" t="s">
        <v>40</v>
      </c>
      <c r="E63" s="1445" t="s">
        <v>172</v>
      </c>
      <c r="F63" s="1445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445" t="s">
        <v>92</v>
      </c>
      <c r="E66" s="1445" t="s">
        <v>176</v>
      </c>
      <c r="F66" s="1445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445" t="s">
        <v>178</v>
      </c>
      <c r="E67" s="1445" t="s">
        <v>179</v>
      </c>
      <c r="F67" s="1445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445" t="s">
        <v>181</v>
      </c>
      <c r="E68" s="1445" t="s">
        <v>182</v>
      </c>
      <c r="F68" s="1445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452" t="s">
        <v>92</v>
      </c>
      <c r="E72" s="1452" t="s">
        <v>193</v>
      </c>
      <c r="F72" s="1452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452" t="s">
        <v>276</v>
      </c>
      <c r="E79" s="1452"/>
      <c r="F79" s="1452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455" t="s">
        <v>194</v>
      </c>
      <c r="C80" s="1455"/>
      <c r="D80" s="1455"/>
      <c r="E80" s="1455"/>
      <c r="F80" s="1455"/>
      <c r="G80" s="1455"/>
      <c r="H80" s="46"/>
      <c r="I80" s="1457">
        <v>0</v>
      </c>
      <c r="J80" s="1456">
        <v>2156717.5</v>
      </c>
      <c r="K80" s="1456">
        <v>61897.81</v>
      </c>
      <c r="L80" s="1456">
        <v>82205.539999999994</v>
      </c>
      <c r="M80" s="1456">
        <v>65564.210000000006</v>
      </c>
      <c r="N80" s="1456">
        <v>43904.03</v>
      </c>
      <c r="O80" s="1456">
        <v>253571.59</v>
      </c>
      <c r="P80" s="1453">
        <v>1903145.91</v>
      </c>
    </row>
    <row r="81" spans="2:16" x14ac:dyDescent="0.25">
      <c r="B81" s="1455"/>
      <c r="C81" s="1455"/>
      <c r="D81" s="1455"/>
      <c r="E81" s="1455"/>
      <c r="F81" s="1455"/>
      <c r="G81" s="1455"/>
      <c r="H81" s="47">
        <f>SUM(H17:H80)</f>
        <v>2156717.5</v>
      </c>
      <c r="I81" s="1457"/>
      <c r="J81" s="1456"/>
      <c r="K81" s="1456"/>
      <c r="L81" s="1456"/>
      <c r="M81" s="1456"/>
      <c r="N81" s="1456"/>
      <c r="O81" s="1456"/>
      <c r="P81" s="1453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443" t="s">
        <v>196</v>
      </c>
      <c r="N84" s="1443"/>
      <c r="O84" s="1443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454" t="s">
        <v>198</v>
      </c>
      <c r="N87" s="1454"/>
      <c r="O87" s="1454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443" t="s">
        <v>253</v>
      </c>
      <c r="N88" s="1443"/>
      <c r="O88" s="1443"/>
    </row>
    <row r="89" spans="2:16" x14ac:dyDescent="0.25">
      <c r="B89" s="25" t="s">
        <v>201</v>
      </c>
      <c r="C89" s="25"/>
      <c r="D89" t="s">
        <v>254</v>
      </c>
      <c r="M89" s="1454" t="s">
        <v>202</v>
      </c>
      <c r="N89" s="1454"/>
      <c r="O89" s="1454"/>
    </row>
    <row r="92" spans="2:16" x14ac:dyDescent="0.25">
      <c r="B92" s="1443"/>
      <c r="C92" s="1443"/>
      <c r="D92" s="1443"/>
      <c r="E92" s="1443"/>
      <c r="F92" s="1443"/>
      <c r="G92" s="1443"/>
      <c r="H92" s="1443"/>
      <c r="I92" s="1443"/>
      <c r="J92" s="1443"/>
      <c r="K92" s="1443"/>
      <c r="L92" s="1443"/>
      <c r="M92" s="1443"/>
      <c r="N92" s="1443"/>
      <c r="O92" s="1443"/>
    </row>
    <row r="95" spans="2:16" x14ac:dyDescent="0.25">
      <c r="B95" s="1454"/>
      <c r="C95" s="1454"/>
      <c r="D95" s="1454"/>
      <c r="E95" s="1454"/>
      <c r="F95" s="1454"/>
      <c r="G95" s="1454"/>
      <c r="H95" s="1454"/>
      <c r="I95" s="1454"/>
      <c r="J95" s="1454"/>
      <c r="K95" s="1454"/>
      <c r="L95" s="1454"/>
      <c r="M95" s="1454"/>
      <c r="N95" s="1454"/>
      <c r="O95" s="1454"/>
    </row>
    <row r="96" spans="2:16" x14ac:dyDescent="0.25">
      <c r="B96" s="1443"/>
      <c r="C96" s="1443"/>
      <c r="D96" s="1443"/>
      <c r="E96" s="1443"/>
      <c r="F96" s="1443"/>
      <c r="G96" s="1443"/>
      <c r="H96" s="1443"/>
      <c r="I96" s="1443"/>
      <c r="J96" s="1443"/>
      <c r="K96" s="1443"/>
      <c r="L96" s="1443"/>
      <c r="M96" s="1443"/>
      <c r="N96" s="1443"/>
      <c r="O96" s="1443"/>
    </row>
    <row r="97" spans="2:15" x14ac:dyDescent="0.25">
      <c r="B97" s="1454"/>
      <c r="C97" s="1454"/>
      <c r="D97" s="1454"/>
      <c r="E97" s="1454"/>
      <c r="F97" s="1454"/>
      <c r="G97" s="1454"/>
      <c r="H97" s="1454"/>
      <c r="I97" s="1454"/>
      <c r="J97" s="1454"/>
      <c r="K97" s="1454"/>
      <c r="L97" s="1454"/>
      <c r="M97" s="1454"/>
      <c r="N97" s="1454"/>
      <c r="O97" s="1454"/>
    </row>
  </sheetData>
  <sheetProtection selectLockedCells="1" selectUnlockedCells="1"/>
  <mergeCells count="89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N14:N15"/>
    <mergeCell ref="O14:O15"/>
    <mergeCell ref="P14:P15"/>
    <mergeCell ref="D17:F17"/>
    <mergeCell ref="D18:F18"/>
    <mergeCell ref="L14:L15"/>
    <mergeCell ref="M14:M15"/>
    <mergeCell ref="D19:F19"/>
    <mergeCell ref="G14:G15"/>
    <mergeCell ref="I14:I15"/>
    <mergeCell ref="J14:J15"/>
    <mergeCell ref="K14:K15"/>
    <mergeCell ref="F14:F15"/>
    <mergeCell ref="A14:A15"/>
    <mergeCell ref="B14:B15"/>
    <mergeCell ref="C14:C15"/>
    <mergeCell ref="D14:D15"/>
    <mergeCell ref="E14:E15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43" t="s">
        <v>0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</row>
    <row r="8" spans="1:14" x14ac:dyDescent="0.25">
      <c r="B8" s="1443" t="s">
        <v>1</v>
      </c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</row>
    <row r="9" spans="1:14" x14ac:dyDescent="0.25">
      <c r="B9" s="1444" t="s">
        <v>2</v>
      </c>
      <c r="C9" s="1444"/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443" t="s">
        <v>3</v>
      </c>
      <c r="C11" s="1443"/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</row>
    <row r="12" spans="1:14" x14ac:dyDescent="0.25">
      <c r="B12" s="1443" t="s">
        <v>277</v>
      </c>
      <c r="C12" s="1443"/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</row>
    <row r="13" spans="1:14" x14ac:dyDescent="0.25">
      <c r="B13" s="1442" t="s">
        <v>5</v>
      </c>
      <c r="C13" s="1442"/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46" t="s">
        <v>6</v>
      </c>
      <c r="B15" s="1447" t="s">
        <v>7</v>
      </c>
      <c r="C15" s="1447" t="s">
        <v>8</v>
      </c>
      <c r="D15" s="1447" t="s">
        <v>10</v>
      </c>
      <c r="E15" s="1451" t="s">
        <v>11</v>
      </c>
      <c r="F15" s="37" t="s">
        <v>12</v>
      </c>
      <c r="G15" s="1450" t="s">
        <v>13</v>
      </c>
      <c r="H15" s="1447" t="s">
        <v>14</v>
      </c>
      <c r="I15" s="1447" t="s">
        <v>15</v>
      </c>
      <c r="J15" s="1447" t="s">
        <v>16</v>
      </c>
      <c r="K15" s="1447" t="s">
        <v>17</v>
      </c>
      <c r="L15" s="1447" t="s">
        <v>18</v>
      </c>
      <c r="M15" s="1447" t="s">
        <v>19</v>
      </c>
      <c r="N15" s="1448" t="s">
        <v>20</v>
      </c>
    </row>
    <row r="16" spans="1:14" x14ac:dyDescent="0.25">
      <c r="A16" s="1446"/>
      <c r="B16" s="1447"/>
      <c r="C16" s="1447"/>
      <c r="D16" s="1447"/>
      <c r="E16" s="1451"/>
      <c r="F16" s="38" t="s">
        <v>21</v>
      </c>
      <c r="G16" s="1450"/>
      <c r="H16" s="1447"/>
      <c r="I16" s="1447"/>
      <c r="J16" s="1447"/>
      <c r="K16" s="1447"/>
      <c r="L16" s="1447"/>
      <c r="M16" s="1447"/>
      <c r="N16" s="1448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455" t="s">
        <v>194</v>
      </c>
      <c r="C22" s="1455"/>
      <c r="D22" s="1455"/>
      <c r="E22" s="1455"/>
      <c r="F22" s="1456">
        <v>55000</v>
      </c>
      <c r="G22" s="1457">
        <v>0</v>
      </c>
      <c r="H22" s="1456">
        <v>55000</v>
      </c>
      <c r="I22" s="1457">
        <v>0</v>
      </c>
      <c r="J22" s="1457">
        <v>0</v>
      </c>
      <c r="K22" s="1457">
        <v>0</v>
      </c>
      <c r="L22" s="1457">
        <v>0</v>
      </c>
      <c r="M22" s="1457">
        <v>0</v>
      </c>
      <c r="N22" s="1453">
        <v>55000</v>
      </c>
    </row>
    <row r="23" spans="1:14" x14ac:dyDescent="0.25">
      <c r="B23" s="1455"/>
      <c r="C23" s="1455"/>
      <c r="D23" s="1455"/>
      <c r="E23" s="1455"/>
      <c r="F23" s="1456"/>
      <c r="G23" s="1457"/>
      <c r="H23" s="1456"/>
      <c r="I23" s="1457"/>
      <c r="J23" s="1457"/>
      <c r="K23" s="1457"/>
      <c r="L23" s="1457"/>
      <c r="M23" s="1457"/>
      <c r="N23" s="1453"/>
    </row>
    <row r="26" spans="1:14" x14ac:dyDescent="0.25">
      <c r="A26" s="24" t="s">
        <v>257</v>
      </c>
      <c r="B26" s="24"/>
      <c r="C26" s="5" t="s">
        <v>258</v>
      </c>
      <c r="L26" s="1443" t="s">
        <v>196</v>
      </c>
      <c r="M26" s="1443"/>
      <c r="N26" s="1443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454" t="s">
        <v>198</v>
      </c>
      <c r="M29" s="1454"/>
      <c r="N29" s="1454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443" t="s">
        <v>253</v>
      </c>
      <c r="M30" s="1443"/>
      <c r="N30" s="1443"/>
    </row>
    <row r="31" spans="1:14" x14ac:dyDescent="0.25">
      <c r="A31" s="25" t="s">
        <v>263</v>
      </c>
      <c r="B31" s="25"/>
      <c r="C31" t="s">
        <v>264</v>
      </c>
      <c r="L31" s="1454" t="s">
        <v>202</v>
      </c>
      <c r="M31" s="1454"/>
      <c r="N31" s="1454"/>
    </row>
    <row r="36" spans="1:14" x14ac:dyDescent="0.25">
      <c r="A36" s="1454"/>
      <c r="B36" s="1454"/>
      <c r="C36" s="1454"/>
      <c r="D36" s="1454"/>
      <c r="E36" s="1454"/>
      <c r="F36" s="1454"/>
      <c r="G36" s="1454"/>
      <c r="H36" s="1454"/>
      <c r="I36" s="1454"/>
      <c r="J36" s="1454"/>
      <c r="K36" s="1454"/>
      <c r="L36" s="1454"/>
      <c r="M36" s="1454"/>
      <c r="N36" s="1454"/>
    </row>
    <row r="37" spans="1:14" x14ac:dyDescent="0.25">
      <c r="A37" s="1443"/>
      <c r="B37" s="1443"/>
      <c r="C37" s="1443"/>
      <c r="D37" s="1443"/>
      <c r="E37" s="1443"/>
      <c r="F37" s="1443"/>
      <c r="G37" s="1443"/>
      <c r="H37" s="1443"/>
      <c r="I37" s="1443"/>
      <c r="J37" s="1443"/>
      <c r="K37" s="1443"/>
      <c r="L37" s="1443"/>
      <c r="M37" s="1443"/>
      <c r="N37" s="1443"/>
    </row>
    <row r="38" spans="1:14" x14ac:dyDescent="0.25">
      <c r="A38" s="1454"/>
      <c r="B38" s="1454"/>
      <c r="C38" s="1454"/>
      <c r="D38" s="1454"/>
      <c r="E38" s="1454"/>
      <c r="F38" s="1454"/>
      <c r="G38" s="1454"/>
      <c r="H38" s="1454"/>
      <c r="I38" s="1454"/>
      <c r="J38" s="1454"/>
      <c r="K38" s="1454"/>
      <c r="L38" s="1454"/>
      <c r="M38" s="1454"/>
      <c r="N38" s="1454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443" t="s">
        <v>0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</row>
    <row r="8" spans="1:16" x14ac:dyDescent="0.25">
      <c r="B8" s="1443" t="s">
        <v>1</v>
      </c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</row>
    <row r="9" spans="1:16" x14ac:dyDescent="0.25">
      <c r="B9" s="1444" t="s">
        <v>2</v>
      </c>
      <c r="C9" s="1444"/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443" t="s">
        <v>3</v>
      </c>
      <c r="C11" s="1443"/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</row>
    <row r="12" spans="1:16" x14ac:dyDescent="0.25">
      <c r="B12" s="1443" t="s">
        <v>280</v>
      </c>
      <c r="C12" s="1443"/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</row>
    <row r="13" spans="1:16" x14ac:dyDescent="0.25">
      <c r="B13" s="1442" t="s">
        <v>5</v>
      </c>
      <c r="C13" s="1442"/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446" t="s">
        <v>6</v>
      </c>
      <c r="B15" s="1447" t="s">
        <v>7</v>
      </c>
      <c r="C15" s="1447" t="s">
        <v>8</v>
      </c>
      <c r="D15" s="1447" t="s">
        <v>10</v>
      </c>
      <c r="E15" s="1451" t="s">
        <v>11</v>
      </c>
      <c r="F15" s="1447" t="s">
        <v>208</v>
      </c>
      <c r="G15" s="1447" t="s">
        <v>209</v>
      </c>
      <c r="H15" s="3" t="s">
        <v>12</v>
      </c>
      <c r="I15" s="1450" t="s">
        <v>13</v>
      </c>
      <c r="J15" s="1447" t="s">
        <v>14</v>
      </c>
      <c r="K15" s="1447" t="s">
        <v>15</v>
      </c>
      <c r="L15" s="1447" t="s">
        <v>16</v>
      </c>
      <c r="M15" s="1447" t="s">
        <v>17</v>
      </c>
      <c r="N15" s="1447" t="s">
        <v>18</v>
      </c>
      <c r="O15" s="1447" t="s">
        <v>19</v>
      </c>
      <c r="P15" s="1448" t="s">
        <v>20</v>
      </c>
    </row>
    <row r="16" spans="1:16" x14ac:dyDescent="0.25">
      <c r="A16" s="1446"/>
      <c r="B16" s="1447"/>
      <c r="C16" s="1447"/>
      <c r="D16" s="1447"/>
      <c r="E16" s="1451"/>
      <c r="F16" s="1447"/>
      <c r="G16" s="1447"/>
      <c r="H16" s="4" t="s">
        <v>21</v>
      </c>
      <c r="I16" s="1450"/>
      <c r="J16" s="1447"/>
      <c r="K16" s="1447"/>
      <c r="L16" s="1447"/>
      <c r="M16" s="1447"/>
      <c r="N16" s="1447"/>
      <c r="O16" s="1447"/>
      <c r="P16" s="1448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455" t="s">
        <v>194</v>
      </c>
      <c r="C29" s="1455"/>
      <c r="D29" s="1455"/>
      <c r="E29" s="1455"/>
      <c r="F29" s="1455"/>
      <c r="G29" s="1455"/>
      <c r="H29" s="1456">
        <f t="shared" ref="H29:P29" si="0">SUM(H18:H28)</f>
        <v>355500</v>
      </c>
      <c r="I29" s="1457">
        <f t="shared" si="0"/>
        <v>0</v>
      </c>
      <c r="J29" s="1456">
        <f t="shared" si="0"/>
        <v>355500</v>
      </c>
      <c r="K29" s="1456">
        <f t="shared" si="0"/>
        <v>10202.859999999997</v>
      </c>
      <c r="L29" s="1456">
        <f t="shared" si="0"/>
        <v>7858.66</v>
      </c>
      <c r="M29" s="1456">
        <f t="shared" si="0"/>
        <v>10807.2</v>
      </c>
      <c r="N29" s="1456">
        <f t="shared" si="0"/>
        <v>1495</v>
      </c>
      <c r="O29" s="1456">
        <f t="shared" si="0"/>
        <v>30363.720000000005</v>
      </c>
      <c r="P29" s="1453">
        <f t="shared" si="0"/>
        <v>325136.28000000003</v>
      </c>
    </row>
    <row r="30" spans="1:16" x14ac:dyDescent="0.25">
      <c r="B30" s="1455"/>
      <c r="C30" s="1455"/>
      <c r="D30" s="1455"/>
      <c r="E30" s="1455"/>
      <c r="F30" s="1455"/>
      <c r="G30" s="1455"/>
      <c r="H30" s="1456"/>
      <c r="I30" s="1457"/>
      <c r="J30" s="1456"/>
      <c r="K30" s="1456"/>
      <c r="L30" s="1456"/>
      <c r="M30" s="1456"/>
      <c r="N30" s="1456"/>
      <c r="O30" s="1456"/>
      <c r="P30" s="1453"/>
    </row>
    <row r="33" spans="2:15" x14ac:dyDescent="0.25">
      <c r="B33" s="24" t="s">
        <v>195</v>
      </c>
      <c r="C33" s="24"/>
      <c r="D33" s="5" t="s">
        <v>250</v>
      </c>
      <c r="M33" s="1443" t="s">
        <v>196</v>
      </c>
      <c r="N33" s="1443"/>
      <c r="O33" s="1443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454" t="s">
        <v>198</v>
      </c>
      <c r="N36" s="1454"/>
      <c r="O36" s="1454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443" t="s">
        <v>253</v>
      </c>
      <c r="N37" s="1443"/>
      <c r="O37" s="1443"/>
    </row>
    <row r="38" spans="2:15" x14ac:dyDescent="0.25">
      <c r="B38" s="25" t="s">
        <v>201</v>
      </c>
      <c r="C38" s="25"/>
      <c r="D38" t="s">
        <v>254</v>
      </c>
      <c r="M38" s="1454" t="s">
        <v>202</v>
      </c>
      <c r="N38" s="1454"/>
      <c r="O38" s="1454"/>
    </row>
    <row r="41" spans="2:15" x14ac:dyDescent="0.25">
      <c r="B41" s="1443"/>
      <c r="C41" s="1443"/>
      <c r="D41" s="1443"/>
      <c r="E41" s="1443"/>
      <c r="F41" s="1443"/>
      <c r="G41" s="1443"/>
      <c r="H41" s="1443"/>
      <c r="I41" s="1443"/>
      <c r="J41" s="1443"/>
      <c r="K41" s="1443"/>
      <c r="L41" s="1443"/>
      <c r="M41" s="1443"/>
      <c r="N41" s="1443"/>
      <c r="O41" s="1443"/>
    </row>
    <row r="44" spans="2:15" x14ac:dyDescent="0.25">
      <c r="B44" s="1454"/>
      <c r="C44" s="1454"/>
      <c r="D44" s="1454"/>
      <c r="E44" s="1454"/>
      <c r="F44" s="1454"/>
      <c r="G44" s="1454"/>
      <c r="H44" s="1454"/>
      <c r="I44" s="1454"/>
      <c r="J44" s="1454"/>
      <c r="K44" s="1454"/>
      <c r="L44" s="1454"/>
      <c r="M44" s="1454"/>
      <c r="N44" s="1454"/>
      <c r="O44" s="1454"/>
    </row>
    <row r="45" spans="2:15" x14ac:dyDescent="0.25">
      <c r="B45" s="1443"/>
      <c r="C45" s="1443"/>
      <c r="D45" s="1443"/>
      <c r="E45" s="1443"/>
      <c r="F45" s="1443"/>
      <c r="G45" s="1443"/>
      <c r="H45" s="1443"/>
      <c r="I45" s="1443"/>
      <c r="J45" s="1443"/>
      <c r="K45" s="1443"/>
      <c r="L45" s="1443"/>
      <c r="M45" s="1443"/>
      <c r="N45" s="1443"/>
      <c r="O45" s="1443"/>
    </row>
    <row r="46" spans="2:15" x14ac:dyDescent="0.25">
      <c r="B46" s="1454"/>
      <c r="C46" s="1454"/>
      <c r="D46" s="1454"/>
      <c r="E46" s="1454"/>
      <c r="F46" s="1454"/>
      <c r="G46" s="1454"/>
      <c r="H46" s="1454"/>
      <c r="I46" s="1454"/>
      <c r="J46" s="1454"/>
      <c r="K46" s="1454"/>
      <c r="L46" s="1454"/>
      <c r="M46" s="1454"/>
      <c r="N46" s="1454"/>
      <c r="O46" s="1454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443" t="s">
        <v>0</v>
      </c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  <c r="O6" s="1443"/>
      <c r="P6" s="1443"/>
      <c r="Q6" s="1443"/>
    </row>
    <row r="7" spans="2:17" x14ac:dyDescent="0.25">
      <c r="C7" s="1443" t="s">
        <v>1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4" t="s">
        <v>2</v>
      </c>
      <c r="D8" s="1444"/>
      <c r="E8" s="1444"/>
      <c r="F8" s="1444"/>
      <c r="G8" s="1444"/>
      <c r="H8" s="1444"/>
      <c r="I8" s="1444"/>
      <c r="J8" s="1444"/>
      <c r="K8" s="1444"/>
      <c r="L8" s="1444"/>
      <c r="M8" s="1444"/>
      <c r="N8" s="1444"/>
      <c r="O8" s="1444"/>
      <c r="P8" s="1444"/>
      <c r="Q8" s="144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443" t="s">
        <v>3</v>
      </c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  <c r="P10" s="1443"/>
      <c r="Q10" s="1443"/>
    </row>
    <row r="11" spans="2:17" x14ac:dyDescent="0.25">
      <c r="C11" s="1443" t="s">
        <v>283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2" t="s">
        <v>5</v>
      </c>
      <c r="D12" s="1442"/>
      <c r="E12" s="1442"/>
      <c r="F12" s="1442"/>
      <c r="G12" s="1442"/>
      <c r="H12" s="1442"/>
      <c r="I12" s="1442"/>
      <c r="J12" s="1442"/>
      <c r="K12" s="1442"/>
      <c r="L12" s="1442"/>
      <c r="M12" s="1442"/>
      <c r="N12" s="1442"/>
      <c r="O12" s="1442"/>
      <c r="P12" s="1442"/>
      <c r="Q12" s="1442"/>
    </row>
    <row r="14" spans="2:17" x14ac:dyDescent="0.25">
      <c r="B14" s="1458" t="s">
        <v>6</v>
      </c>
      <c r="C14" s="1459" t="s">
        <v>7</v>
      </c>
      <c r="D14" s="1459" t="s">
        <v>8</v>
      </c>
      <c r="E14" s="1459" t="s">
        <v>9</v>
      </c>
      <c r="F14" s="1459" t="s">
        <v>10</v>
      </c>
      <c r="G14" s="1461" t="s">
        <v>11</v>
      </c>
      <c r="H14" s="1459" t="s">
        <v>11</v>
      </c>
      <c r="I14" s="51" t="s">
        <v>12</v>
      </c>
      <c r="J14" s="1460" t="s">
        <v>13</v>
      </c>
      <c r="K14" s="1459" t="s">
        <v>14</v>
      </c>
      <c r="L14" s="1459" t="s">
        <v>15</v>
      </c>
      <c r="M14" s="1459" t="s">
        <v>16</v>
      </c>
      <c r="N14" s="1459" t="s">
        <v>17</v>
      </c>
      <c r="O14" s="1459" t="s">
        <v>18</v>
      </c>
      <c r="P14" s="1459" t="s">
        <v>19</v>
      </c>
      <c r="Q14" s="1462" t="s">
        <v>20</v>
      </c>
    </row>
    <row r="15" spans="2:17" x14ac:dyDescent="0.25">
      <c r="B15" s="1458"/>
      <c r="C15" s="1459"/>
      <c r="D15" s="1459"/>
      <c r="E15" s="1459"/>
      <c r="F15" s="1459"/>
      <c r="G15" s="1461"/>
      <c r="H15" s="1459"/>
      <c r="I15" s="52" t="s">
        <v>21</v>
      </c>
      <c r="J15" s="1460"/>
      <c r="K15" s="1459"/>
      <c r="L15" s="1459"/>
      <c r="M15" s="1459"/>
      <c r="N15" s="1459"/>
      <c r="O15" s="1459"/>
      <c r="P15" s="1459"/>
      <c r="Q15" s="1462"/>
    </row>
    <row r="17" spans="2:17" x14ac:dyDescent="0.25">
      <c r="B17" s="53">
        <v>1</v>
      </c>
      <c r="C17" s="54" t="s">
        <v>22</v>
      </c>
      <c r="D17" s="7" t="s">
        <v>23</v>
      </c>
      <c r="E17" s="1449" t="s">
        <v>24</v>
      </c>
      <c r="F17" s="1449"/>
      <c r="G17" s="1449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445" t="s">
        <v>30</v>
      </c>
      <c r="F18" s="1445" t="s">
        <v>31</v>
      </c>
      <c r="G18" s="144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445" t="s">
        <v>36</v>
      </c>
      <c r="F19" s="1445" t="s">
        <v>37</v>
      </c>
      <c r="G19" s="1445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445" t="s">
        <v>40</v>
      </c>
      <c r="F20" s="1445" t="s">
        <v>41</v>
      </c>
      <c r="G20" s="1445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445" t="s">
        <v>44</v>
      </c>
      <c r="F21" s="1445" t="s">
        <v>45</v>
      </c>
      <c r="G21" s="1445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445" t="s">
        <v>49</v>
      </c>
      <c r="F22" s="1445" t="s">
        <v>50</v>
      </c>
      <c r="G22" s="1445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445" t="s">
        <v>53</v>
      </c>
      <c r="F23" s="1445" t="s">
        <v>54</v>
      </c>
      <c r="G23" s="1445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445" t="s">
        <v>56</v>
      </c>
      <c r="F24" s="1445" t="s">
        <v>57</v>
      </c>
      <c r="G24" s="1445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445" t="s">
        <v>53</v>
      </c>
      <c r="F25" s="1445" t="s">
        <v>60</v>
      </c>
      <c r="G25" s="1445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445" t="s">
        <v>63</v>
      </c>
      <c r="F26" s="1445" t="s">
        <v>64</v>
      </c>
      <c r="G26" s="1445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445" t="s">
        <v>67</v>
      </c>
      <c r="F27" s="1445" t="s">
        <v>68</v>
      </c>
      <c r="G27" s="1445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445" t="s">
        <v>71</v>
      </c>
      <c r="F28" s="1445" t="s">
        <v>72</v>
      </c>
      <c r="G28" s="1445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445" t="s">
        <v>75</v>
      </c>
      <c r="F29" s="1445" t="s">
        <v>76</v>
      </c>
      <c r="G29" s="1445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445" t="s">
        <v>78</v>
      </c>
      <c r="F30" s="1445" t="s">
        <v>79</v>
      </c>
      <c r="G30" s="1445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445" t="s">
        <v>82</v>
      </c>
      <c r="F31" s="1445" t="s">
        <v>83</v>
      </c>
      <c r="G31" s="1445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445" t="s">
        <v>85</v>
      </c>
      <c r="F32" s="1445" t="s">
        <v>86</v>
      </c>
      <c r="G32" s="1445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445" t="s">
        <v>89</v>
      </c>
      <c r="F33" s="1445" t="s">
        <v>90</v>
      </c>
      <c r="G33" s="1445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445" t="s">
        <v>92</v>
      </c>
      <c r="F34" s="1445" t="s">
        <v>93</v>
      </c>
      <c r="G34" s="1445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445" t="s">
        <v>71</v>
      </c>
      <c r="F35" s="1445" t="s">
        <v>95</v>
      </c>
      <c r="G35" s="1445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445" t="s">
        <v>97</v>
      </c>
      <c r="F36" s="1445" t="s">
        <v>98</v>
      </c>
      <c r="G36" s="1445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445" t="s">
        <v>92</v>
      </c>
      <c r="F37" s="1445" t="s">
        <v>100</v>
      </c>
      <c r="G37" s="1445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445" t="s">
        <v>102</v>
      </c>
      <c r="F38" s="1445" t="s">
        <v>103</v>
      </c>
      <c r="G38" s="1445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445" t="s">
        <v>105</v>
      </c>
      <c r="F39" s="1445" t="s">
        <v>106</v>
      </c>
      <c r="G39" s="1445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445" t="s">
        <v>105</v>
      </c>
      <c r="F40" s="1445" t="s">
        <v>108</v>
      </c>
      <c r="G40" s="1445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445" t="s">
        <v>105</v>
      </c>
      <c r="F41" s="1445" t="s">
        <v>110</v>
      </c>
      <c r="G41" s="1445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445" t="s">
        <v>78</v>
      </c>
      <c r="F42" s="1445" t="s">
        <v>115</v>
      </c>
      <c r="G42" s="1445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445" t="s">
        <v>117</v>
      </c>
      <c r="F43" s="1445" t="s">
        <v>118</v>
      </c>
      <c r="G43" s="1445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445" t="s">
        <v>120</v>
      </c>
      <c r="F44" s="1445" t="s">
        <v>121</v>
      </c>
      <c r="G44" s="1445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445" t="s">
        <v>49</v>
      </c>
      <c r="F45" s="1445" t="s">
        <v>123</v>
      </c>
      <c r="G45" s="1445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445" t="s">
        <v>125</v>
      </c>
      <c r="F46" s="1445" t="s">
        <v>126</v>
      </c>
      <c r="G46" s="1445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445" t="s">
        <v>105</v>
      </c>
      <c r="F47" s="1445" t="s">
        <v>128</v>
      </c>
      <c r="G47" s="1445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445" t="s">
        <v>102</v>
      </c>
      <c r="F48" s="1445" t="s">
        <v>130</v>
      </c>
      <c r="G48" s="1445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445" t="s">
        <v>132</v>
      </c>
      <c r="F49" s="1445" t="s">
        <v>133</v>
      </c>
      <c r="G49" s="1445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445" t="s">
        <v>117</v>
      </c>
      <c r="F50" s="1445" t="s">
        <v>135</v>
      </c>
      <c r="G50" s="1445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445" t="s">
        <v>85</v>
      </c>
      <c r="F51" s="1445" t="s">
        <v>137</v>
      </c>
      <c r="G51" s="1445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445" t="s">
        <v>139</v>
      </c>
      <c r="F52" s="1445" t="s">
        <v>140</v>
      </c>
      <c r="G52" s="1445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445" t="s">
        <v>148</v>
      </c>
      <c r="F53" s="1445" t="s">
        <v>149</v>
      </c>
      <c r="G53" s="1445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445" t="s">
        <v>151</v>
      </c>
      <c r="F54" s="1445" t="s">
        <v>152</v>
      </c>
      <c r="G54" s="1445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445" t="s">
        <v>157</v>
      </c>
      <c r="F55" s="1445" t="s">
        <v>158</v>
      </c>
      <c r="G55" s="1445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445" t="s">
        <v>160</v>
      </c>
      <c r="F56" s="1445" t="s">
        <v>161</v>
      </c>
      <c r="G56" s="1445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445" t="s">
        <v>163</v>
      </c>
      <c r="F57" s="1445" t="s">
        <v>164</v>
      </c>
      <c r="G57" s="1445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445" t="s">
        <v>92</v>
      </c>
      <c r="F60" s="1445" t="s">
        <v>168</v>
      </c>
      <c r="G60" s="1445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445" t="s">
        <v>105</v>
      </c>
      <c r="F61" s="1445" t="s">
        <v>170</v>
      </c>
      <c r="G61" s="1445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445" t="s">
        <v>40</v>
      </c>
      <c r="F64" s="1445" t="s">
        <v>172</v>
      </c>
      <c r="G64" s="1445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445" t="s">
        <v>92</v>
      </c>
      <c r="F69" s="1445"/>
      <c r="G69" s="1445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445" t="s">
        <v>276</v>
      </c>
      <c r="F74" s="1445"/>
      <c r="G74" s="1445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445" t="s">
        <v>30</v>
      </c>
      <c r="F75" s="1445" t="s">
        <v>31</v>
      </c>
      <c r="G75" s="1445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445" t="s">
        <v>30</v>
      </c>
      <c r="F76" s="1445" t="s">
        <v>31</v>
      </c>
      <c r="G76" s="1445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445" t="s">
        <v>30</v>
      </c>
      <c r="F77" s="1445" t="s">
        <v>31</v>
      </c>
      <c r="G77" s="1445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445" t="s">
        <v>92</v>
      </c>
      <c r="F78" s="1445" t="s">
        <v>176</v>
      </c>
      <c r="G78" s="1445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445" t="s">
        <v>178</v>
      </c>
      <c r="F79" s="1445" t="s">
        <v>179</v>
      </c>
      <c r="G79" s="1445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463" t="s">
        <v>92</v>
      </c>
      <c r="F80" s="1463" t="s">
        <v>193</v>
      </c>
      <c r="G80" s="1463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464" t="s">
        <v>288</v>
      </c>
      <c r="D81" s="1464"/>
      <c r="E81" s="1464"/>
      <c r="F81" s="1464"/>
      <c r="G81" s="1464"/>
      <c r="H81" s="1464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443" t="s">
        <v>196</v>
      </c>
      <c r="O84" s="1443"/>
      <c r="P84" s="1443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454" t="s">
        <v>198</v>
      </c>
      <c r="O87" s="1454"/>
      <c r="P87" s="1454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443" t="s">
        <v>253</v>
      </c>
      <c r="O88" s="1443"/>
      <c r="P88" s="1443"/>
    </row>
    <row r="89" spans="3:17" x14ac:dyDescent="0.25">
      <c r="C89" s="25" t="s">
        <v>201</v>
      </c>
      <c r="D89" s="25"/>
      <c r="E89" t="s">
        <v>254</v>
      </c>
      <c r="N89" s="1454" t="s">
        <v>202</v>
      </c>
      <c r="O89" s="1454"/>
      <c r="P89" s="1454"/>
    </row>
    <row r="92" spans="3:17" x14ac:dyDescent="0.25">
      <c r="C92" s="1443"/>
      <c r="D92" s="1443"/>
      <c r="E92" s="1443"/>
      <c r="F92" s="1443"/>
      <c r="G92" s="1443"/>
      <c r="H92" s="1443"/>
      <c r="I92" s="1443"/>
      <c r="J92" s="1443"/>
      <c r="K92" s="1443"/>
      <c r="L92" s="1443"/>
      <c r="M92" s="1443"/>
      <c r="N92" s="1443"/>
      <c r="O92" s="1443"/>
      <c r="P92" s="1443"/>
    </row>
    <row r="95" spans="3:17" x14ac:dyDescent="0.25">
      <c r="C95" s="1454"/>
      <c r="D95" s="1454"/>
      <c r="E95" s="1454"/>
      <c r="F95" s="1454"/>
      <c r="G95" s="1454"/>
      <c r="H95" s="1454"/>
      <c r="I95" s="1454"/>
      <c r="J95" s="1454"/>
      <c r="K95" s="1454"/>
      <c r="L95" s="1454"/>
      <c r="M95" s="1454"/>
      <c r="N95" s="1454"/>
      <c r="O95" s="1454"/>
      <c r="P95" s="1454"/>
    </row>
    <row r="96" spans="3:17" x14ac:dyDescent="0.25">
      <c r="C96" s="1443"/>
      <c r="D96" s="1443"/>
      <c r="E96" s="1443"/>
      <c r="F96" s="1443"/>
      <c r="G96" s="1443"/>
      <c r="H96" s="1443"/>
      <c r="I96" s="1443"/>
      <c r="J96" s="1443"/>
      <c r="K96" s="1443"/>
      <c r="L96" s="1443"/>
      <c r="M96" s="1443"/>
      <c r="N96" s="1443"/>
      <c r="O96" s="1443"/>
      <c r="P96" s="1443"/>
    </row>
    <row r="97" spans="3:16" x14ac:dyDescent="0.25">
      <c r="C97" s="1454"/>
      <c r="D97" s="1454"/>
      <c r="E97" s="1454"/>
      <c r="F97" s="1454"/>
      <c r="G97" s="1454"/>
      <c r="H97" s="1454"/>
      <c r="I97" s="1454"/>
      <c r="J97" s="1454"/>
      <c r="K97" s="1454"/>
      <c r="L97" s="1454"/>
      <c r="M97" s="1454"/>
      <c r="N97" s="1454"/>
      <c r="O97" s="1454"/>
      <c r="P97" s="1454"/>
    </row>
  </sheetData>
  <sheetProtection selectLockedCells="1" selectUnlockedCells="1"/>
  <mergeCells count="82"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289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5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467" t="s">
        <v>194</v>
      </c>
      <c r="D34" s="1467"/>
      <c r="E34" s="1467"/>
      <c r="F34" s="1467"/>
      <c r="G34" s="1467"/>
      <c r="H34" s="1467"/>
      <c r="I34" s="1466">
        <f t="shared" ref="I34:Q34" si="0">SUM(I18:I33)</f>
        <v>620500</v>
      </c>
      <c r="J34" s="1468">
        <f t="shared" si="0"/>
        <v>0</v>
      </c>
      <c r="K34" s="1466">
        <f t="shared" si="0"/>
        <v>620500</v>
      </c>
      <c r="L34" s="1466">
        <f t="shared" si="0"/>
        <v>17808.36</v>
      </c>
      <c r="M34" s="1466">
        <f t="shared" si="0"/>
        <v>26951.29</v>
      </c>
      <c r="N34" s="1466">
        <f t="shared" si="0"/>
        <v>18863.2</v>
      </c>
      <c r="O34" s="1466">
        <f t="shared" si="0"/>
        <v>1620</v>
      </c>
      <c r="P34" s="1466">
        <f t="shared" si="0"/>
        <v>65242.850000000006</v>
      </c>
      <c r="Q34" s="1465">
        <f t="shared" si="0"/>
        <v>555257.15</v>
      </c>
    </row>
    <row r="35" spans="2:17" x14ac:dyDescent="0.25">
      <c r="C35" s="1467"/>
      <c r="D35" s="1467"/>
      <c r="E35" s="1467"/>
      <c r="F35" s="1467"/>
      <c r="G35" s="1467"/>
      <c r="H35" s="1467"/>
      <c r="I35" s="1466"/>
      <c r="J35" s="1468"/>
      <c r="K35" s="1466"/>
      <c r="L35" s="1466"/>
      <c r="M35" s="1466"/>
      <c r="N35" s="1466"/>
      <c r="O35" s="1466"/>
      <c r="P35" s="1466"/>
      <c r="Q35" s="1465"/>
    </row>
    <row r="38" spans="2:17" x14ac:dyDescent="0.25">
      <c r="C38" s="24" t="s">
        <v>195</v>
      </c>
      <c r="D38" s="24"/>
      <c r="E38" s="5" t="s">
        <v>250</v>
      </c>
      <c r="N38" s="1443" t="s">
        <v>196</v>
      </c>
      <c r="O38" s="1443"/>
      <c r="P38" s="1443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454" t="s">
        <v>198</v>
      </c>
      <c r="O41" s="1454"/>
      <c r="P41" s="1454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443" t="s">
        <v>253</v>
      </c>
      <c r="O42" s="1443"/>
      <c r="P42" s="1443"/>
    </row>
    <row r="43" spans="2:17" x14ac:dyDescent="0.25">
      <c r="C43" s="25" t="s">
        <v>201</v>
      </c>
      <c r="D43" s="25"/>
      <c r="E43" t="s">
        <v>254</v>
      </c>
      <c r="N43" s="1454" t="s">
        <v>202</v>
      </c>
      <c r="O43" s="1454"/>
      <c r="P43" s="1454"/>
    </row>
    <row r="46" spans="2:17" x14ac:dyDescent="0.25">
      <c r="C46" s="1443"/>
      <c r="D46" s="1443"/>
      <c r="E46" s="1443"/>
      <c r="F46" s="1443"/>
      <c r="G46" s="1443"/>
      <c r="H46" s="1443"/>
      <c r="I46" s="1443"/>
      <c r="J46" s="1443"/>
      <c r="K46" s="1443"/>
      <c r="L46" s="1443"/>
      <c r="M46" s="1443"/>
      <c r="N46" s="1443"/>
      <c r="O46" s="1443"/>
      <c r="P46" s="1443"/>
    </row>
    <row r="49" spans="3:16" x14ac:dyDescent="0.25">
      <c r="C49" s="1454"/>
      <c r="D49" s="1454"/>
      <c r="E49" s="1454"/>
      <c r="F49" s="1454"/>
      <c r="G49" s="1454"/>
      <c r="H49" s="1454"/>
      <c r="I49" s="1454"/>
      <c r="J49" s="1454"/>
      <c r="K49" s="1454"/>
      <c r="L49" s="1454"/>
      <c r="M49" s="1454"/>
      <c r="N49" s="1454"/>
      <c r="O49" s="1454"/>
      <c r="P49" s="1454"/>
    </row>
    <row r="50" spans="3:16" x14ac:dyDescent="0.25">
      <c r="C50" s="1443"/>
      <c r="D50" s="1443"/>
      <c r="E50" s="1443"/>
      <c r="F50" s="1443"/>
      <c r="G50" s="1443"/>
      <c r="H50" s="1443"/>
      <c r="I50" s="1443"/>
      <c r="J50" s="1443"/>
      <c r="K50" s="1443"/>
      <c r="L50" s="1443"/>
      <c r="M50" s="1443"/>
      <c r="N50" s="1443"/>
      <c r="O50" s="1443"/>
      <c r="P50" s="1443"/>
    </row>
    <row r="51" spans="3:16" x14ac:dyDescent="0.25">
      <c r="C51" s="1454"/>
      <c r="D51" s="1454"/>
      <c r="E51" s="1454"/>
      <c r="F51" s="1454"/>
      <c r="G51" s="1454"/>
      <c r="H51" s="1454"/>
      <c r="I51" s="1454"/>
      <c r="J51" s="1454"/>
      <c r="K51" s="1454"/>
      <c r="L51" s="1454"/>
      <c r="M51" s="1454"/>
      <c r="N51" s="1454"/>
      <c r="O51" s="1454"/>
      <c r="P51" s="1454"/>
    </row>
  </sheetData>
  <sheetProtection selectLockedCells="1" selectUnlockedCells="1"/>
  <mergeCells count="39"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43" t="s">
        <v>0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</row>
    <row r="8" spans="1:14" x14ac:dyDescent="0.25">
      <c r="B8" s="1443" t="s">
        <v>1</v>
      </c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</row>
    <row r="9" spans="1:14" x14ac:dyDescent="0.25">
      <c r="B9" s="1444" t="s">
        <v>2</v>
      </c>
      <c r="C9" s="1444"/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443" t="s">
        <v>3</v>
      </c>
      <c r="C11" s="1443"/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</row>
    <row r="12" spans="1:14" x14ac:dyDescent="0.25">
      <c r="B12" s="1443" t="s">
        <v>302</v>
      </c>
      <c r="C12" s="1443"/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</row>
    <row r="13" spans="1:14" x14ac:dyDescent="0.25">
      <c r="B13" s="1442" t="s">
        <v>5</v>
      </c>
      <c r="C13" s="1442"/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46" t="s">
        <v>6</v>
      </c>
      <c r="B15" s="1447" t="s">
        <v>7</v>
      </c>
      <c r="C15" s="1447" t="s">
        <v>8</v>
      </c>
      <c r="D15" s="1447" t="s">
        <v>10</v>
      </c>
      <c r="E15" s="1451" t="s">
        <v>11</v>
      </c>
      <c r="F15" s="37" t="s">
        <v>12</v>
      </c>
      <c r="G15" s="1450" t="s">
        <v>13</v>
      </c>
      <c r="H15" s="1447" t="s">
        <v>14</v>
      </c>
      <c r="I15" s="1447" t="s">
        <v>15</v>
      </c>
      <c r="J15" s="1447" t="s">
        <v>16</v>
      </c>
      <c r="K15" s="1447" t="s">
        <v>17</v>
      </c>
      <c r="L15" s="1447" t="s">
        <v>18</v>
      </c>
      <c r="M15" s="1447" t="s">
        <v>19</v>
      </c>
      <c r="N15" s="1448" t="s">
        <v>20</v>
      </c>
    </row>
    <row r="16" spans="1:14" x14ac:dyDescent="0.25">
      <c r="A16" s="1446"/>
      <c r="B16" s="1447"/>
      <c r="C16" s="1447"/>
      <c r="D16" s="1447"/>
      <c r="E16" s="1451"/>
      <c r="F16" s="38" t="s">
        <v>21</v>
      </c>
      <c r="G16" s="1450"/>
      <c r="H16" s="1447"/>
      <c r="I16" s="1447"/>
      <c r="J16" s="1447"/>
      <c r="K16" s="1447"/>
      <c r="L16" s="1447"/>
      <c r="M16" s="1447"/>
      <c r="N16" s="1448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455" t="s">
        <v>194</v>
      </c>
      <c r="C22" s="1455"/>
      <c r="D22" s="1455"/>
      <c r="E22" s="1455"/>
      <c r="F22" s="1456">
        <v>55000</v>
      </c>
      <c r="G22" s="1457">
        <v>0</v>
      </c>
      <c r="H22" s="1456">
        <v>55000</v>
      </c>
      <c r="I22" s="1457">
        <v>0</v>
      </c>
      <c r="J22" s="1457">
        <v>0</v>
      </c>
      <c r="K22" s="1457">
        <v>0</v>
      </c>
      <c r="L22" s="1457">
        <v>0</v>
      </c>
      <c r="M22" s="1457">
        <v>0</v>
      </c>
      <c r="N22" s="1453">
        <v>55000</v>
      </c>
    </row>
    <row r="23" spans="1:14" x14ac:dyDescent="0.25">
      <c r="B23" s="1455"/>
      <c r="C23" s="1455"/>
      <c r="D23" s="1455"/>
      <c r="E23" s="1455"/>
      <c r="F23" s="1456"/>
      <c r="G23" s="1457"/>
      <c r="H23" s="1456"/>
      <c r="I23" s="1457"/>
      <c r="J23" s="1457"/>
      <c r="K23" s="1457"/>
      <c r="L23" s="1457"/>
      <c r="M23" s="1457"/>
      <c r="N23" s="1453"/>
    </row>
    <row r="26" spans="1:14" x14ac:dyDescent="0.25">
      <c r="A26" s="24" t="s">
        <v>257</v>
      </c>
      <c r="B26" s="24"/>
      <c r="C26" s="5" t="s">
        <v>258</v>
      </c>
      <c r="L26" s="1443" t="s">
        <v>196</v>
      </c>
      <c r="M26" s="1443"/>
      <c r="N26" s="1443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454" t="s">
        <v>198</v>
      </c>
      <c r="M29" s="1454"/>
      <c r="N29" s="1454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443" t="s">
        <v>253</v>
      </c>
      <c r="M30" s="1443"/>
      <c r="N30" s="1443"/>
    </row>
    <row r="31" spans="1:14" x14ac:dyDescent="0.25">
      <c r="A31" s="25" t="s">
        <v>263</v>
      </c>
      <c r="B31" s="25"/>
      <c r="C31" t="s">
        <v>264</v>
      </c>
      <c r="L31" s="1454" t="s">
        <v>202</v>
      </c>
      <c r="M31" s="1454"/>
      <c r="N31" s="1454"/>
    </row>
    <row r="36" spans="1:14" x14ac:dyDescent="0.25">
      <c r="A36" s="1454"/>
      <c r="B36" s="1454"/>
      <c r="C36" s="1454"/>
      <c r="D36" s="1454"/>
      <c r="E36" s="1454"/>
      <c r="F36" s="1454"/>
      <c r="G36" s="1454"/>
      <c r="H36" s="1454"/>
      <c r="I36" s="1454"/>
      <c r="J36" s="1454"/>
      <c r="K36" s="1454"/>
      <c r="L36" s="1454"/>
      <c r="M36" s="1454"/>
      <c r="N36" s="1454"/>
    </row>
    <row r="37" spans="1:14" x14ac:dyDescent="0.25">
      <c r="A37" s="1443"/>
      <c r="B37" s="1443"/>
      <c r="C37" s="1443"/>
      <c r="D37" s="1443"/>
      <c r="E37" s="1443"/>
      <c r="F37" s="1443"/>
      <c r="G37" s="1443"/>
      <c r="H37" s="1443"/>
      <c r="I37" s="1443"/>
      <c r="J37" s="1443"/>
      <c r="K37" s="1443"/>
      <c r="L37" s="1443"/>
      <c r="M37" s="1443"/>
      <c r="N37" s="1443"/>
    </row>
    <row r="38" spans="1:14" x14ac:dyDescent="0.25">
      <c r="A38" s="1454"/>
      <c r="B38" s="1454"/>
      <c r="C38" s="1454"/>
      <c r="D38" s="1454"/>
      <c r="E38" s="1454"/>
      <c r="F38" s="1454"/>
      <c r="G38" s="1454"/>
      <c r="H38" s="1454"/>
      <c r="I38" s="1454"/>
      <c r="J38" s="1454"/>
      <c r="K38" s="1454"/>
      <c r="L38" s="1454"/>
      <c r="M38" s="1454"/>
      <c r="N38" s="1454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443" t="s">
        <v>0</v>
      </c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  <c r="O6" s="1443"/>
      <c r="P6" s="1443"/>
      <c r="Q6" s="1443"/>
    </row>
    <row r="7" spans="2:17" x14ac:dyDescent="0.25">
      <c r="C7" s="1443" t="s">
        <v>1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4" t="s">
        <v>2</v>
      </c>
      <c r="D8" s="1444"/>
      <c r="E8" s="1444"/>
      <c r="F8" s="1444"/>
      <c r="G8" s="1444"/>
      <c r="H8" s="1444"/>
      <c r="I8" s="1444"/>
      <c r="J8" s="1444"/>
      <c r="K8" s="1444"/>
      <c r="L8" s="1444"/>
      <c r="M8" s="1444"/>
      <c r="N8" s="1444"/>
      <c r="O8" s="1444"/>
      <c r="P8" s="1444"/>
      <c r="Q8" s="144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443" t="s">
        <v>3</v>
      </c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  <c r="P10" s="1443"/>
      <c r="Q10" s="1443"/>
    </row>
    <row r="11" spans="2:17" x14ac:dyDescent="0.25">
      <c r="C11" s="1443" t="s">
        <v>303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2" t="s">
        <v>5</v>
      </c>
      <c r="D12" s="1442"/>
      <c r="E12" s="1442"/>
      <c r="F12" s="1442"/>
      <c r="G12" s="1442"/>
      <c r="H12" s="1442"/>
      <c r="I12" s="1442"/>
      <c r="J12" s="1442"/>
      <c r="K12" s="1442"/>
      <c r="L12" s="1442"/>
      <c r="M12" s="1442"/>
      <c r="N12" s="1442"/>
      <c r="O12" s="1442"/>
      <c r="P12" s="1442"/>
      <c r="Q12" s="1442"/>
    </row>
    <row r="14" spans="2:17" x14ac:dyDescent="0.25">
      <c r="B14" s="1458" t="s">
        <v>6</v>
      </c>
      <c r="C14" s="1459" t="s">
        <v>7</v>
      </c>
      <c r="D14" s="1459" t="s">
        <v>8</v>
      </c>
      <c r="E14" s="1459" t="s">
        <v>9</v>
      </c>
      <c r="F14" s="1459" t="s">
        <v>10</v>
      </c>
      <c r="G14" s="1461" t="s">
        <v>11</v>
      </c>
      <c r="H14" s="1459" t="s">
        <v>11</v>
      </c>
      <c r="I14" s="51" t="s">
        <v>12</v>
      </c>
      <c r="J14" s="1460" t="s">
        <v>13</v>
      </c>
      <c r="K14" s="1459" t="s">
        <v>14</v>
      </c>
      <c r="L14" s="1459" t="s">
        <v>15</v>
      </c>
      <c r="M14" s="1459" t="s">
        <v>16</v>
      </c>
      <c r="N14" s="1459" t="s">
        <v>17</v>
      </c>
      <c r="O14" s="1459" t="s">
        <v>18</v>
      </c>
      <c r="P14" s="1459" t="s">
        <v>19</v>
      </c>
      <c r="Q14" s="1462" t="s">
        <v>20</v>
      </c>
    </row>
    <row r="15" spans="2:17" x14ac:dyDescent="0.25">
      <c r="B15" s="1458"/>
      <c r="C15" s="1459"/>
      <c r="D15" s="1459"/>
      <c r="E15" s="1459"/>
      <c r="F15" s="1459"/>
      <c r="G15" s="1461"/>
      <c r="H15" s="1459"/>
      <c r="I15" s="52" t="s">
        <v>21</v>
      </c>
      <c r="J15" s="1460"/>
      <c r="K15" s="1459"/>
      <c r="L15" s="1459"/>
      <c r="M15" s="1459"/>
      <c r="N15" s="1459"/>
      <c r="O15" s="1459"/>
      <c r="P15" s="1459"/>
      <c r="Q15" s="1462"/>
    </row>
    <row r="17" spans="2:17" x14ac:dyDescent="0.25">
      <c r="B17" s="53">
        <v>1</v>
      </c>
      <c r="C17" s="54" t="s">
        <v>22</v>
      </c>
      <c r="D17" s="7" t="s">
        <v>23</v>
      </c>
      <c r="E17" s="1449" t="s">
        <v>24</v>
      </c>
      <c r="F17" s="1449"/>
      <c r="G17" s="1449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445" t="s">
        <v>30</v>
      </c>
      <c r="F18" s="1445" t="s">
        <v>31</v>
      </c>
      <c r="G18" s="144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445" t="s">
        <v>36</v>
      </c>
      <c r="F19" s="1445" t="s">
        <v>37</v>
      </c>
      <c r="G19" s="1445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445" t="s">
        <v>40</v>
      </c>
      <c r="F20" s="1445" t="s">
        <v>41</v>
      </c>
      <c r="G20" s="1445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445" t="s">
        <v>44</v>
      </c>
      <c r="F21" s="1445" t="s">
        <v>45</v>
      </c>
      <c r="G21" s="1445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445" t="s">
        <v>49</v>
      </c>
      <c r="F22" s="1445" t="s">
        <v>50</v>
      </c>
      <c r="G22" s="1445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445" t="s">
        <v>53</v>
      </c>
      <c r="F23" s="1445" t="s">
        <v>54</v>
      </c>
      <c r="G23" s="1445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445" t="s">
        <v>56</v>
      </c>
      <c r="F24" s="1445" t="s">
        <v>57</v>
      </c>
      <c r="G24" s="1445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445" t="s">
        <v>53</v>
      </c>
      <c r="F25" s="1445" t="s">
        <v>60</v>
      </c>
      <c r="G25" s="1445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445" t="s">
        <v>63</v>
      </c>
      <c r="F26" s="1445" t="s">
        <v>64</v>
      </c>
      <c r="G26" s="1445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445" t="s">
        <v>67</v>
      </c>
      <c r="F27" s="1445" t="s">
        <v>68</v>
      </c>
      <c r="G27" s="1445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445" t="s">
        <v>71</v>
      </c>
      <c r="F28" s="1445" t="s">
        <v>72</v>
      </c>
      <c r="G28" s="1445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445" t="s">
        <v>75</v>
      </c>
      <c r="F29" s="1445" t="s">
        <v>76</v>
      </c>
      <c r="G29" s="1445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445" t="s">
        <v>78</v>
      </c>
      <c r="F30" s="1445" t="s">
        <v>79</v>
      </c>
      <c r="G30" s="1445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445" t="s">
        <v>82</v>
      </c>
      <c r="F31" s="1445" t="s">
        <v>83</v>
      </c>
      <c r="G31" s="1445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445" t="s">
        <v>85</v>
      </c>
      <c r="F32" s="1445" t="s">
        <v>86</v>
      </c>
      <c r="G32" s="1445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445" t="s">
        <v>89</v>
      </c>
      <c r="F33" s="1445" t="s">
        <v>90</v>
      </c>
      <c r="G33" s="1445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445" t="s">
        <v>92</v>
      </c>
      <c r="F34" s="1445" t="s">
        <v>93</v>
      </c>
      <c r="G34" s="1445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445" t="s">
        <v>71</v>
      </c>
      <c r="F35" s="1445" t="s">
        <v>95</v>
      </c>
      <c r="G35" s="1445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445" t="s">
        <v>97</v>
      </c>
      <c r="F36" s="1445" t="s">
        <v>98</v>
      </c>
      <c r="G36" s="1445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445" t="s">
        <v>92</v>
      </c>
      <c r="F37" s="1445" t="s">
        <v>100</v>
      </c>
      <c r="G37" s="1445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445" t="s">
        <v>102</v>
      </c>
      <c r="F38" s="1445" t="s">
        <v>103</v>
      </c>
      <c r="G38" s="1445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445" t="s">
        <v>105</v>
      </c>
      <c r="F39" s="1445" t="s">
        <v>106</v>
      </c>
      <c r="G39" s="1445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445" t="s">
        <v>105</v>
      </c>
      <c r="F40" s="1445" t="s">
        <v>108</v>
      </c>
      <c r="G40" s="1445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445" t="s">
        <v>105</v>
      </c>
      <c r="F41" s="1445" t="s">
        <v>110</v>
      </c>
      <c r="G41" s="1445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445" t="s">
        <v>78</v>
      </c>
      <c r="F42" s="1445" t="s">
        <v>115</v>
      </c>
      <c r="G42" s="1445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445" t="s">
        <v>117</v>
      </c>
      <c r="F43" s="1445" t="s">
        <v>118</v>
      </c>
      <c r="G43" s="1445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445" t="s">
        <v>120</v>
      </c>
      <c r="F44" s="1445" t="s">
        <v>121</v>
      </c>
      <c r="G44" s="1445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445" t="s">
        <v>49</v>
      </c>
      <c r="F45" s="1445" t="s">
        <v>123</v>
      </c>
      <c r="G45" s="1445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445" t="s">
        <v>125</v>
      </c>
      <c r="F46" s="1445" t="s">
        <v>126</v>
      </c>
      <c r="G46" s="1445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445" t="s">
        <v>105</v>
      </c>
      <c r="F47" s="1445" t="s">
        <v>128</v>
      </c>
      <c r="G47" s="1445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445" t="s">
        <v>102</v>
      </c>
      <c r="F48" s="1445" t="s">
        <v>130</v>
      </c>
      <c r="G48" s="1445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445" t="s">
        <v>132</v>
      </c>
      <c r="F49" s="1445" t="s">
        <v>133</v>
      </c>
      <c r="G49" s="1445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445" t="s">
        <v>117</v>
      </c>
      <c r="F50" s="1445" t="s">
        <v>135</v>
      </c>
      <c r="G50" s="1445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445" t="s">
        <v>85</v>
      </c>
      <c r="F51" s="1445" t="s">
        <v>137</v>
      </c>
      <c r="G51" s="1445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445" t="s">
        <v>139</v>
      </c>
      <c r="F52" s="1445" t="s">
        <v>140</v>
      </c>
      <c r="G52" s="1445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445" t="s">
        <v>148</v>
      </c>
      <c r="F53" s="1445" t="s">
        <v>149</v>
      </c>
      <c r="G53" s="1445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445" t="s">
        <v>151</v>
      </c>
      <c r="F54" s="1445" t="s">
        <v>152</v>
      </c>
      <c r="G54" s="1445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445" t="s">
        <v>157</v>
      </c>
      <c r="F55" s="1445" t="s">
        <v>158</v>
      </c>
      <c r="G55" s="1445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445" t="s">
        <v>160</v>
      </c>
      <c r="F57" s="1445" t="s">
        <v>161</v>
      </c>
      <c r="G57" s="1445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445" t="s">
        <v>163</v>
      </c>
      <c r="F58" s="1445" t="s">
        <v>164</v>
      </c>
      <c r="G58" s="1445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445" t="s">
        <v>92</v>
      </c>
      <c r="F61" s="1445" t="s">
        <v>168</v>
      </c>
      <c r="G61" s="1445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445" t="s">
        <v>105</v>
      </c>
      <c r="F62" s="1445" t="s">
        <v>170</v>
      </c>
      <c r="G62" s="1445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445" t="s">
        <v>40</v>
      </c>
      <c r="F66" s="1445" t="s">
        <v>172</v>
      </c>
      <c r="G66" s="1445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445" t="s">
        <v>92</v>
      </c>
      <c r="F71" s="1445"/>
      <c r="G71" s="1445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445" t="s">
        <v>276</v>
      </c>
      <c r="F76" s="1445"/>
      <c r="G76" s="1445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445" t="s">
        <v>30</v>
      </c>
      <c r="F77" s="1445" t="s">
        <v>31</v>
      </c>
      <c r="G77" s="1445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445" t="s">
        <v>30</v>
      </c>
      <c r="F78" s="1445" t="s">
        <v>31</v>
      </c>
      <c r="G78" s="1445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445" t="s">
        <v>30</v>
      </c>
      <c r="F79" s="1445" t="s">
        <v>31</v>
      </c>
      <c r="G79" s="1445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445" t="s">
        <v>92</v>
      </c>
      <c r="F86" s="1445" t="s">
        <v>176</v>
      </c>
      <c r="G86" s="1445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445" t="s">
        <v>178</v>
      </c>
      <c r="F87" s="1445" t="s">
        <v>179</v>
      </c>
      <c r="G87" s="1445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463" t="s">
        <v>92</v>
      </c>
      <c r="F88" s="1463" t="s">
        <v>193</v>
      </c>
      <c r="G88" s="1463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464" t="s">
        <v>288</v>
      </c>
      <c r="D116" s="1464"/>
      <c r="E116" s="1464"/>
      <c r="F116" s="1464"/>
      <c r="G116" s="1464"/>
      <c r="H116" s="1464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443" t="s">
        <v>196</v>
      </c>
      <c r="O119" s="1443"/>
      <c r="P119" s="1443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454" t="s">
        <v>198</v>
      </c>
      <c r="O122" s="1454"/>
      <c r="P122" s="1454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443" t="s">
        <v>253</v>
      </c>
      <c r="O123" s="1443"/>
      <c r="P123" s="1443"/>
    </row>
    <row r="124" spans="2:17" x14ac:dyDescent="0.25">
      <c r="C124" s="25" t="s">
        <v>201</v>
      </c>
      <c r="D124" s="25"/>
      <c r="E124" t="s">
        <v>254</v>
      </c>
      <c r="N124" s="1454" t="s">
        <v>202</v>
      </c>
      <c r="O124" s="1454"/>
      <c r="P124" s="1454"/>
    </row>
    <row r="127" spans="2:17" x14ac:dyDescent="0.25">
      <c r="C127" s="1443"/>
      <c r="D127" s="1443"/>
      <c r="E127" s="1443"/>
      <c r="F127" s="1443"/>
      <c r="G127" s="1443"/>
      <c r="H127" s="1443"/>
      <c r="I127" s="1443"/>
      <c r="J127" s="1443"/>
      <c r="K127" s="1443"/>
      <c r="L127" s="1443"/>
      <c r="M127" s="1443"/>
      <c r="N127" s="1443"/>
      <c r="O127" s="1443"/>
      <c r="P127" s="1443"/>
    </row>
    <row r="130" spans="3:16" x14ac:dyDescent="0.25">
      <c r="C130" s="1454"/>
      <c r="D130" s="1454"/>
      <c r="E130" s="1454"/>
      <c r="F130" s="1454"/>
      <c r="G130" s="1454"/>
      <c r="H130" s="1454"/>
      <c r="I130" s="1454"/>
      <c r="J130" s="1454"/>
      <c r="K130" s="1454"/>
      <c r="L130" s="1454"/>
      <c r="M130" s="1454"/>
      <c r="N130" s="1454"/>
      <c r="O130" s="1454"/>
      <c r="P130" s="1454"/>
    </row>
    <row r="131" spans="3:16" x14ac:dyDescent="0.25">
      <c r="C131" s="1443"/>
      <c r="D131" s="1443"/>
      <c r="E131" s="1443"/>
      <c r="F131" s="1443"/>
      <c r="G131" s="1443"/>
      <c r="H131" s="1443"/>
      <c r="I131" s="1443"/>
      <c r="J131" s="1443"/>
      <c r="K131" s="1443"/>
      <c r="L131" s="1443"/>
      <c r="M131" s="1443"/>
      <c r="N131" s="1443"/>
      <c r="O131" s="1443"/>
      <c r="P131" s="1443"/>
    </row>
    <row r="132" spans="3:16" x14ac:dyDescent="0.25">
      <c r="C132" s="1454"/>
      <c r="D132" s="1454"/>
      <c r="E132" s="1454"/>
      <c r="F132" s="1454"/>
      <c r="G132" s="1454"/>
      <c r="H132" s="1454"/>
      <c r="I132" s="1454"/>
      <c r="J132" s="1454"/>
      <c r="K132" s="1454"/>
      <c r="L132" s="1454"/>
      <c r="M132" s="1454"/>
      <c r="N132" s="1454"/>
      <c r="O132" s="1454"/>
      <c r="P132" s="1454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352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5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467" t="s">
        <v>194</v>
      </c>
      <c r="D49" s="1467"/>
      <c r="E49" s="1467"/>
      <c r="F49" s="1467"/>
      <c r="G49" s="1467"/>
      <c r="H49" s="1467"/>
      <c r="I49" s="1466">
        <f t="shared" ref="I49:O49" si="0">SUM(I18:I48)</f>
        <v>1162000</v>
      </c>
      <c r="J49" s="1468">
        <f t="shared" si="0"/>
        <v>0</v>
      </c>
      <c r="K49" s="1466">
        <f t="shared" si="0"/>
        <v>1162000</v>
      </c>
      <c r="L49" s="1466">
        <f t="shared" si="0"/>
        <v>33349.410000000003</v>
      </c>
      <c r="M49" s="1466">
        <f t="shared" si="0"/>
        <v>35738.051824000009</v>
      </c>
      <c r="N49" s="1466">
        <f t="shared" si="0"/>
        <v>35324.800000000003</v>
      </c>
      <c r="O49" s="1466">
        <f t="shared" si="0"/>
        <v>2065.12</v>
      </c>
      <c r="P49" s="1466">
        <v>106477.38</v>
      </c>
      <c r="Q49" s="1465">
        <f>SUM(Q18:Q48)</f>
        <v>1055522.6199999996</v>
      </c>
    </row>
    <row r="50" spans="3:17" x14ac:dyDescent="0.25">
      <c r="C50" s="1467"/>
      <c r="D50" s="1467"/>
      <c r="E50" s="1467"/>
      <c r="F50" s="1467"/>
      <c r="G50" s="1467"/>
      <c r="H50" s="1467"/>
      <c r="I50" s="1466"/>
      <c r="J50" s="1468"/>
      <c r="K50" s="1466"/>
      <c r="L50" s="1466"/>
      <c r="M50" s="1466"/>
      <c r="N50" s="1466"/>
      <c r="O50" s="1466"/>
      <c r="P50" s="1466"/>
      <c r="Q50" s="1465"/>
    </row>
    <row r="53" spans="3:17" x14ac:dyDescent="0.25">
      <c r="C53" s="24" t="s">
        <v>195</v>
      </c>
      <c r="D53" s="24"/>
      <c r="E53" s="5" t="s">
        <v>250</v>
      </c>
      <c r="N53" s="1443" t="s">
        <v>196</v>
      </c>
      <c r="O53" s="1443"/>
      <c r="P53" s="1443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454" t="s">
        <v>198</v>
      </c>
      <c r="O56" s="1454"/>
      <c r="P56" s="1454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443" t="s">
        <v>253</v>
      </c>
      <c r="O57" s="1443"/>
      <c r="P57" s="1443"/>
    </row>
    <row r="58" spans="3:17" x14ac:dyDescent="0.25">
      <c r="C58" s="25" t="s">
        <v>201</v>
      </c>
      <c r="D58" s="25"/>
      <c r="E58" t="s">
        <v>254</v>
      </c>
      <c r="N58" s="1454" t="s">
        <v>202</v>
      </c>
      <c r="O58" s="1454"/>
      <c r="P58" s="1454"/>
    </row>
    <row r="61" spans="3:17" x14ac:dyDescent="0.25">
      <c r="C61" s="1443"/>
      <c r="D61" s="1443"/>
      <c r="E61" s="1443"/>
      <c r="F61" s="1443"/>
      <c r="G61" s="1443"/>
      <c r="H61" s="1443"/>
      <c r="I61" s="1443"/>
      <c r="J61" s="1443"/>
      <c r="K61" s="1443"/>
      <c r="L61" s="1443"/>
      <c r="M61" s="1443"/>
      <c r="N61" s="1443"/>
      <c r="O61" s="1443"/>
      <c r="P61" s="1443"/>
    </row>
    <row r="64" spans="3:17" x14ac:dyDescent="0.25">
      <c r="C64" s="1454"/>
      <c r="D64" s="1454"/>
      <c r="E64" s="1454"/>
      <c r="F64" s="1454"/>
      <c r="G64" s="1454"/>
      <c r="H64" s="1454"/>
      <c r="I64" s="1454"/>
      <c r="J64" s="1454"/>
      <c r="K64" s="1454"/>
      <c r="L64" s="1454"/>
      <c r="M64" s="1454"/>
      <c r="N64" s="1454"/>
      <c r="O64" s="1454"/>
      <c r="P64" s="1454"/>
    </row>
    <row r="65" spans="3:16" x14ac:dyDescent="0.25">
      <c r="C65" s="1443"/>
      <c r="D65" s="1443"/>
      <c r="E65" s="1443"/>
      <c r="F65" s="1443"/>
      <c r="G65" s="1443"/>
      <c r="H65" s="1443"/>
      <c r="I65" s="1443"/>
      <c r="J65" s="1443"/>
      <c r="K65" s="1443"/>
      <c r="L65" s="1443"/>
      <c r="M65" s="1443"/>
      <c r="N65" s="1443"/>
      <c r="O65" s="1443"/>
      <c r="P65" s="1443"/>
    </row>
    <row r="66" spans="3:16" x14ac:dyDescent="0.25">
      <c r="C66" s="1454"/>
      <c r="D66" s="1454"/>
      <c r="E66" s="1454"/>
      <c r="F66" s="1454"/>
      <c r="G66" s="1454"/>
      <c r="H66" s="1454"/>
      <c r="I66" s="1454"/>
      <c r="J66" s="1454"/>
      <c r="K66" s="1454"/>
      <c r="L66" s="1454"/>
      <c r="M66" s="1454"/>
      <c r="N66" s="1454"/>
      <c r="O66" s="1454"/>
      <c r="P66" s="1454"/>
    </row>
  </sheetData>
  <sheetProtection selectLockedCells="1" selectUnlockedCells="1"/>
  <mergeCells count="39"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43" t="s">
        <v>0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</row>
    <row r="8" spans="1:14" x14ac:dyDescent="0.25">
      <c r="B8" s="1443" t="s">
        <v>1</v>
      </c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</row>
    <row r="9" spans="1:14" x14ac:dyDescent="0.25">
      <c r="B9" s="1444" t="s">
        <v>2</v>
      </c>
      <c r="C9" s="1444"/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443" t="s">
        <v>3</v>
      </c>
      <c r="C11" s="1443"/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</row>
    <row r="12" spans="1:14" x14ac:dyDescent="0.25">
      <c r="B12" s="1443" t="s">
        <v>393</v>
      </c>
      <c r="C12" s="1443"/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</row>
    <row r="13" spans="1:14" x14ac:dyDescent="0.25">
      <c r="B13" s="1442" t="s">
        <v>5</v>
      </c>
      <c r="C13" s="1442"/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46" t="s">
        <v>6</v>
      </c>
      <c r="B15" s="1447" t="s">
        <v>7</v>
      </c>
      <c r="C15" s="1447" t="s">
        <v>8</v>
      </c>
      <c r="D15" s="1447" t="s">
        <v>10</v>
      </c>
      <c r="E15" s="1451" t="s">
        <v>11</v>
      </c>
      <c r="F15" s="37" t="s">
        <v>12</v>
      </c>
      <c r="G15" s="1450" t="s">
        <v>13</v>
      </c>
      <c r="H15" s="1447" t="s">
        <v>14</v>
      </c>
      <c r="I15" s="1447" t="s">
        <v>15</v>
      </c>
      <c r="J15" s="1447" t="s">
        <v>16</v>
      </c>
      <c r="K15" s="1447" t="s">
        <v>17</v>
      </c>
      <c r="L15" s="1447" t="s">
        <v>18</v>
      </c>
      <c r="M15" s="1447" t="s">
        <v>19</v>
      </c>
      <c r="N15" s="1448" t="s">
        <v>20</v>
      </c>
    </row>
    <row r="16" spans="1:14" x14ac:dyDescent="0.25">
      <c r="A16" s="1446"/>
      <c r="B16" s="1447"/>
      <c r="C16" s="1447"/>
      <c r="D16" s="1447"/>
      <c r="E16" s="1451"/>
      <c r="F16" s="38" t="s">
        <v>21</v>
      </c>
      <c r="G16" s="1450"/>
      <c r="H16" s="1447"/>
      <c r="I16" s="1447"/>
      <c r="J16" s="1447"/>
      <c r="K16" s="1447"/>
      <c r="L16" s="1447"/>
      <c r="M16" s="1447"/>
      <c r="N16" s="1448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455" t="s">
        <v>194</v>
      </c>
      <c r="C30" s="1455"/>
      <c r="D30" s="1455"/>
      <c r="E30" s="1455"/>
      <c r="F30" s="1469">
        <v>122000</v>
      </c>
      <c r="G30" s="1457">
        <v>0</v>
      </c>
      <c r="H30" s="1469">
        <v>122000</v>
      </c>
      <c r="I30" s="1457">
        <v>0</v>
      </c>
      <c r="J30" s="1457">
        <v>0</v>
      </c>
      <c r="K30" s="1457">
        <v>0</v>
      </c>
      <c r="L30" s="1457">
        <v>0</v>
      </c>
      <c r="M30" s="1470">
        <v>0</v>
      </c>
      <c r="N30" s="1469">
        <v>122000</v>
      </c>
    </row>
    <row r="31" spans="1:14" x14ac:dyDescent="0.25">
      <c r="B31" s="1455"/>
      <c r="C31" s="1455"/>
      <c r="D31" s="1455"/>
      <c r="E31" s="1455"/>
      <c r="F31" s="1469"/>
      <c r="G31" s="1457"/>
      <c r="H31" s="1469"/>
      <c r="I31" s="1457"/>
      <c r="J31" s="1457"/>
      <c r="K31" s="1457"/>
      <c r="L31" s="1457"/>
      <c r="M31" s="1470"/>
      <c r="N31" s="1469"/>
    </row>
    <row r="34" spans="1:14" x14ac:dyDescent="0.25">
      <c r="A34" s="24" t="s">
        <v>257</v>
      </c>
      <c r="B34" s="24"/>
      <c r="C34" s="5" t="s">
        <v>258</v>
      </c>
      <c r="L34" s="1443" t="s">
        <v>196</v>
      </c>
      <c r="M34" s="1443"/>
      <c r="N34" s="1443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454" t="s">
        <v>198</v>
      </c>
      <c r="M37" s="1454"/>
      <c r="N37" s="1454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443" t="s">
        <v>253</v>
      </c>
      <c r="M38" s="1443"/>
      <c r="N38" s="1443"/>
    </row>
    <row r="39" spans="1:14" x14ac:dyDescent="0.25">
      <c r="A39" s="25" t="s">
        <v>263</v>
      </c>
      <c r="B39" s="25"/>
      <c r="C39" t="s">
        <v>264</v>
      </c>
      <c r="L39" s="1454" t="s">
        <v>202</v>
      </c>
      <c r="M39" s="1454"/>
      <c r="N39" s="1454"/>
    </row>
    <row r="44" spans="1:14" x14ac:dyDescent="0.25">
      <c r="A44" s="1454"/>
      <c r="B44" s="1454"/>
      <c r="C44" s="1454"/>
      <c r="D44" s="1454"/>
      <c r="E44" s="1454"/>
      <c r="F44" s="1454"/>
      <c r="G44" s="1454"/>
      <c r="H44" s="1454"/>
      <c r="I44" s="1454"/>
      <c r="J44" s="1454"/>
      <c r="K44" s="1454"/>
      <c r="L44" s="1454"/>
      <c r="M44" s="1454"/>
      <c r="N44" s="1454"/>
    </row>
    <row r="45" spans="1:14" x14ac:dyDescent="0.25">
      <c r="A45" s="1443"/>
      <c r="B45" s="1443"/>
      <c r="C45" s="1443"/>
      <c r="D45" s="1443"/>
      <c r="E45" s="1443"/>
      <c r="F45" s="1443"/>
      <c r="G45" s="1443"/>
      <c r="H45" s="1443"/>
      <c r="I45" s="1443"/>
      <c r="J45" s="1443"/>
      <c r="K45" s="1443"/>
      <c r="L45" s="1443"/>
      <c r="M45" s="1443"/>
      <c r="N45" s="1443"/>
    </row>
    <row r="46" spans="1:14" x14ac:dyDescent="0.25">
      <c r="A46" s="1454"/>
      <c r="B46" s="1454"/>
      <c r="C46" s="1454"/>
      <c r="D46" s="1454"/>
      <c r="E46" s="1454"/>
      <c r="F46" s="1454"/>
      <c r="G46" s="1454"/>
      <c r="H46" s="1454"/>
      <c r="I46" s="1454"/>
      <c r="J46" s="1454"/>
      <c r="K46" s="1454"/>
      <c r="L46" s="1454"/>
      <c r="M46" s="1454"/>
      <c r="N46" s="1454"/>
    </row>
  </sheetData>
  <sheetProtection selectLockedCells="1" selectUnlockedCells="1"/>
  <mergeCells count="36"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443" t="s">
        <v>0</v>
      </c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  <c r="O6" s="1443"/>
      <c r="P6" s="1443"/>
      <c r="Q6" s="1443"/>
    </row>
    <row r="7" spans="2:17" x14ac:dyDescent="0.25">
      <c r="C7" s="1443" t="s">
        <v>1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4" t="s">
        <v>402</v>
      </c>
      <c r="D8" s="1444"/>
      <c r="E8" s="1444"/>
      <c r="F8" s="1444"/>
      <c r="G8" s="1444"/>
      <c r="H8" s="1444"/>
      <c r="I8" s="1444"/>
      <c r="J8" s="1444"/>
      <c r="K8" s="1444"/>
      <c r="L8" s="1444"/>
      <c r="M8" s="1444"/>
      <c r="N8" s="1444"/>
      <c r="O8" s="1444"/>
      <c r="P8" s="1444"/>
      <c r="Q8" s="144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443" t="s">
        <v>3</v>
      </c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  <c r="P10" s="1443"/>
      <c r="Q10" s="1443"/>
    </row>
    <row r="11" spans="2:17" x14ac:dyDescent="0.25">
      <c r="C11" s="1443" t="s">
        <v>403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2" t="s">
        <v>404</v>
      </c>
      <c r="D12" s="1442"/>
      <c r="E12" s="1442"/>
      <c r="F12" s="1442"/>
      <c r="G12" s="1442"/>
      <c r="H12" s="1442"/>
      <c r="I12" s="1442"/>
      <c r="J12" s="1442"/>
      <c r="K12" s="1442"/>
      <c r="L12" s="1442"/>
      <c r="M12" s="1442"/>
      <c r="N12" s="1442"/>
      <c r="O12" s="1442"/>
      <c r="P12" s="1442"/>
      <c r="Q12" s="1442"/>
    </row>
    <row r="14" spans="2:17" x14ac:dyDescent="0.25">
      <c r="B14" s="1458" t="s">
        <v>6</v>
      </c>
      <c r="C14" s="1459" t="s">
        <v>7</v>
      </c>
      <c r="D14" s="1459" t="s">
        <v>8</v>
      </c>
      <c r="E14" s="1459" t="s">
        <v>9</v>
      </c>
      <c r="F14" s="1459" t="s">
        <v>10</v>
      </c>
      <c r="G14" s="1461" t="s">
        <v>11</v>
      </c>
      <c r="H14" s="1459" t="s">
        <v>11</v>
      </c>
      <c r="I14" s="51" t="s">
        <v>12</v>
      </c>
      <c r="J14" s="1460" t="s">
        <v>13</v>
      </c>
      <c r="K14" s="1459" t="s">
        <v>14</v>
      </c>
      <c r="L14" s="1459" t="s">
        <v>15</v>
      </c>
      <c r="M14" s="1459" t="s">
        <v>16</v>
      </c>
      <c r="N14" s="1459" t="s">
        <v>17</v>
      </c>
      <c r="O14" s="1459" t="s">
        <v>18</v>
      </c>
      <c r="P14" s="1459" t="s">
        <v>19</v>
      </c>
      <c r="Q14" s="1462" t="s">
        <v>20</v>
      </c>
    </row>
    <row r="15" spans="2:17" x14ac:dyDescent="0.25">
      <c r="B15" s="1458"/>
      <c r="C15" s="1459"/>
      <c r="D15" s="1459"/>
      <c r="E15" s="1459"/>
      <c r="F15" s="1459"/>
      <c r="G15" s="1461"/>
      <c r="H15" s="1459"/>
      <c r="I15" s="52" t="s">
        <v>21</v>
      </c>
      <c r="J15" s="1460"/>
      <c r="K15" s="1459"/>
      <c r="L15" s="1459"/>
      <c r="M15" s="1459"/>
      <c r="N15" s="1459"/>
      <c r="O15" s="1459"/>
      <c r="P15" s="1459"/>
      <c r="Q15" s="1462"/>
    </row>
    <row r="17" spans="2:17" x14ac:dyDescent="0.25">
      <c r="B17" s="53">
        <v>1</v>
      </c>
      <c r="C17" s="54" t="s">
        <v>22</v>
      </c>
      <c r="D17" s="7" t="s">
        <v>23</v>
      </c>
      <c r="E17" s="1449" t="s">
        <v>24</v>
      </c>
      <c r="F17" s="1449"/>
      <c r="G17" s="1449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445" t="s">
        <v>30</v>
      </c>
      <c r="F18" s="1445" t="s">
        <v>31</v>
      </c>
      <c r="G18" s="144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445" t="s">
        <v>36</v>
      </c>
      <c r="F19" s="1445" t="s">
        <v>37</v>
      </c>
      <c r="G19" s="1445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445" t="s">
        <v>40</v>
      </c>
      <c r="F20" s="1445" t="s">
        <v>41</v>
      </c>
      <c r="G20" s="1445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445" t="s">
        <v>44</v>
      </c>
      <c r="F21" s="1445" t="s">
        <v>45</v>
      </c>
      <c r="G21" s="1445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445" t="s">
        <v>49</v>
      </c>
      <c r="F22" s="1445" t="s">
        <v>50</v>
      </c>
      <c r="G22" s="1445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445" t="s">
        <v>53</v>
      </c>
      <c r="F23" s="1445" t="s">
        <v>54</v>
      </c>
      <c r="G23" s="1445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445" t="s">
        <v>56</v>
      </c>
      <c r="F24" s="1445" t="s">
        <v>57</v>
      </c>
      <c r="G24" s="1445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445" t="s">
        <v>53</v>
      </c>
      <c r="F25" s="1445" t="s">
        <v>60</v>
      </c>
      <c r="G25" s="1445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445" t="s">
        <v>63</v>
      </c>
      <c r="F26" s="1445" t="s">
        <v>64</v>
      </c>
      <c r="G26" s="1445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445" t="s">
        <v>67</v>
      </c>
      <c r="F27" s="1445" t="s">
        <v>68</v>
      </c>
      <c r="G27" s="1445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445" t="s">
        <v>71</v>
      </c>
      <c r="F28" s="1445" t="s">
        <v>72</v>
      </c>
      <c r="G28" s="1445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445" t="s">
        <v>75</v>
      </c>
      <c r="F29" s="1445" t="s">
        <v>76</v>
      </c>
      <c r="G29" s="1445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445" t="s">
        <v>78</v>
      </c>
      <c r="F30" s="1445" t="s">
        <v>79</v>
      </c>
      <c r="G30" s="1445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445" t="s">
        <v>82</v>
      </c>
      <c r="F31" s="1445" t="s">
        <v>83</v>
      </c>
      <c r="G31" s="1445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445" t="s">
        <v>85</v>
      </c>
      <c r="F32" s="1445" t="s">
        <v>86</v>
      </c>
      <c r="G32" s="1445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445" t="s">
        <v>89</v>
      </c>
      <c r="F33" s="1445" t="s">
        <v>90</v>
      </c>
      <c r="G33" s="1445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445" t="s">
        <v>92</v>
      </c>
      <c r="F34" s="1445" t="s">
        <v>93</v>
      </c>
      <c r="G34" s="1445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445" t="s">
        <v>71</v>
      </c>
      <c r="F35" s="1445" t="s">
        <v>95</v>
      </c>
      <c r="G35" s="1445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445" t="s">
        <v>97</v>
      </c>
      <c r="F36" s="1445" t="s">
        <v>98</v>
      </c>
      <c r="G36" s="1445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445" t="s">
        <v>92</v>
      </c>
      <c r="F37" s="1445" t="s">
        <v>100</v>
      </c>
      <c r="G37" s="1445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445" t="s">
        <v>102</v>
      </c>
      <c r="F38" s="1445" t="s">
        <v>103</v>
      </c>
      <c r="G38" s="1445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445" t="s">
        <v>105</v>
      </c>
      <c r="F39" s="1445" t="s">
        <v>106</v>
      </c>
      <c r="G39" s="1445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445" t="s">
        <v>105</v>
      </c>
      <c r="F40" s="1445" t="s">
        <v>108</v>
      </c>
      <c r="G40" s="1445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445" t="s">
        <v>105</v>
      </c>
      <c r="F41" s="1445" t="s">
        <v>110</v>
      </c>
      <c r="G41" s="1445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445" t="s">
        <v>78</v>
      </c>
      <c r="F42" s="1445" t="s">
        <v>115</v>
      </c>
      <c r="G42" s="1445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445" t="s">
        <v>117</v>
      </c>
      <c r="F43" s="1445" t="s">
        <v>118</v>
      </c>
      <c r="G43" s="1445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445" t="s">
        <v>120</v>
      </c>
      <c r="F44" s="1445" t="s">
        <v>121</v>
      </c>
      <c r="G44" s="1445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445" t="s">
        <v>49</v>
      </c>
      <c r="F45" s="1445" t="s">
        <v>123</v>
      </c>
      <c r="G45" s="1445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445" t="s">
        <v>125</v>
      </c>
      <c r="F46" s="1445" t="s">
        <v>126</v>
      </c>
      <c r="G46" s="1445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445" t="s">
        <v>105</v>
      </c>
      <c r="F47" s="1445" t="s">
        <v>128</v>
      </c>
      <c r="G47" s="1445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445" t="s">
        <v>102</v>
      </c>
      <c r="F48" s="1445" t="s">
        <v>130</v>
      </c>
      <c r="G48" s="1445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445" t="s">
        <v>132</v>
      </c>
      <c r="F49" s="1445" t="s">
        <v>133</v>
      </c>
      <c r="G49" s="1445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445" t="s">
        <v>117</v>
      </c>
      <c r="F50" s="1445" t="s">
        <v>135</v>
      </c>
      <c r="G50" s="1445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445" t="s">
        <v>85</v>
      </c>
      <c r="F51" s="1445" t="s">
        <v>137</v>
      </c>
      <c r="G51" s="1445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445" t="s">
        <v>139</v>
      </c>
      <c r="F52" s="1445" t="s">
        <v>140</v>
      </c>
      <c r="G52" s="1445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445" t="s">
        <v>148</v>
      </c>
      <c r="F53" s="1445" t="s">
        <v>149</v>
      </c>
      <c r="G53" s="1445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445" t="s">
        <v>151</v>
      </c>
      <c r="F54" s="1445" t="s">
        <v>152</v>
      </c>
      <c r="G54" s="1445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445" t="s">
        <v>157</v>
      </c>
      <c r="F55" s="1445" t="s">
        <v>158</v>
      </c>
      <c r="G55" s="1445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445" t="s">
        <v>160</v>
      </c>
      <c r="F57" s="1445" t="s">
        <v>161</v>
      </c>
      <c r="G57" s="1445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445" t="s">
        <v>163</v>
      </c>
      <c r="F58" s="1445" t="s">
        <v>164</v>
      </c>
      <c r="G58" s="1445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445" t="s">
        <v>92</v>
      </c>
      <c r="F61" s="1445" t="s">
        <v>168</v>
      </c>
      <c r="G61" s="1445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445" t="s">
        <v>105</v>
      </c>
      <c r="F62" s="1445" t="s">
        <v>170</v>
      </c>
      <c r="G62" s="1445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445" t="s">
        <v>40</v>
      </c>
      <c r="F66" s="1445" t="s">
        <v>172</v>
      </c>
      <c r="G66" s="1445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445" t="s">
        <v>92</v>
      </c>
      <c r="F71" s="1445"/>
      <c r="G71" s="1445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445" t="s">
        <v>276</v>
      </c>
      <c r="F76" s="1445"/>
      <c r="G76" s="1445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445" t="s">
        <v>30</v>
      </c>
      <c r="F77" s="1445" t="s">
        <v>31</v>
      </c>
      <c r="G77" s="1445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445" t="s">
        <v>30</v>
      </c>
      <c r="F78" s="1445" t="s">
        <v>31</v>
      </c>
      <c r="G78" s="1445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445" t="s">
        <v>30</v>
      </c>
      <c r="F79" s="1445" t="s">
        <v>31</v>
      </c>
      <c r="G79" s="1445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445" t="s">
        <v>92</v>
      </c>
      <c r="F86" s="1445" t="s">
        <v>176</v>
      </c>
      <c r="G86" s="1445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445" t="s">
        <v>178</v>
      </c>
      <c r="F87" s="1445" t="s">
        <v>179</v>
      </c>
      <c r="G87" s="1445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463" t="s">
        <v>92</v>
      </c>
      <c r="F88" s="1463" t="s">
        <v>193</v>
      </c>
      <c r="G88" s="1463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464" t="s">
        <v>288</v>
      </c>
      <c r="D116" s="1464"/>
      <c r="E116" s="1464"/>
      <c r="F116" s="1464"/>
      <c r="G116" s="1464"/>
      <c r="H116" s="1464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443" t="s">
        <v>196</v>
      </c>
      <c r="O119" s="1443"/>
      <c r="P119" s="1443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454" t="s">
        <v>198</v>
      </c>
      <c r="O122" s="1454"/>
      <c r="P122" s="1454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443" t="s">
        <v>253</v>
      </c>
      <c r="O123" s="1443"/>
      <c r="P123" s="1443"/>
    </row>
    <row r="124" spans="2:17" x14ac:dyDescent="0.25">
      <c r="C124" s="25" t="s">
        <v>201</v>
      </c>
      <c r="D124" s="25"/>
      <c r="E124" t="s">
        <v>254</v>
      </c>
      <c r="N124" s="1454" t="s">
        <v>202</v>
      </c>
      <c r="O124" s="1454"/>
      <c r="P124" s="1454"/>
    </row>
    <row r="127" spans="2:17" x14ac:dyDescent="0.25">
      <c r="C127" s="1443"/>
      <c r="D127" s="1443"/>
      <c r="E127" s="1443"/>
      <c r="F127" s="1443"/>
      <c r="G127" s="1443"/>
      <c r="H127" s="1443"/>
      <c r="I127" s="1443"/>
      <c r="J127" s="1443"/>
      <c r="K127" s="1443"/>
      <c r="L127" s="1443"/>
      <c r="M127" s="1443"/>
      <c r="N127" s="1443"/>
      <c r="O127" s="1443"/>
      <c r="P127" s="1443"/>
    </row>
    <row r="130" spans="3:16" x14ac:dyDescent="0.25">
      <c r="C130" s="1454"/>
      <c r="D130" s="1454"/>
      <c r="E130" s="1454"/>
      <c r="F130" s="1454"/>
      <c r="G130" s="1454"/>
      <c r="H130" s="1454"/>
      <c r="I130" s="1454"/>
      <c r="J130" s="1454"/>
      <c r="K130" s="1454"/>
      <c r="L130" s="1454"/>
      <c r="M130" s="1454"/>
      <c r="N130" s="1454"/>
      <c r="O130" s="1454"/>
      <c r="P130" s="1454"/>
    </row>
    <row r="131" spans="3:16" x14ac:dyDescent="0.25">
      <c r="C131" s="1443"/>
      <c r="D131" s="1443"/>
      <c r="E131" s="1443"/>
      <c r="F131" s="1443"/>
      <c r="G131" s="1443"/>
      <c r="H131" s="1443"/>
      <c r="I131" s="1443"/>
      <c r="J131" s="1443"/>
      <c r="K131" s="1443"/>
      <c r="L131" s="1443"/>
      <c r="M131" s="1443"/>
      <c r="N131" s="1443"/>
      <c r="O131" s="1443"/>
      <c r="P131" s="1443"/>
    </row>
    <row r="132" spans="3:16" x14ac:dyDescent="0.25">
      <c r="C132" s="1454"/>
      <c r="D132" s="1454"/>
      <c r="E132" s="1454"/>
      <c r="F132" s="1454"/>
      <c r="G132" s="1454"/>
      <c r="H132" s="1454"/>
      <c r="I132" s="1454"/>
      <c r="J132" s="1454"/>
      <c r="K132" s="1454"/>
      <c r="L132" s="1454"/>
      <c r="M132" s="1454"/>
      <c r="N132" s="1454"/>
      <c r="O132" s="1454"/>
      <c r="P132" s="1454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405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406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467" t="s">
        <v>194</v>
      </c>
      <c r="D44" s="1467"/>
      <c r="E44" s="1467"/>
      <c r="F44" s="1467"/>
      <c r="G44" s="1467"/>
      <c r="H44" s="1467"/>
      <c r="I44" s="1466">
        <f>SUM(I18:I41)</f>
        <v>981500</v>
      </c>
      <c r="J44" s="1468">
        <f>SUM(J18:J41)</f>
        <v>0</v>
      </c>
      <c r="K44" s="1466">
        <v>1038000</v>
      </c>
      <c r="L44" s="1466">
        <f>SUM(L18:L41)</f>
        <v>28169.05</v>
      </c>
      <c r="M44" s="1466">
        <v>35295.4</v>
      </c>
      <c r="N44" s="1466">
        <f>SUM(N18:N41)</f>
        <v>29837.599999999999</v>
      </c>
      <c r="O44" s="1466">
        <f>SUM(O18:O41)</f>
        <v>1890.12</v>
      </c>
      <c r="P44" s="1466">
        <v>98606.32</v>
      </c>
      <c r="Q44" s="1465">
        <f>SUM(Q18:Q41)</f>
        <v>886307.82999999984</v>
      </c>
    </row>
    <row r="45" spans="2:17" x14ac:dyDescent="0.25">
      <c r="C45" s="1467"/>
      <c r="D45" s="1467"/>
      <c r="E45" s="1467"/>
      <c r="F45" s="1467"/>
      <c r="G45" s="1467"/>
      <c r="H45" s="1467"/>
      <c r="I45" s="1466"/>
      <c r="J45" s="1468"/>
      <c r="K45" s="1466"/>
      <c r="L45" s="1466"/>
      <c r="M45" s="1466"/>
      <c r="N45" s="1466"/>
      <c r="O45" s="1466"/>
      <c r="P45" s="1466"/>
      <c r="Q45" s="1465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443" t="s">
        <v>196</v>
      </c>
      <c r="O48" s="1443"/>
      <c r="P48" s="1443"/>
    </row>
    <row r="51" spans="3:16" x14ac:dyDescent="0.25">
      <c r="C51" s="25" t="s">
        <v>197</v>
      </c>
      <c r="D51" s="25"/>
      <c r="E51" t="s">
        <v>251</v>
      </c>
      <c r="N51" s="1454" t="s">
        <v>198</v>
      </c>
      <c r="O51" s="1454"/>
      <c r="P51" s="1454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443" t="s">
        <v>253</v>
      </c>
      <c r="O52" s="1443"/>
      <c r="P52" s="1443"/>
    </row>
    <row r="53" spans="3:16" x14ac:dyDescent="0.25">
      <c r="C53" s="25" t="s">
        <v>201</v>
      </c>
      <c r="D53" s="25"/>
      <c r="E53" t="s">
        <v>254</v>
      </c>
      <c r="N53" s="1454" t="s">
        <v>202</v>
      </c>
      <c r="O53" s="1454"/>
      <c r="P53" s="1454"/>
    </row>
    <row r="56" spans="3:16" x14ac:dyDescent="0.25">
      <c r="C56" s="1443"/>
      <c r="D56" s="1443"/>
      <c r="E56" s="1443"/>
      <c r="F56" s="1443"/>
      <c r="G56" s="1443"/>
      <c r="H56" s="1443"/>
      <c r="I56" s="1443"/>
      <c r="J56" s="1443"/>
      <c r="K56" s="1443"/>
      <c r="L56" s="1443"/>
      <c r="M56" s="1443"/>
      <c r="N56" s="1443"/>
      <c r="O56" s="1443"/>
      <c r="P56" s="1443"/>
    </row>
    <row r="59" spans="3:16" x14ac:dyDescent="0.25">
      <c r="C59" s="1454"/>
      <c r="D59" s="1454"/>
      <c r="E59" s="1454"/>
      <c r="F59" s="1454"/>
      <c r="G59" s="1454"/>
      <c r="H59" s="1454"/>
      <c r="I59" s="1454"/>
      <c r="J59" s="1454"/>
      <c r="K59" s="1454"/>
      <c r="L59" s="1454"/>
      <c r="M59" s="1454"/>
      <c r="N59" s="1454"/>
      <c r="O59" s="1454"/>
      <c r="P59" s="1454"/>
    </row>
    <row r="60" spans="3:16" x14ac:dyDescent="0.25">
      <c r="C60" s="1443"/>
      <c r="D60" s="1443"/>
      <c r="E60" s="1443"/>
      <c r="F60" s="1443"/>
      <c r="G60" s="1443"/>
      <c r="H60" s="1443"/>
      <c r="I60" s="1443"/>
      <c r="J60" s="1443"/>
      <c r="K60" s="1443"/>
      <c r="L60" s="1443"/>
      <c r="M60" s="1443"/>
      <c r="N60" s="1443"/>
      <c r="O60" s="1443"/>
      <c r="P60" s="1443"/>
    </row>
    <row r="61" spans="3:16" x14ac:dyDescent="0.25">
      <c r="C61" s="1454"/>
      <c r="D61" s="1454"/>
      <c r="E61" s="1454"/>
      <c r="F61" s="1454"/>
      <c r="G61" s="1454"/>
      <c r="H61" s="1454"/>
      <c r="I61" s="1454"/>
      <c r="J61" s="1454"/>
      <c r="K61" s="1454"/>
      <c r="L61" s="1454"/>
      <c r="M61" s="1454"/>
      <c r="N61" s="1454"/>
      <c r="O61" s="1454"/>
      <c r="P61" s="1454"/>
    </row>
  </sheetData>
  <sheetProtection selectLockedCells="1" selectUnlockedCells="1"/>
  <mergeCells count="39"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43" t="s">
        <v>0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</row>
    <row r="8" spans="1:14" x14ac:dyDescent="0.25">
      <c r="B8" s="1443" t="s">
        <v>1</v>
      </c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</row>
    <row r="9" spans="1:14" x14ac:dyDescent="0.25">
      <c r="B9" s="1444" t="s">
        <v>402</v>
      </c>
      <c r="C9" s="1444"/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443" t="s">
        <v>3</v>
      </c>
      <c r="C11" s="1443"/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</row>
    <row r="12" spans="1:14" x14ac:dyDescent="0.25">
      <c r="B12" s="1443" t="s">
        <v>410</v>
      </c>
      <c r="C12" s="1443"/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</row>
    <row r="13" spans="1:14" x14ac:dyDescent="0.25">
      <c r="B13" s="1442" t="s">
        <v>5</v>
      </c>
      <c r="C13" s="1442"/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46" t="s">
        <v>6</v>
      </c>
      <c r="B15" s="1447" t="s">
        <v>7</v>
      </c>
      <c r="C15" s="1447" t="s">
        <v>8</v>
      </c>
      <c r="D15" s="1447" t="s">
        <v>10</v>
      </c>
      <c r="E15" s="1451" t="s">
        <v>11</v>
      </c>
      <c r="F15" s="37" t="s">
        <v>12</v>
      </c>
      <c r="G15" s="1450" t="s">
        <v>13</v>
      </c>
      <c r="H15" s="1447" t="s">
        <v>14</v>
      </c>
      <c r="I15" s="1447" t="s">
        <v>15</v>
      </c>
      <c r="J15" s="1447" t="s">
        <v>16</v>
      </c>
      <c r="K15" s="1447" t="s">
        <v>17</v>
      </c>
      <c r="L15" s="1447" t="s">
        <v>18</v>
      </c>
      <c r="M15" s="1447" t="s">
        <v>19</v>
      </c>
      <c r="N15" s="1448" t="s">
        <v>20</v>
      </c>
    </row>
    <row r="16" spans="1:14" x14ac:dyDescent="0.25">
      <c r="A16" s="1446"/>
      <c r="B16" s="1447"/>
      <c r="C16" s="1447"/>
      <c r="D16" s="1447"/>
      <c r="E16" s="1451"/>
      <c r="F16" s="38" t="s">
        <v>21</v>
      </c>
      <c r="G16" s="1450"/>
      <c r="H16" s="1447"/>
      <c r="I16" s="1447"/>
      <c r="J16" s="1447"/>
      <c r="K16" s="1447"/>
      <c r="L16" s="1447"/>
      <c r="M16" s="1447"/>
      <c r="N16" s="1448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471" t="s">
        <v>194</v>
      </c>
      <c r="C30" s="1471"/>
      <c r="D30" s="1471"/>
      <c r="E30" s="1471"/>
      <c r="F30" s="1469">
        <v>122000</v>
      </c>
      <c r="G30" s="1470">
        <v>0</v>
      </c>
      <c r="H30" s="1469">
        <v>122000</v>
      </c>
      <c r="I30" s="1470">
        <v>0</v>
      </c>
      <c r="J30" s="1470">
        <v>0</v>
      </c>
      <c r="K30" s="1470">
        <v>0</v>
      </c>
      <c r="L30" s="1470">
        <v>0</v>
      </c>
      <c r="M30" s="1470">
        <v>0</v>
      </c>
      <c r="N30" s="1469">
        <v>122000</v>
      </c>
    </row>
    <row r="31" spans="1:14" x14ac:dyDescent="0.25">
      <c r="B31" s="1471"/>
      <c r="C31" s="1471"/>
      <c r="D31" s="1471"/>
      <c r="E31" s="1471"/>
      <c r="F31" s="1469"/>
      <c r="G31" s="1470"/>
      <c r="H31" s="1469"/>
      <c r="I31" s="1470"/>
      <c r="J31" s="1470"/>
      <c r="K31" s="1470"/>
      <c r="L31" s="1470"/>
      <c r="M31" s="1470"/>
      <c r="N31" s="1469"/>
    </row>
    <row r="36" spans="1:14" x14ac:dyDescent="0.25">
      <c r="A36" s="24" t="s">
        <v>257</v>
      </c>
      <c r="B36" s="24"/>
      <c r="C36" s="5" t="s">
        <v>258</v>
      </c>
      <c r="L36" s="1443" t="s">
        <v>196</v>
      </c>
      <c r="M36" s="1443"/>
      <c r="N36" s="1443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454" t="s">
        <v>198</v>
      </c>
      <c r="M39" s="1454"/>
      <c r="N39" s="1454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443" t="s">
        <v>253</v>
      </c>
      <c r="M40" s="1443"/>
      <c r="N40" s="1443"/>
    </row>
    <row r="41" spans="1:14" x14ac:dyDescent="0.25">
      <c r="A41" s="25" t="s">
        <v>263</v>
      </c>
      <c r="B41" s="25"/>
      <c r="C41" t="s">
        <v>264</v>
      </c>
      <c r="L41" s="1454" t="s">
        <v>202</v>
      </c>
      <c r="M41" s="1454"/>
      <c r="N41" s="1454"/>
    </row>
    <row r="46" spans="1:14" x14ac:dyDescent="0.25">
      <c r="A46" s="1454"/>
      <c r="B46" s="1454"/>
      <c r="C46" s="1454"/>
      <c r="D46" s="1454"/>
      <c r="E46" s="1454"/>
      <c r="F46" s="1454"/>
      <c r="G46" s="1454"/>
      <c r="H46" s="1454"/>
      <c r="I46" s="1454"/>
      <c r="J46" s="1454"/>
      <c r="K46" s="1454"/>
      <c r="L46" s="1454"/>
      <c r="M46" s="1454"/>
      <c r="N46" s="1454"/>
    </row>
    <row r="47" spans="1:14" x14ac:dyDescent="0.25">
      <c r="A47" s="1443"/>
      <c r="B47" s="1443"/>
      <c r="C47" s="1443"/>
      <c r="D47" s="1443"/>
      <c r="E47" s="1443"/>
      <c r="F47" s="1443"/>
      <c r="G47" s="1443"/>
      <c r="H47" s="1443"/>
      <c r="I47" s="1443"/>
      <c r="J47" s="1443"/>
      <c r="K47" s="1443"/>
      <c r="L47" s="1443"/>
      <c r="M47" s="1443"/>
      <c r="N47" s="1443"/>
    </row>
    <row r="48" spans="1:14" x14ac:dyDescent="0.25">
      <c r="A48" s="1454"/>
      <c r="B48" s="1454"/>
      <c r="C48" s="1454"/>
      <c r="D48" s="1454"/>
      <c r="E48" s="1454"/>
      <c r="F48" s="1454"/>
      <c r="G48" s="1454"/>
      <c r="H48" s="1454"/>
      <c r="I48" s="1454"/>
      <c r="J48" s="1454"/>
      <c r="K48" s="1454"/>
      <c r="L48" s="1454"/>
      <c r="M48" s="1454"/>
      <c r="N48" s="1454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411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412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467" t="s">
        <v>194</v>
      </c>
      <c r="D24" s="1467"/>
      <c r="E24" s="1467"/>
      <c r="F24" s="1467"/>
      <c r="G24" s="1467"/>
      <c r="H24" s="1467"/>
      <c r="I24" s="1466">
        <f t="shared" ref="I24:Q24" si="0">SUM(I18:I23)</f>
        <v>220000</v>
      </c>
      <c r="J24" s="1468">
        <f t="shared" si="0"/>
        <v>0</v>
      </c>
      <c r="K24" s="1466">
        <f t="shared" si="0"/>
        <v>220000</v>
      </c>
      <c r="L24" s="1466">
        <f t="shared" si="0"/>
        <v>6314</v>
      </c>
      <c r="M24" s="1466">
        <f t="shared" si="0"/>
        <v>5783.34</v>
      </c>
      <c r="N24" s="1466">
        <f t="shared" si="0"/>
        <v>6688</v>
      </c>
      <c r="O24" s="1466">
        <f t="shared" si="0"/>
        <v>825</v>
      </c>
      <c r="P24" s="1466">
        <f t="shared" si="0"/>
        <v>19610.34</v>
      </c>
      <c r="Q24" s="1465">
        <f t="shared" si="0"/>
        <v>200389.65999999997</v>
      </c>
    </row>
    <row r="25" spans="2:17" x14ac:dyDescent="0.25">
      <c r="C25" s="1467"/>
      <c r="D25" s="1467"/>
      <c r="E25" s="1467"/>
      <c r="F25" s="1467"/>
      <c r="G25" s="1467"/>
      <c r="H25" s="1467"/>
      <c r="I25" s="1466"/>
      <c r="J25" s="1468"/>
      <c r="K25" s="1466"/>
      <c r="L25" s="1466"/>
      <c r="M25" s="1466"/>
      <c r="N25" s="1466"/>
      <c r="O25" s="1466"/>
      <c r="P25" s="1466"/>
      <c r="Q25" s="1465"/>
    </row>
    <row r="38" spans="3:16" x14ac:dyDescent="0.25">
      <c r="C38" s="24" t="s">
        <v>195</v>
      </c>
      <c r="D38" s="24"/>
      <c r="E38" s="5" t="s">
        <v>250</v>
      </c>
      <c r="N38" s="1443" t="s">
        <v>196</v>
      </c>
      <c r="O38" s="1443"/>
      <c r="P38" s="1443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454" t="s">
        <v>198</v>
      </c>
      <c r="O41" s="1454"/>
      <c r="P41" s="1454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443" t="s">
        <v>253</v>
      </c>
      <c r="O42" s="1443"/>
      <c r="P42" s="1443"/>
    </row>
    <row r="43" spans="3:16" x14ac:dyDescent="0.25">
      <c r="C43" s="25" t="s">
        <v>201</v>
      </c>
      <c r="D43" s="25"/>
      <c r="E43" t="s">
        <v>254</v>
      </c>
      <c r="N43" s="1454" t="s">
        <v>202</v>
      </c>
      <c r="O43" s="1454"/>
      <c r="P43" s="1454"/>
    </row>
    <row r="46" spans="3:16" x14ac:dyDescent="0.25">
      <c r="C46" s="1443"/>
      <c r="D46" s="1443"/>
      <c r="E46" s="1443"/>
      <c r="F46" s="1443"/>
      <c r="G46" s="1443"/>
      <c r="H46" s="1443"/>
      <c r="I46" s="1443"/>
      <c r="J46" s="1443"/>
      <c r="K46" s="1443"/>
      <c r="L46" s="1443"/>
      <c r="M46" s="1443"/>
      <c r="N46" s="1443"/>
      <c r="O46" s="1443"/>
      <c r="P46" s="1443"/>
    </row>
    <row r="49" spans="3:16" x14ac:dyDescent="0.25">
      <c r="C49" s="1454"/>
      <c r="D49" s="1454"/>
      <c r="E49" s="1454"/>
      <c r="F49" s="1454"/>
      <c r="G49" s="1454"/>
      <c r="H49" s="1454"/>
      <c r="I49" s="1454"/>
      <c r="J49" s="1454"/>
      <c r="K49" s="1454"/>
      <c r="L49" s="1454"/>
      <c r="M49" s="1454"/>
      <c r="N49" s="1454"/>
      <c r="O49" s="1454"/>
      <c r="P49" s="1454"/>
    </row>
    <row r="50" spans="3:16" x14ac:dyDescent="0.25">
      <c r="C50" s="1443"/>
      <c r="D50" s="1443"/>
      <c r="E50" s="1443"/>
      <c r="F50" s="1443"/>
      <c r="G50" s="1443"/>
      <c r="H50" s="1443"/>
      <c r="I50" s="1443"/>
      <c r="J50" s="1443"/>
      <c r="K50" s="1443"/>
      <c r="L50" s="1443"/>
      <c r="M50" s="1443"/>
      <c r="N50" s="1443"/>
      <c r="O50" s="1443"/>
      <c r="P50" s="1443"/>
    </row>
    <row r="51" spans="3:16" x14ac:dyDescent="0.25">
      <c r="C51" s="1454"/>
      <c r="D51" s="1454"/>
      <c r="E51" s="1454"/>
      <c r="F51" s="1454"/>
      <c r="G51" s="1454"/>
      <c r="H51" s="1454"/>
      <c r="I51" s="1454"/>
      <c r="J51" s="1454"/>
      <c r="K51" s="1454"/>
      <c r="L51" s="1454"/>
      <c r="M51" s="1454"/>
      <c r="N51" s="1454"/>
      <c r="O51" s="1454"/>
      <c r="P51" s="1454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443" t="s">
        <v>0</v>
      </c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  <c r="O6" s="1443"/>
      <c r="P6" s="1443"/>
      <c r="Q6" s="1443"/>
    </row>
    <row r="7" spans="2:17" x14ac:dyDescent="0.25">
      <c r="C7" s="1443" t="s">
        <v>1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4" t="s">
        <v>402</v>
      </c>
      <c r="D8" s="1444"/>
      <c r="E8" s="1444"/>
      <c r="F8" s="1444"/>
      <c r="G8" s="1444"/>
      <c r="H8" s="1444"/>
      <c r="I8" s="1444"/>
      <c r="J8" s="1444"/>
      <c r="K8" s="1444"/>
      <c r="L8" s="1444"/>
      <c r="M8" s="1444"/>
      <c r="N8" s="1444"/>
      <c r="O8" s="1444"/>
      <c r="P8" s="1444"/>
      <c r="Q8" s="144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443" t="s">
        <v>3</v>
      </c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  <c r="P10" s="1443"/>
      <c r="Q10" s="1443"/>
    </row>
    <row r="11" spans="2:17" x14ac:dyDescent="0.25">
      <c r="C11" s="1443" t="s">
        <v>423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2" t="s">
        <v>404</v>
      </c>
      <c r="D12" s="1442"/>
      <c r="E12" s="1442"/>
      <c r="F12" s="1442"/>
      <c r="G12" s="1442"/>
      <c r="H12" s="1442"/>
      <c r="I12" s="1442"/>
      <c r="J12" s="1442"/>
      <c r="K12" s="1442"/>
      <c r="L12" s="1442"/>
      <c r="M12" s="1442"/>
      <c r="N12" s="1442"/>
      <c r="O12" s="1442"/>
      <c r="P12" s="1442"/>
      <c r="Q12" s="1442"/>
    </row>
    <row r="14" spans="2:17" x14ac:dyDescent="0.25">
      <c r="B14" s="1458" t="s">
        <v>6</v>
      </c>
      <c r="C14" s="1459" t="s">
        <v>7</v>
      </c>
      <c r="D14" s="1459" t="s">
        <v>8</v>
      </c>
      <c r="E14" s="1459" t="s">
        <v>9</v>
      </c>
      <c r="F14" s="1459" t="s">
        <v>10</v>
      </c>
      <c r="G14" s="1461" t="s">
        <v>11</v>
      </c>
      <c r="H14" s="1459" t="s">
        <v>11</v>
      </c>
      <c r="I14" s="51" t="s">
        <v>12</v>
      </c>
      <c r="J14" s="1460" t="s">
        <v>13</v>
      </c>
      <c r="K14" s="1459" t="s">
        <v>14</v>
      </c>
      <c r="L14" s="1459" t="s">
        <v>15</v>
      </c>
      <c r="M14" s="1459" t="s">
        <v>16</v>
      </c>
      <c r="N14" s="1459" t="s">
        <v>17</v>
      </c>
      <c r="O14" s="1459" t="s">
        <v>18</v>
      </c>
      <c r="P14" s="1459" t="s">
        <v>19</v>
      </c>
      <c r="Q14" s="1462" t="s">
        <v>20</v>
      </c>
    </row>
    <row r="15" spans="2:17" x14ac:dyDescent="0.25">
      <c r="B15" s="1458"/>
      <c r="C15" s="1459"/>
      <c r="D15" s="1459"/>
      <c r="E15" s="1459"/>
      <c r="F15" s="1459"/>
      <c r="G15" s="1461"/>
      <c r="H15" s="1459"/>
      <c r="I15" s="52" t="s">
        <v>21</v>
      </c>
      <c r="J15" s="1460"/>
      <c r="K15" s="1459"/>
      <c r="L15" s="1459"/>
      <c r="M15" s="1459"/>
      <c r="N15" s="1459"/>
      <c r="O15" s="1459"/>
      <c r="P15" s="1459"/>
      <c r="Q15" s="1462"/>
    </row>
    <row r="17" spans="2:17" x14ac:dyDescent="0.25">
      <c r="B17" s="53">
        <v>1</v>
      </c>
      <c r="C17" s="54" t="s">
        <v>22</v>
      </c>
      <c r="D17" s="7" t="s">
        <v>23</v>
      </c>
      <c r="E17" s="1449" t="s">
        <v>24</v>
      </c>
      <c r="F17" s="1449"/>
      <c r="G17" s="1449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445" t="s">
        <v>30</v>
      </c>
      <c r="F18" s="1445" t="s">
        <v>31</v>
      </c>
      <c r="G18" s="144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445" t="s">
        <v>36</v>
      </c>
      <c r="F19" s="1445" t="s">
        <v>37</v>
      </c>
      <c r="G19" s="1445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445" t="s">
        <v>40</v>
      </c>
      <c r="F22" s="1445" t="s">
        <v>41</v>
      </c>
      <c r="G22" s="1445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445" t="s">
        <v>44</v>
      </c>
      <c r="F23" s="1445" t="s">
        <v>45</v>
      </c>
      <c r="G23" s="1445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445" t="s">
        <v>49</v>
      </c>
      <c r="F24" s="1445" t="s">
        <v>50</v>
      </c>
      <c r="G24" s="1445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445" t="s">
        <v>53</v>
      </c>
      <c r="F25" s="1445" t="s">
        <v>54</v>
      </c>
      <c r="G25" s="1445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445" t="s">
        <v>427</v>
      </c>
      <c r="F26" s="1445" t="s">
        <v>57</v>
      </c>
      <c r="G26" s="1445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445" t="s">
        <v>53</v>
      </c>
      <c r="F27" s="1445" t="s">
        <v>60</v>
      </c>
      <c r="G27" s="1445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445" t="s">
        <v>63</v>
      </c>
      <c r="F28" s="1445" t="s">
        <v>64</v>
      </c>
      <c r="G28" s="1445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445" t="s">
        <v>67</v>
      </c>
      <c r="F29" s="1445" t="s">
        <v>68</v>
      </c>
      <c r="G29" s="1445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445" t="s">
        <v>71</v>
      </c>
      <c r="F30" s="1445" t="s">
        <v>72</v>
      </c>
      <c r="G30" s="1445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445" t="s">
        <v>75</v>
      </c>
      <c r="F31" s="1445" t="s">
        <v>76</v>
      </c>
      <c r="G31" s="1445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445" t="s">
        <v>78</v>
      </c>
      <c r="F32" s="1445" t="s">
        <v>79</v>
      </c>
      <c r="G32" s="1445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445" t="s">
        <v>82</v>
      </c>
      <c r="F33" s="1445" t="s">
        <v>83</v>
      </c>
      <c r="G33" s="1445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445" t="s">
        <v>85</v>
      </c>
      <c r="F34" s="1445" t="s">
        <v>86</v>
      </c>
      <c r="G34" s="1445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445" t="s">
        <v>89</v>
      </c>
      <c r="F35" s="1445" t="s">
        <v>90</v>
      </c>
      <c r="G35" s="1445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445" t="s">
        <v>92</v>
      </c>
      <c r="F36" s="1445" t="s">
        <v>93</v>
      </c>
      <c r="G36" s="1445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445" t="s">
        <v>71</v>
      </c>
      <c r="F37" s="1445" t="s">
        <v>95</v>
      </c>
      <c r="G37" s="1445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445" t="s">
        <v>97</v>
      </c>
      <c r="F38" s="1445" t="s">
        <v>98</v>
      </c>
      <c r="G38" s="1445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445" t="s">
        <v>92</v>
      </c>
      <c r="F39" s="1445" t="s">
        <v>100</v>
      </c>
      <c r="G39" s="1445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445" t="s">
        <v>102</v>
      </c>
      <c r="F40" s="1445" t="s">
        <v>103</v>
      </c>
      <c r="G40" s="1445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445" t="s">
        <v>105</v>
      </c>
      <c r="F41" s="1445" t="s">
        <v>106</v>
      </c>
      <c r="G41" s="1445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445" t="s">
        <v>105</v>
      </c>
      <c r="F42" s="1445" t="s">
        <v>108</v>
      </c>
      <c r="G42" s="1445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445" t="s">
        <v>105</v>
      </c>
      <c r="F43" s="1445" t="s">
        <v>110</v>
      </c>
      <c r="G43" s="1445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445" t="s">
        <v>78</v>
      </c>
      <c r="F44" s="1445" t="s">
        <v>115</v>
      </c>
      <c r="G44" s="1445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445" t="s">
        <v>117</v>
      </c>
      <c r="F45" s="1445" t="s">
        <v>118</v>
      </c>
      <c r="G45" s="1445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445" t="s">
        <v>120</v>
      </c>
      <c r="F46" s="1445" t="s">
        <v>121</v>
      </c>
      <c r="G46" s="1445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445" t="s">
        <v>49</v>
      </c>
      <c r="F47" s="1445" t="s">
        <v>123</v>
      </c>
      <c r="G47" s="1445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445" t="s">
        <v>125</v>
      </c>
      <c r="F48" s="1445" t="s">
        <v>126</v>
      </c>
      <c r="G48" s="1445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445" t="s">
        <v>105</v>
      </c>
      <c r="F49" s="1445" t="s">
        <v>128</v>
      </c>
      <c r="G49" s="1445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445" t="s">
        <v>102</v>
      </c>
      <c r="F50" s="1445" t="s">
        <v>130</v>
      </c>
      <c r="G50" s="1445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445" t="s">
        <v>132</v>
      </c>
      <c r="F51" s="1445" t="s">
        <v>133</v>
      </c>
      <c r="G51" s="1445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445" t="s">
        <v>117</v>
      </c>
      <c r="F52" s="1445" t="s">
        <v>135</v>
      </c>
      <c r="G52" s="1445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445" t="s">
        <v>85</v>
      </c>
      <c r="F53" s="1445" t="s">
        <v>137</v>
      </c>
      <c r="G53" s="1445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445" t="s">
        <v>139</v>
      </c>
      <c r="F54" s="1445" t="s">
        <v>140</v>
      </c>
      <c r="G54" s="1445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445" t="s">
        <v>148</v>
      </c>
      <c r="F55" s="1445" t="s">
        <v>149</v>
      </c>
      <c r="G55" s="1445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445" t="s">
        <v>151</v>
      </c>
      <c r="F56" s="1445" t="s">
        <v>152</v>
      </c>
      <c r="G56" s="1445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445" t="s">
        <v>157</v>
      </c>
      <c r="F57" s="1445" t="s">
        <v>158</v>
      </c>
      <c r="G57" s="1445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445" t="s">
        <v>160</v>
      </c>
      <c r="F59" s="1445" t="s">
        <v>161</v>
      </c>
      <c r="G59" s="1445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445" t="s">
        <v>163</v>
      </c>
      <c r="F60" s="1445" t="s">
        <v>164</v>
      </c>
      <c r="G60" s="1445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445" t="s">
        <v>92</v>
      </c>
      <c r="F63" s="1445" t="s">
        <v>168</v>
      </c>
      <c r="G63" s="1445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445" t="s">
        <v>276</v>
      </c>
      <c r="F64" s="1445" t="s">
        <v>170</v>
      </c>
      <c r="G64" s="1445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445" t="s">
        <v>40</v>
      </c>
      <c r="F68" s="1445" t="s">
        <v>172</v>
      </c>
      <c r="G68" s="1445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445" t="s">
        <v>92</v>
      </c>
      <c r="F73" s="1445"/>
      <c r="G73" s="1445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445" t="s">
        <v>276</v>
      </c>
      <c r="F78" s="1445"/>
      <c r="G78" s="1445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445" t="s">
        <v>30</v>
      </c>
      <c r="F79" s="1445" t="s">
        <v>31</v>
      </c>
      <c r="G79" s="1445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445" t="s">
        <v>30</v>
      </c>
      <c r="F80" s="1445" t="s">
        <v>31</v>
      </c>
      <c r="G80" s="1445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445" t="s">
        <v>30</v>
      </c>
      <c r="F81" s="1445" t="s">
        <v>31</v>
      </c>
      <c r="G81" s="1445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445" t="s">
        <v>92</v>
      </c>
      <c r="F88" s="1445" t="s">
        <v>176</v>
      </c>
      <c r="G88" s="1445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445" t="s">
        <v>178</v>
      </c>
      <c r="F89" s="1445" t="s">
        <v>179</v>
      </c>
      <c r="G89" s="1445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463" t="s">
        <v>92</v>
      </c>
      <c r="F90" s="1463" t="s">
        <v>193</v>
      </c>
      <c r="G90" s="1463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464" t="s">
        <v>288</v>
      </c>
      <c r="D128" s="1464"/>
      <c r="E128" s="1464"/>
      <c r="F128" s="1464"/>
      <c r="G128" s="1464"/>
      <c r="H128" s="1464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443" t="s">
        <v>196</v>
      </c>
      <c r="O131" s="1443"/>
      <c r="P131" s="1443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454" t="s">
        <v>198</v>
      </c>
      <c r="O134" s="1454"/>
      <c r="P134" s="1454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443" t="s">
        <v>253</v>
      </c>
      <c r="O135" s="1443"/>
      <c r="P135" s="1443"/>
    </row>
    <row r="136" spans="3:16" x14ac:dyDescent="0.25">
      <c r="C136" s="25" t="s">
        <v>201</v>
      </c>
      <c r="D136" s="25"/>
      <c r="E136" t="s">
        <v>254</v>
      </c>
      <c r="N136" s="1454" t="s">
        <v>202</v>
      </c>
      <c r="O136" s="1454"/>
      <c r="P136" s="1454"/>
    </row>
    <row r="139" spans="3:16" x14ac:dyDescent="0.25">
      <c r="C139" s="1443"/>
      <c r="D139" s="1443"/>
      <c r="E139" s="1443"/>
      <c r="F139" s="1443"/>
      <c r="G139" s="1443"/>
      <c r="H139" s="1443"/>
      <c r="I139" s="1443"/>
      <c r="J139" s="1443"/>
      <c r="K139" s="1443"/>
      <c r="L139" s="1443"/>
      <c r="M139" s="1443"/>
      <c r="N139" s="1443"/>
      <c r="O139" s="1443"/>
      <c r="P139" s="1443"/>
    </row>
    <row r="142" spans="3:16" x14ac:dyDescent="0.25">
      <c r="C142" s="1454"/>
      <c r="D142" s="1454"/>
      <c r="E142" s="1454"/>
      <c r="F142" s="1454"/>
      <c r="G142" s="1454"/>
      <c r="H142" s="1454"/>
      <c r="I142" s="1454"/>
      <c r="J142" s="1454"/>
      <c r="K142" s="1454"/>
      <c r="L142" s="1454"/>
      <c r="M142" s="1454"/>
      <c r="N142" s="1454"/>
      <c r="O142" s="1454"/>
      <c r="P142" s="1454"/>
    </row>
    <row r="143" spans="3:16" x14ac:dyDescent="0.25">
      <c r="C143" s="1443"/>
      <c r="D143" s="1443"/>
      <c r="E143" s="1443"/>
      <c r="F143" s="1443"/>
      <c r="G143" s="1443"/>
      <c r="H143" s="1443"/>
      <c r="I143" s="1443"/>
      <c r="J143" s="1443"/>
      <c r="K143" s="1443"/>
      <c r="L143" s="1443"/>
      <c r="M143" s="1443"/>
      <c r="N143" s="1443"/>
      <c r="O143" s="1443"/>
      <c r="P143" s="1443"/>
    </row>
    <row r="144" spans="3:16" x14ac:dyDescent="0.25">
      <c r="C144" s="1454"/>
      <c r="D144" s="1454"/>
      <c r="E144" s="1454"/>
      <c r="F144" s="1454"/>
      <c r="G144" s="1454"/>
      <c r="H144" s="1454"/>
      <c r="I144" s="1454"/>
      <c r="J144" s="1454"/>
      <c r="K144" s="1454"/>
      <c r="L144" s="1454"/>
      <c r="M144" s="1454"/>
      <c r="N144" s="1454"/>
      <c r="O144" s="1454"/>
      <c r="P144" s="1454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439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406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467" t="s">
        <v>194</v>
      </c>
      <c r="D42" s="1467"/>
      <c r="E42" s="1467"/>
      <c r="F42" s="1467"/>
      <c r="G42" s="1467"/>
      <c r="H42" s="1467"/>
      <c r="I42" s="1466">
        <f>SUM(I18:I41)</f>
        <v>981500</v>
      </c>
      <c r="J42" s="1468">
        <f>SUM(J18:J41)</f>
        <v>0</v>
      </c>
      <c r="K42" s="1466">
        <v>1038000</v>
      </c>
      <c r="L42" s="1466">
        <f>SUM(L18:L41)</f>
        <v>28169.05</v>
      </c>
      <c r="M42" s="1466">
        <v>35295.4</v>
      </c>
      <c r="N42" s="1466">
        <f>SUM(N18:N41)</f>
        <v>29837.599999999999</v>
      </c>
      <c r="O42" s="1466">
        <f>SUM(O18:O41)</f>
        <v>1890.12</v>
      </c>
      <c r="P42" s="1466">
        <v>98606.32</v>
      </c>
      <c r="Q42" s="1465">
        <f>SUM(Q18:Q41)</f>
        <v>886307.82999999984</v>
      </c>
    </row>
    <row r="43" spans="2:17" x14ac:dyDescent="0.25">
      <c r="C43" s="1467"/>
      <c r="D43" s="1467"/>
      <c r="E43" s="1467"/>
      <c r="F43" s="1467"/>
      <c r="G43" s="1467"/>
      <c r="H43" s="1467"/>
      <c r="I43" s="1466"/>
      <c r="J43" s="1468"/>
      <c r="K43" s="1466"/>
      <c r="L43" s="1466"/>
      <c r="M43" s="1466"/>
      <c r="N43" s="1466"/>
      <c r="O43" s="1466"/>
      <c r="P43" s="1466"/>
      <c r="Q43" s="1465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443" t="s">
        <v>196</v>
      </c>
      <c r="O46" s="1443"/>
      <c r="P46" s="1443"/>
    </row>
    <row r="49" spans="3:16" x14ac:dyDescent="0.25">
      <c r="C49" s="25" t="s">
        <v>197</v>
      </c>
      <c r="D49" s="25"/>
      <c r="E49" t="s">
        <v>251</v>
      </c>
      <c r="N49" s="1454" t="s">
        <v>198</v>
      </c>
      <c r="O49" s="1454"/>
      <c r="P49" s="1454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443" t="s">
        <v>253</v>
      </c>
      <c r="O50" s="1443"/>
      <c r="P50" s="1443"/>
    </row>
    <row r="51" spans="3:16" x14ac:dyDescent="0.25">
      <c r="C51" s="25" t="s">
        <v>201</v>
      </c>
      <c r="D51" s="25"/>
      <c r="E51" t="s">
        <v>254</v>
      </c>
      <c r="N51" s="1454" t="s">
        <v>202</v>
      </c>
      <c r="O51" s="1454"/>
      <c r="P51" s="1454"/>
    </row>
    <row r="54" spans="3:16" x14ac:dyDescent="0.25">
      <c r="C54" s="1443"/>
      <c r="D54" s="1443"/>
      <c r="E54" s="1443"/>
      <c r="F54" s="1443"/>
      <c r="G54" s="1443"/>
      <c r="H54" s="1443"/>
      <c r="I54" s="1443"/>
      <c r="J54" s="1443"/>
      <c r="K54" s="1443"/>
      <c r="L54" s="1443"/>
      <c r="M54" s="1443"/>
      <c r="N54" s="1443"/>
      <c r="O54" s="1443"/>
      <c r="P54" s="1443"/>
    </row>
    <row r="57" spans="3:16" x14ac:dyDescent="0.25">
      <c r="C57" s="1454"/>
      <c r="D57" s="1454"/>
      <c r="E57" s="1454"/>
      <c r="F57" s="1454"/>
      <c r="G57" s="1454"/>
      <c r="H57" s="1454"/>
      <c r="I57" s="1454"/>
      <c r="J57" s="1454"/>
      <c r="K57" s="1454"/>
      <c r="L57" s="1454"/>
      <c r="M57" s="1454"/>
      <c r="N57" s="1454"/>
      <c r="O57" s="1454"/>
      <c r="P57" s="1454"/>
    </row>
    <row r="58" spans="3:16" x14ac:dyDescent="0.25">
      <c r="C58" s="1443"/>
      <c r="D58" s="1443"/>
      <c r="E58" s="1443"/>
      <c r="F58" s="1443"/>
      <c r="G58" s="1443"/>
      <c r="H58" s="1443"/>
      <c r="I58" s="1443"/>
      <c r="J58" s="1443"/>
      <c r="K58" s="1443"/>
      <c r="L58" s="1443"/>
      <c r="M58" s="1443"/>
      <c r="N58" s="1443"/>
      <c r="O58" s="1443"/>
      <c r="P58" s="1443"/>
    </row>
    <row r="59" spans="3:16" x14ac:dyDescent="0.25">
      <c r="C59" s="1454"/>
      <c r="D59" s="1454"/>
      <c r="E59" s="1454"/>
      <c r="F59" s="1454"/>
      <c r="G59" s="1454"/>
      <c r="H59" s="1454"/>
      <c r="I59" s="1454"/>
      <c r="J59" s="1454"/>
      <c r="K59" s="1454"/>
      <c r="L59" s="1454"/>
      <c r="M59" s="1454"/>
      <c r="N59" s="1454"/>
      <c r="O59" s="1454"/>
      <c r="P59" s="1454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440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441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467" t="s">
        <v>194</v>
      </c>
      <c r="D20" s="1467"/>
      <c r="E20" s="1467"/>
      <c r="F20" s="1467"/>
      <c r="G20" s="1467"/>
      <c r="H20" s="1467"/>
      <c r="I20" s="1466">
        <f>SUM(I18:I19)</f>
        <v>110000</v>
      </c>
      <c r="J20" s="1468">
        <f>SUM(J18:J19)</f>
        <v>0</v>
      </c>
      <c r="K20" s="1466">
        <v>110000</v>
      </c>
      <c r="L20" s="1466">
        <f>SUM(L18:L19)</f>
        <v>3157</v>
      </c>
      <c r="M20" s="1466">
        <v>7400.87</v>
      </c>
      <c r="N20" s="1466">
        <v>3344</v>
      </c>
      <c r="O20" s="1466">
        <f>SUM(O18:O19)</f>
        <v>50</v>
      </c>
      <c r="P20" s="1466">
        <v>13951.87</v>
      </c>
      <c r="Q20" s="1465">
        <f>SUM(Q18:Q19)</f>
        <v>96048.13</v>
      </c>
    </row>
    <row r="21" spans="2:17" x14ac:dyDescent="0.25">
      <c r="C21" s="1467"/>
      <c r="D21" s="1467"/>
      <c r="E21" s="1467"/>
      <c r="F21" s="1467"/>
      <c r="G21" s="1467"/>
      <c r="H21" s="1467"/>
      <c r="I21" s="1466"/>
      <c r="J21" s="1468"/>
      <c r="K21" s="1466"/>
      <c r="L21" s="1466"/>
      <c r="M21" s="1466"/>
      <c r="N21" s="1466"/>
      <c r="O21" s="1466"/>
      <c r="P21" s="1466"/>
      <c r="Q21" s="1465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443" t="s">
        <v>196</v>
      </c>
      <c r="O31" s="1443"/>
      <c r="P31" s="1443"/>
    </row>
    <row r="34" spans="3:16" x14ac:dyDescent="0.25">
      <c r="C34" s="25" t="s">
        <v>197</v>
      </c>
      <c r="D34" s="25"/>
      <c r="E34" t="s">
        <v>251</v>
      </c>
      <c r="N34" s="1454" t="s">
        <v>198</v>
      </c>
      <c r="O34" s="1454"/>
      <c r="P34" s="1454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443" t="s">
        <v>253</v>
      </c>
      <c r="O35" s="1443"/>
      <c r="P35" s="1443"/>
    </row>
    <row r="36" spans="3:16" x14ac:dyDescent="0.25">
      <c r="C36" s="25" t="s">
        <v>201</v>
      </c>
      <c r="D36" s="25"/>
      <c r="E36" t="s">
        <v>254</v>
      </c>
      <c r="N36" s="1454" t="s">
        <v>202</v>
      </c>
      <c r="O36" s="1454"/>
      <c r="P36" s="1454"/>
    </row>
    <row r="39" spans="3:16" x14ac:dyDescent="0.25">
      <c r="C39" s="1443"/>
      <c r="D39" s="1443"/>
      <c r="E39" s="1443"/>
      <c r="F39" s="1443"/>
      <c r="G39" s="1443"/>
      <c r="H39" s="1443"/>
      <c r="I39" s="1443"/>
      <c r="J39" s="1443"/>
      <c r="K39" s="1443"/>
      <c r="L39" s="1443"/>
      <c r="M39" s="1443"/>
      <c r="N39" s="1443"/>
      <c r="O39" s="1443"/>
      <c r="P39" s="1443"/>
    </row>
    <row r="42" spans="3:16" x14ac:dyDescent="0.25">
      <c r="C42" s="1454"/>
      <c r="D42" s="1454"/>
      <c r="E42" s="1454"/>
      <c r="F42" s="1454"/>
      <c r="G42" s="1454"/>
      <c r="H42" s="1454"/>
      <c r="I42" s="1454"/>
      <c r="J42" s="1454"/>
      <c r="K42" s="1454"/>
      <c r="L42" s="1454"/>
      <c r="M42" s="1454"/>
      <c r="N42" s="1454"/>
      <c r="O42" s="1454"/>
      <c r="P42" s="1454"/>
    </row>
    <row r="43" spans="3:16" x14ac:dyDescent="0.25">
      <c r="C43" s="1443"/>
      <c r="D43" s="1443"/>
      <c r="E43" s="1443"/>
      <c r="F43" s="1443"/>
      <c r="G43" s="1443"/>
      <c r="H43" s="1443"/>
      <c r="I43" s="1443"/>
      <c r="J43" s="1443"/>
      <c r="K43" s="1443"/>
      <c r="L43" s="1443"/>
      <c r="M43" s="1443"/>
      <c r="N43" s="1443"/>
      <c r="O43" s="1443"/>
      <c r="P43" s="1443"/>
    </row>
    <row r="44" spans="3:16" x14ac:dyDescent="0.25">
      <c r="C44" s="1454"/>
      <c r="D44" s="1454"/>
      <c r="E44" s="1454"/>
      <c r="F44" s="1454"/>
      <c r="G44" s="1454"/>
      <c r="H44" s="1454"/>
      <c r="I44" s="1454"/>
      <c r="J44" s="1454"/>
      <c r="K44" s="1454"/>
      <c r="L44" s="1454"/>
      <c r="M44" s="1454"/>
      <c r="N44" s="1454"/>
      <c r="O44" s="1454"/>
      <c r="P44" s="1454"/>
    </row>
  </sheetData>
  <sheetProtection selectLockedCells="1" selectUnlockedCells="1"/>
  <mergeCells count="39"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43" t="s">
        <v>0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</row>
    <row r="8" spans="1:14" x14ac:dyDescent="0.25">
      <c r="B8" s="1443" t="s">
        <v>1</v>
      </c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</row>
    <row r="9" spans="1:14" x14ac:dyDescent="0.25">
      <c r="B9" s="1444" t="s">
        <v>402</v>
      </c>
      <c r="C9" s="1444"/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443" t="s">
        <v>3</v>
      </c>
      <c r="C11" s="1443"/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</row>
    <row r="12" spans="1:14" x14ac:dyDescent="0.25">
      <c r="B12" s="1443" t="s">
        <v>446</v>
      </c>
      <c r="C12" s="1443"/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</row>
    <row r="13" spans="1:14" x14ac:dyDescent="0.25">
      <c r="B13" s="1442" t="s">
        <v>5</v>
      </c>
      <c r="C13" s="1442"/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46" t="s">
        <v>6</v>
      </c>
      <c r="B15" s="1447" t="s">
        <v>7</v>
      </c>
      <c r="C15" s="1447" t="s">
        <v>8</v>
      </c>
      <c r="D15" s="1447" t="s">
        <v>10</v>
      </c>
      <c r="E15" s="1451" t="s">
        <v>11</v>
      </c>
      <c r="F15" s="37" t="s">
        <v>12</v>
      </c>
      <c r="G15" s="1450" t="s">
        <v>13</v>
      </c>
      <c r="H15" s="1447" t="s">
        <v>14</v>
      </c>
      <c r="I15" s="1447" t="s">
        <v>15</v>
      </c>
      <c r="J15" s="1447" t="s">
        <v>16</v>
      </c>
      <c r="K15" s="1447" t="s">
        <v>17</v>
      </c>
      <c r="L15" s="1447" t="s">
        <v>18</v>
      </c>
      <c r="M15" s="1447" t="s">
        <v>19</v>
      </c>
      <c r="N15" s="1448" t="s">
        <v>20</v>
      </c>
    </row>
    <row r="16" spans="1:14" x14ac:dyDescent="0.25">
      <c r="A16" s="1446"/>
      <c r="B16" s="1447"/>
      <c r="C16" s="1447"/>
      <c r="D16" s="1447"/>
      <c r="E16" s="1451"/>
      <c r="F16" s="38" t="s">
        <v>21</v>
      </c>
      <c r="G16" s="1450"/>
      <c r="H16" s="1447"/>
      <c r="I16" s="1447"/>
      <c r="J16" s="1447"/>
      <c r="K16" s="1447"/>
      <c r="L16" s="1447"/>
      <c r="M16" s="1447"/>
      <c r="N16" s="1448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471" t="s">
        <v>194</v>
      </c>
      <c r="C30" s="1471"/>
      <c r="D30" s="1471"/>
      <c r="E30" s="1471"/>
      <c r="F30" s="1469">
        <v>122000</v>
      </c>
      <c r="G30" s="1470">
        <v>0</v>
      </c>
      <c r="H30" s="1469">
        <v>122000</v>
      </c>
      <c r="I30" s="1470">
        <v>0</v>
      </c>
      <c r="J30" s="1470">
        <v>0</v>
      </c>
      <c r="K30" s="1470">
        <v>0</v>
      </c>
      <c r="L30" s="1470">
        <v>0</v>
      </c>
      <c r="M30" s="1470">
        <v>0</v>
      </c>
      <c r="N30" s="1469">
        <v>122000</v>
      </c>
    </row>
    <row r="31" spans="1:14" x14ac:dyDescent="0.25">
      <c r="B31" s="1471"/>
      <c r="C31" s="1471"/>
      <c r="D31" s="1471"/>
      <c r="E31" s="1471"/>
      <c r="F31" s="1469"/>
      <c r="G31" s="1470"/>
      <c r="H31" s="1469"/>
      <c r="I31" s="1470"/>
      <c r="J31" s="1470"/>
      <c r="K31" s="1470"/>
      <c r="L31" s="1470"/>
      <c r="M31" s="1470"/>
      <c r="N31" s="1469"/>
    </row>
    <row r="36" spans="1:14" x14ac:dyDescent="0.25">
      <c r="A36" s="24" t="s">
        <v>257</v>
      </c>
      <c r="B36" s="24"/>
      <c r="C36" s="5" t="s">
        <v>258</v>
      </c>
      <c r="L36" s="1443" t="s">
        <v>196</v>
      </c>
      <c r="M36" s="1443"/>
      <c r="N36" s="1443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454" t="s">
        <v>198</v>
      </c>
      <c r="M39" s="1454"/>
      <c r="N39" s="1454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443" t="s">
        <v>253</v>
      </c>
      <c r="M40" s="1443"/>
      <c r="N40" s="1443"/>
    </row>
    <row r="41" spans="1:14" x14ac:dyDescent="0.25">
      <c r="A41" s="25" t="s">
        <v>263</v>
      </c>
      <c r="B41" s="25"/>
      <c r="C41" t="s">
        <v>264</v>
      </c>
      <c r="L41" s="1454" t="s">
        <v>202</v>
      </c>
      <c r="M41" s="1454"/>
      <c r="N41" s="1454"/>
    </row>
    <row r="46" spans="1:14" x14ac:dyDescent="0.25">
      <c r="A46" s="1454"/>
      <c r="B46" s="1454"/>
      <c r="C46" s="1454"/>
      <c r="D46" s="1454"/>
      <c r="E46" s="1454"/>
      <c r="F46" s="1454"/>
      <c r="G46" s="1454"/>
      <c r="H46" s="1454"/>
      <c r="I46" s="1454"/>
      <c r="J46" s="1454"/>
      <c r="K46" s="1454"/>
      <c r="L46" s="1454"/>
      <c r="M46" s="1454"/>
      <c r="N46" s="1454"/>
    </row>
    <row r="47" spans="1:14" x14ac:dyDescent="0.25">
      <c r="A47" s="1443"/>
      <c r="B47" s="1443"/>
      <c r="C47" s="1443"/>
      <c r="D47" s="1443"/>
      <c r="E47" s="1443"/>
      <c r="F47" s="1443"/>
      <c r="G47" s="1443"/>
      <c r="H47" s="1443"/>
      <c r="I47" s="1443"/>
      <c r="J47" s="1443"/>
      <c r="K47" s="1443"/>
      <c r="L47" s="1443"/>
      <c r="M47" s="1443"/>
      <c r="N47" s="1443"/>
    </row>
    <row r="48" spans="1:14" x14ac:dyDescent="0.25">
      <c r="A48" s="1454"/>
      <c r="B48" s="1454"/>
      <c r="C48" s="1454"/>
      <c r="D48" s="1454"/>
      <c r="E48" s="1454"/>
      <c r="F48" s="1454"/>
      <c r="G48" s="1454"/>
      <c r="H48" s="1454"/>
      <c r="I48" s="1454"/>
      <c r="J48" s="1454"/>
      <c r="K48" s="1454"/>
      <c r="L48" s="1454"/>
      <c r="M48" s="1454"/>
      <c r="N48" s="1454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447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441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467" t="s">
        <v>194</v>
      </c>
      <c r="D22" s="1467"/>
      <c r="E22" s="1467"/>
      <c r="F22" s="1467"/>
      <c r="G22" s="1467"/>
      <c r="H22" s="1467"/>
      <c r="I22" s="1466">
        <f>SUM(I18:I21)</f>
        <v>155000</v>
      </c>
      <c r="J22" s="1468">
        <f>SUM(J18:J21)</f>
        <v>0</v>
      </c>
      <c r="K22" s="1466">
        <v>155000</v>
      </c>
      <c r="L22" s="1466">
        <f>SUM(L18:L21)</f>
        <v>4446.2</v>
      </c>
      <c r="M22" s="1466">
        <v>7400.87</v>
      </c>
      <c r="N22" s="1466">
        <v>4448.5</v>
      </c>
      <c r="O22" s="1466">
        <f>SUM(O18:O21)</f>
        <v>100</v>
      </c>
      <c r="P22" s="1466">
        <v>16661.37</v>
      </c>
      <c r="Q22" s="1465">
        <f>SUM(Q18:Q21)</f>
        <v>138338.63</v>
      </c>
    </row>
    <row r="23" spans="2:17" x14ac:dyDescent="0.25">
      <c r="C23" s="1467"/>
      <c r="D23" s="1467"/>
      <c r="E23" s="1467"/>
      <c r="F23" s="1467"/>
      <c r="G23" s="1467"/>
      <c r="H23" s="1467"/>
      <c r="I23" s="1466"/>
      <c r="J23" s="1468"/>
      <c r="K23" s="1466"/>
      <c r="L23" s="1466"/>
      <c r="M23" s="1466"/>
      <c r="N23" s="1466"/>
      <c r="O23" s="1466"/>
      <c r="P23" s="1466"/>
      <c r="Q23" s="1465"/>
    </row>
    <row r="33" spans="3:16" x14ac:dyDescent="0.25">
      <c r="C33" s="24" t="s">
        <v>195</v>
      </c>
      <c r="D33" s="24"/>
      <c r="E33" s="5" t="s">
        <v>250</v>
      </c>
      <c r="N33" s="1443" t="s">
        <v>196</v>
      </c>
      <c r="O33" s="1443"/>
      <c r="P33" s="1443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454" t="s">
        <v>198</v>
      </c>
      <c r="O36" s="1454"/>
      <c r="P36" s="1454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443" t="s">
        <v>253</v>
      </c>
      <c r="O37" s="1443"/>
      <c r="P37" s="1443"/>
    </row>
    <row r="38" spans="3:16" x14ac:dyDescent="0.25">
      <c r="C38" s="25" t="s">
        <v>201</v>
      </c>
      <c r="D38" s="25"/>
      <c r="E38" t="s">
        <v>254</v>
      </c>
      <c r="N38" s="1454" t="s">
        <v>202</v>
      </c>
      <c r="O38" s="1454"/>
      <c r="P38" s="1454"/>
    </row>
    <row r="41" spans="3:16" x14ac:dyDescent="0.25">
      <c r="C41" s="1443"/>
      <c r="D41" s="1443"/>
      <c r="E41" s="1443"/>
      <c r="F41" s="1443"/>
      <c r="G41" s="1443"/>
      <c r="H41" s="1443"/>
      <c r="I41" s="1443"/>
      <c r="J41" s="1443"/>
      <c r="K41" s="1443"/>
      <c r="L41" s="1443"/>
      <c r="M41" s="1443"/>
      <c r="N41" s="1443"/>
      <c r="O41" s="1443"/>
      <c r="P41" s="1443"/>
    </row>
    <row r="44" spans="3:16" x14ac:dyDescent="0.25">
      <c r="C44" s="1454"/>
      <c r="D44" s="1454"/>
      <c r="E44" s="1454"/>
      <c r="F44" s="1454"/>
      <c r="G44" s="1454"/>
      <c r="H44" s="1454"/>
      <c r="I44" s="1454"/>
      <c r="J44" s="1454"/>
      <c r="K44" s="1454"/>
      <c r="L44" s="1454"/>
      <c r="M44" s="1454"/>
      <c r="N44" s="1454"/>
      <c r="O44" s="1454"/>
      <c r="P44" s="1454"/>
    </row>
    <row r="45" spans="3:16" x14ac:dyDescent="0.25">
      <c r="C45" s="1443"/>
      <c r="D45" s="1443"/>
      <c r="E45" s="1443"/>
      <c r="F45" s="1443"/>
      <c r="G45" s="1443"/>
      <c r="H45" s="1443"/>
      <c r="I45" s="1443"/>
      <c r="J45" s="1443"/>
      <c r="K45" s="1443"/>
      <c r="L45" s="1443"/>
      <c r="M45" s="1443"/>
      <c r="N45" s="1443"/>
      <c r="O45" s="1443"/>
      <c r="P45" s="1443"/>
    </row>
    <row r="46" spans="3:16" x14ac:dyDescent="0.25">
      <c r="C46" s="1454"/>
      <c r="D46" s="1454"/>
      <c r="E46" s="1454"/>
      <c r="F46" s="1454"/>
      <c r="G46" s="1454"/>
      <c r="H46" s="1454"/>
      <c r="I46" s="1454"/>
      <c r="J46" s="1454"/>
      <c r="K46" s="1454"/>
      <c r="L46" s="1454"/>
      <c r="M46" s="1454"/>
      <c r="N46" s="1454"/>
      <c r="O46" s="1454"/>
      <c r="P46" s="1454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451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406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467" t="s">
        <v>194</v>
      </c>
      <c r="D42" s="1467"/>
      <c r="E42" s="1467"/>
      <c r="F42" s="1467"/>
      <c r="G42" s="1467"/>
      <c r="H42" s="1467"/>
      <c r="I42" s="1466">
        <f>SUM(I18:I41)</f>
        <v>981500</v>
      </c>
      <c r="J42" s="1468">
        <f>SUM(J18:J41)</f>
        <v>0</v>
      </c>
      <c r="K42" s="1466">
        <v>1038000</v>
      </c>
      <c r="L42" s="1466">
        <f>SUM(L18:L41)</f>
        <v>28169.05</v>
      </c>
      <c r="M42" s="1466">
        <v>35295.4</v>
      </c>
      <c r="N42" s="1466">
        <f>SUM(N18:N41)</f>
        <v>29837.599999999999</v>
      </c>
      <c r="O42" s="1466">
        <f>SUM(O18:O41)</f>
        <v>1890.12</v>
      </c>
      <c r="P42" s="1466">
        <v>98606.32</v>
      </c>
      <c r="Q42" s="1465">
        <f>SUM(Q18:Q41)</f>
        <v>886307.82999999984</v>
      </c>
    </row>
    <row r="43" spans="2:17" x14ac:dyDescent="0.25">
      <c r="C43" s="1467"/>
      <c r="D43" s="1467"/>
      <c r="E43" s="1467"/>
      <c r="F43" s="1467"/>
      <c r="G43" s="1467"/>
      <c r="H43" s="1467"/>
      <c r="I43" s="1466"/>
      <c r="J43" s="1468"/>
      <c r="K43" s="1466"/>
      <c r="L43" s="1466"/>
      <c r="M43" s="1466"/>
      <c r="N43" s="1466"/>
      <c r="O43" s="1466"/>
      <c r="P43" s="1466"/>
      <c r="Q43" s="1465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443" t="s">
        <v>196</v>
      </c>
      <c r="O46" s="1443"/>
      <c r="P46" s="1443"/>
    </row>
    <row r="49" spans="3:16" x14ac:dyDescent="0.25">
      <c r="C49" s="25" t="s">
        <v>197</v>
      </c>
      <c r="D49" s="25"/>
      <c r="E49" t="s">
        <v>251</v>
      </c>
      <c r="N49" s="1454" t="s">
        <v>198</v>
      </c>
      <c r="O49" s="1454"/>
      <c r="P49" s="1454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443" t="s">
        <v>253</v>
      </c>
      <c r="O50" s="1443"/>
      <c r="P50" s="1443"/>
    </row>
    <row r="51" spans="3:16" x14ac:dyDescent="0.25">
      <c r="C51" s="25" t="s">
        <v>201</v>
      </c>
      <c r="D51" s="25"/>
      <c r="E51" t="s">
        <v>254</v>
      </c>
      <c r="N51" s="1454" t="s">
        <v>202</v>
      </c>
      <c r="O51" s="1454"/>
      <c r="P51" s="1454"/>
    </row>
    <row r="54" spans="3:16" x14ac:dyDescent="0.25">
      <c r="C54" s="1443"/>
      <c r="D54" s="1443"/>
      <c r="E54" s="1443"/>
      <c r="F54" s="1443"/>
      <c r="G54" s="1443"/>
      <c r="H54" s="1443"/>
      <c r="I54" s="1443"/>
      <c r="J54" s="1443"/>
      <c r="K54" s="1443"/>
      <c r="L54" s="1443"/>
      <c r="M54" s="1443"/>
      <c r="N54" s="1443"/>
      <c r="O54" s="1443"/>
      <c r="P54" s="1443"/>
    </row>
    <row r="57" spans="3:16" x14ac:dyDescent="0.25">
      <c r="C57" s="1454"/>
      <c r="D57" s="1454"/>
      <c r="E57" s="1454"/>
      <c r="F57" s="1454"/>
      <c r="G57" s="1454"/>
      <c r="H57" s="1454"/>
      <c r="I57" s="1454"/>
      <c r="J57" s="1454"/>
      <c r="K57" s="1454"/>
      <c r="L57" s="1454"/>
      <c r="M57" s="1454"/>
      <c r="N57" s="1454"/>
      <c r="O57" s="1454"/>
      <c r="P57" s="1454"/>
    </row>
    <row r="58" spans="3:16" x14ac:dyDescent="0.25">
      <c r="C58" s="1443"/>
      <c r="D58" s="1443"/>
      <c r="E58" s="1443"/>
      <c r="F58" s="1443"/>
      <c r="G58" s="1443"/>
      <c r="H58" s="1443"/>
      <c r="I58" s="1443"/>
      <c r="J58" s="1443"/>
      <c r="K58" s="1443"/>
      <c r="L58" s="1443"/>
      <c r="M58" s="1443"/>
      <c r="N58" s="1443"/>
      <c r="O58" s="1443"/>
      <c r="P58" s="1443"/>
    </row>
    <row r="59" spans="3:16" x14ac:dyDescent="0.25">
      <c r="C59" s="1454"/>
      <c r="D59" s="1454"/>
      <c r="E59" s="1454"/>
      <c r="F59" s="1454"/>
      <c r="G59" s="1454"/>
      <c r="H59" s="1454"/>
      <c r="I59" s="1454"/>
      <c r="J59" s="1454"/>
      <c r="K59" s="1454"/>
      <c r="L59" s="1454"/>
      <c r="M59" s="1454"/>
      <c r="N59" s="1454"/>
      <c r="O59" s="1454"/>
      <c r="P59" s="1454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443" t="s">
        <v>0</v>
      </c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  <c r="O6" s="1443"/>
      <c r="P6" s="1443"/>
      <c r="Q6" s="1443"/>
    </row>
    <row r="7" spans="2:17" x14ac:dyDescent="0.25">
      <c r="C7" s="1443" t="s">
        <v>1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4" t="s">
        <v>402</v>
      </c>
      <c r="D8" s="1444"/>
      <c r="E8" s="1444"/>
      <c r="F8" s="1444"/>
      <c r="G8" s="1444"/>
      <c r="H8" s="1444"/>
      <c r="I8" s="1444"/>
      <c r="J8" s="1444"/>
      <c r="K8" s="1444"/>
      <c r="L8" s="1444"/>
      <c r="M8" s="1444"/>
      <c r="N8" s="1444"/>
      <c r="O8" s="1444"/>
      <c r="P8" s="1444"/>
      <c r="Q8" s="144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443" t="s">
        <v>3</v>
      </c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  <c r="P10" s="1443"/>
      <c r="Q10" s="1443"/>
    </row>
    <row r="11" spans="2:17" x14ac:dyDescent="0.25">
      <c r="C11" s="1443" t="s">
        <v>453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2" t="s">
        <v>404</v>
      </c>
      <c r="D12" s="1442"/>
      <c r="E12" s="1442"/>
      <c r="F12" s="1442"/>
      <c r="G12" s="1442"/>
      <c r="H12" s="1442"/>
      <c r="I12" s="1442"/>
      <c r="J12" s="1442"/>
      <c r="K12" s="1442"/>
      <c r="L12" s="1442"/>
      <c r="M12" s="1442"/>
      <c r="N12" s="1442"/>
      <c r="O12" s="1442"/>
      <c r="P12" s="1442"/>
      <c r="Q12" s="1442"/>
    </row>
    <row r="14" spans="2:17" x14ac:dyDescent="0.25">
      <c r="B14" s="1458" t="s">
        <v>6</v>
      </c>
      <c r="C14" s="1459" t="s">
        <v>7</v>
      </c>
      <c r="D14" s="1459" t="s">
        <v>8</v>
      </c>
      <c r="E14" s="1459" t="s">
        <v>9</v>
      </c>
      <c r="F14" s="1459" t="s">
        <v>10</v>
      </c>
      <c r="G14" s="1461" t="s">
        <v>11</v>
      </c>
      <c r="H14" s="1459" t="s">
        <v>11</v>
      </c>
      <c r="I14" s="51" t="s">
        <v>12</v>
      </c>
      <c r="J14" s="1460" t="s">
        <v>13</v>
      </c>
      <c r="K14" s="1459" t="s">
        <v>14</v>
      </c>
      <c r="L14" s="1459" t="s">
        <v>15</v>
      </c>
      <c r="M14" s="1459" t="s">
        <v>16</v>
      </c>
      <c r="N14" s="1459" t="s">
        <v>17</v>
      </c>
      <c r="O14" s="1459" t="s">
        <v>18</v>
      </c>
      <c r="P14" s="1459" t="s">
        <v>19</v>
      </c>
      <c r="Q14" s="1462" t="s">
        <v>20</v>
      </c>
    </row>
    <row r="15" spans="2:17" x14ac:dyDescent="0.25">
      <c r="B15" s="1458"/>
      <c r="C15" s="1459"/>
      <c r="D15" s="1459"/>
      <c r="E15" s="1459"/>
      <c r="F15" s="1459"/>
      <c r="G15" s="1461"/>
      <c r="H15" s="1459"/>
      <c r="I15" s="52" t="s">
        <v>21</v>
      </c>
      <c r="J15" s="1460"/>
      <c r="K15" s="1459"/>
      <c r="L15" s="1459"/>
      <c r="M15" s="1459"/>
      <c r="N15" s="1459"/>
      <c r="O15" s="1459"/>
      <c r="P15" s="1459"/>
      <c r="Q15" s="1462"/>
    </row>
    <row r="17" spans="2:17" x14ac:dyDescent="0.25">
      <c r="B17" s="53">
        <v>1</v>
      </c>
      <c r="C17" s="54" t="s">
        <v>22</v>
      </c>
      <c r="D17" s="7" t="s">
        <v>23</v>
      </c>
      <c r="E17" s="1449" t="s">
        <v>24</v>
      </c>
      <c r="F17" s="1449"/>
      <c r="G17" s="1449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445" t="s">
        <v>30</v>
      </c>
      <c r="F18" s="1445" t="s">
        <v>31</v>
      </c>
      <c r="G18" s="144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445" t="s">
        <v>36</v>
      </c>
      <c r="F19" s="1445" t="s">
        <v>37</v>
      </c>
      <c r="G19" s="1445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445" t="s">
        <v>40</v>
      </c>
      <c r="F22" s="1445" t="s">
        <v>41</v>
      </c>
      <c r="G22" s="1445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445" t="s">
        <v>44</v>
      </c>
      <c r="F23" s="1445" t="s">
        <v>45</v>
      </c>
      <c r="G23" s="1445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445" t="s">
        <v>49</v>
      </c>
      <c r="F24" s="1445" t="s">
        <v>50</v>
      </c>
      <c r="G24" s="1445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445" t="s">
        <v>53</v>
      </c>
      <c r="F25" s="1445" t="s">
        <v>54</v>
      </c>
      <c r="G25" s="1445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445" t="s">
        <v>427</v>
      </c>
      <c r="F26" s="1445" t="s">
        <v>57</v>
      </c>
      <c r="G26" s="1445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445" t="s">
        <v>53</v>
      </c>
      <c r="F27" s="1445" t="s">
        <v>60</v>
      </c>
      <c r="G27" s="1445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445" t="s">
        <v>63</v>
      </c>
      <c r="F28" s="1445" t="s">
        <v>64</v>
      </c>
      <c r="G28" s="1445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445" t="s">
        <v>67</v>
      </c>
      <c r="F29" s="1445" t="s">
        <v>68</v>
      </c>
      <c r="G29" s="1445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445" t="s">
        <v>71</v>
      </c>
      <c r="F30" s="1445" t="s">
        <v>72</v>
      </c>
      <c r="G30" s="1445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445" t="s">
        <v>75</v>
      </c>
      <c r="F31" s="1445" t="s">
        <v>76</v>
      </c>
      <c r="G31" s="1445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445" t="s">
        <v>78</v>
      </c>
      <c r="F32" s="1445" t="s">
        <v>79</v>
      </c>
      <c r="G32" s="1445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445" t="s">
        <v>82</v>
      </c>
      <c r="F33" s="1445" t="s">
        <v>83</v>
      </c>
      <c r="G33" s="1445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445" t="s">
        <v>85</v>
      </c>
      <c r="F34" s="1445" t="s">
        <v>86</v>
      </c>
      <c r="G34" s="1445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445" t="s">
        <v>89</v>
      </c>
      <c r="F35" s="1445" t="s">
        <v>90</v>
      </c>
      <c r="G35" s="1445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445" t="s">
        <v>92</v>
      </c>
      <c r="F36" s="1445" t="s">
        <v>93</v>
      </c>
      <c r="G36" s="1445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445" t="s">
        <v>71</v>
      </c>
      <c r="F37" s="1445" t="s">
        <v>95</v>
      </c>
      <c r="G37" s="1445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445" t="s">
        <v>97</v>
      </c>
      <c r="F38" s="1445" t="s">
        <v>98</v>
      </c>
      <c r="G38" s="1445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445" t="s">
        <v>92</v>
      </c>
      <c r="F39" s="1445" t="s">
        <v>100</v>
      </c>
      <c r="G39" s="1445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445" t="s">
        <v>102</v>
      </c>
      <c r="F40" s="1445" t="s">
        <v>103</v>
      </c>
      <c r="G40" s="1445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445" t="s">
        <v>105</v>
      </c>
      <c r="F41" s="1445" t="s">
        <v>106</v>
      </c>
      <c r="G41" s="1445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445" t="s">
        <v>105</v>
      </c>
      <c r="F42" s="1445" t="s">
        <v>108</v>
      </c>
      <c r="G42" s="1445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445" t="s">
        <v>105</v>
      </c>
      <c r="F43" s="1445" t="s">
        <v>110</v>
      </c>
      <c r="G43" s="1445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445" t="s">
        <v>78</v>
      </c>
      <c r="F44" s="1445" t="s">
        <v>115</v>
      </c>
      <c r="G44" s="1445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445" t="s">
        <v>117</v>
      </c>
      <c r="F45" s="1445" t="s">
        <v>118</v>
      </c>
      <c r="G45" s="1445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445" t="s">
        <v>120</v>
      </c>
      <c r="F46" s="1445" t="s">
        <v>121</v>
      </c>
      <c r="G46" s="1445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445" t="s">
        <v>49</v>
      </c>
      <c r="F47" s="1445" t="s">
        <v>123</v>
      </c>
      <c r="G47" s="1445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445" t="s">
        <v>125</v>
      </c>
      <c r="F48" s="1445" t="s">
        <v>126</v>
      </c>
      <c r="G48" s="1445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445" t="s">
        <v>105</v>
      </c>
      <c r="F49" s="1445" t="s">
        <v>128</v>
      </c>
      <c r="G49" s="1445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445" t="s">
        <v>102</v>
      </c>
      <c r="F50" s="1445" t="s">
        <v>130</v>
      </c>
      <c r="G50" s="1445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445" t="s">
        <v>132</v>
      </c>
      <c r="F51" s="1445" t="s">
        <v>133</v>
      </c>
      <c r="G51" s="1445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445" t="s">
        <v>117</v>
      </c>
      <c r="F52" s="1445" t="s">
        <v>135</v>
      </c>
      <c r="G52" s="1445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445" t="s">
        <v>85</v>
      </c>
      <c r="F53" s="1445" t="s">
        <v>137</v>
      </c>
      <c r="G53" s="1445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445" t="s">
        <v>139</v>
      </c>
      <c r="F54" s="1445" t="s">
        <v>140</v>
      </c>
      <c r="G54" s="1445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445" t="s">
        <v>148</v>
      </c>
      <c r="F55" s="1445" t="s">
        <v>149</v>
      </c>
      <c r="G55" s="1445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445" t="s">
        <v>151</v>
      </c>
      <c r="F56" s="1445" t="s">
        <v>152</v>
      </c>
      <c r="G56" s="1445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445" t="s">
        <v>157</v>
      </c>
      <c r="F57" s="1445" t="s">
        <v>158</v>
      </c>
      <c r="G57" s="1445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445" t="s">
        <v>160</v>
      </c>
      <c r="F59" s="1445" t="s">
        <v>161</v>
      </c>
      <c r="G59" s="1445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445" t="s">
        <v>163</v>
      </c>
      <c r="F60" s="1445" t="s">
        <v>164</v>
      </c>
      <c r="G60" s="1445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445" t="s">
        <v>92</v>
      </c>
      <c r="F63" s="1445" t="s">
        <v>168</v>
      </c>
      <c r="G63" s="1445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445" t="s">
        <v>276</v>
      </c>
      <c r="F64" s="1445" t="s">
        <v>170</v>
      </c>
      <c r="G64" s="1445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445" t="s">
        <v>40</v>
      </c>
      <c r="F68" s="1445" t="s">
        <v>172</v>
      </c>
      <c r="G68" s="1445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445" t="s">
        <v>92</v>
      </c>
      <c r="F73" s="1445"/>
      <c r="G73" s="1445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445" t="s">
        <v>276</v>
      </c>
      <c r="F78" s="1445"/>
      <c r="G78" s="1445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445" t="s">
        <v>30</v>
      </c>
      <c r="F79" s="1445" t="s">
        <v>31</v>
      </c>
      <c r="G79" s="1445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445" t="s">
        <v>30</v>
      </c>
      <c r="F80" s="1445" t="s">
        <v>31</v>
      </c>
      <c r="G80" s="1445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445" t="s">
        <v>30</v>
      </c>
      <c r="F81" s="1445" t="s">
        <v>31</v>
      </c>
      <c r="G81" s="1445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445" t="s">
        <v>92</v>
      </c>
      <c r="F88" s="1445" t="s">
        <v>176</v>
      </c>
      <c r="G88" s="1445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445" t="s">
        <v>178</v>
      </c>
      <c r="F89" s="1445" t="s">
        <v>179</v>
      </c>
      <c r="G89" s="1445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463" t="s">
        <v>92</v>
      </c>
      <c r="F90" s="1463" t="s">
        <v>193</v>
      </c>
      <c r="G90" s="1463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464" t="s">
        <v>288</v>
      </c>
      <c r="D128" s="1464"/>
      <c r="E128" s="1464"/>
      <c r="F128" s="1464"/>
      <c r="G128" s="1464"/>
      <c r="H128" s="1464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443" t="s">
        <v>196</v>
      </c>
      <c r="O131" s="1443"/>
      <c r="P131" s="1443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454" t="s">
        <v>198</v>
      </c>
      <c r="O134" s="1454"/>
      <c r="P134" s="1454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443" t="s">
        <v>253</v>
      </c>
      <c r="O135" s="1443"/>
      <c r="P135" s="1443"/>
    </row>
    <row r="136" spans="3:16" x14ac:dyDescent="0.25">
      <c r="C136" s="25" t="s">
        <v>201</v>
      </c>
      <c r="D136" s="25"/>
      <c r="E136" t="s">
        <v>254</v>
      </c>
      <c r="N136" s="1454" t="s">
        <v>202</v>
      </c>
      <c r="O136" s="1454"/>
      <c r="P136" s="1454"/>
    </row>
    <row r="139" spans="3:16" x14ac:dyDescent="0.25">
      <c r="C139" s="1443"/>
      <c r="D139" s="1443"/>
      <c r="E139" s="1443"/>
      <c r="F139" s="1443"/>
      <c r="G139" s="1443"/>
      <c r="H139" s="1443"/>
      <c r="I139" s="1443"/>
      <c r="J139" s="1443"/>
      <c r="K139" s="1443"/>
      <c r="L139" s="1443"/>
      <c r="M139" s="1443"/>
      <c r="N139" s="1443"/>
      <c r="O139" s="1443"/>
      <c r="P139" s="1443"/>
    </row>
    <row r="142" spans="3:16" x14ac:dyDescent="0.25">
      <c r="C142" s="1454"/>
      <c r="D142" s="1454"/>
      <c r="E142" s="1454"/>
      <c r="F142" s="1454"/>
      <c r="G142" s="1454"/>
      <c r="H142" s="1454"/>
      <c r="I142" s="1454"/>
      <c r="J142" s="1454"/>
      <c r="K142" s="1454"/>
      <c r="L142" s="1454"/>
      <c r="M142" s="1454"/>
      <c r="N142" s="1454"/>
      <c r="O142" s="1454"/>
      <c r="P142" s="1454"/>
    </row>
    <row r="143" spans="3:16" x14ac:dyDescent="0.25">
      <c r="C143" s="1443"/>
      <c r="D143" s="1443"/>
      <c r="E143" s="1443"/>
      <c r="F143" s="1443"/>
      <c r="G143" s="1443"/>
      <c r="H143" s="1443"/>
      <c r="I143" s="1443"/>
      <c r="J143" s="1443"/>
      <c r="K143" s="1443"/>
      <c r="L143" s="1443"/>
      <c r="M143" s="1443"/>
      <c r="N143" s="1443"/>
      <c r="O143" s="1443"/>
      <c r="P143" s="1443"/>
    </row>
    <row r="144" spans="3:16" x14ac:dyDescent="0.25">
      <c r="C144" s="1454"/>
      <c r="D144" s="1454"/>
      <c r="E144" s="1454"/>
      <c r="F144" s="1454"/>
      <c r="G144" s="1454"/>
      <c r="H144" s="1454"/>
      <c r="I144" s="1454"/>
      <c r="J144" s="1454"/>
      <c r="K144" s="1454"/>
      <c r="L144" s="1454"/>
      <c r="M144" s="1454"/>
      <c r="N144" s="1454"/>
      <c r="O144" s="1454"/>
      <c r="P144" s="1454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454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412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467" t="s">
        <v>194</v>
      </c>
      <c r="D24" s="1467"/>
      <c r="E24" s="1467"/>
      <c r="F24" s="1467"/>
      <c r="G24" s="1467"/>
      <c r="H24" s="1467"/>
      <c r="I24" s="1466">
        <f t="shared" ref="I24:Q24" si="0">SUM(I18:I23)</f>
        <v>220000</v>
      </c>
      <c r="J24" s="1468">
        <f t="shared" si="0"/>
        <v>0</v>
      </c>
      <c r="K24" s="1466">
        <f t="shared" si="0"/>
        <v>220000</v>
      </c>
      <c r="L24" s="1466">
        <f t="shared" si="0"/>
        <v>6314</v>
      </c>
      <c r="M24" s="1466">
        <f t="shared" si="0"/>
        <v>5783.34</v>
      </c>
      <c r="N24" s="1466">
        <f t="shared" si="0"/>
        <v>6688</v>
      </c>
      <c r="O24" s="1466">
        <f t="shared" si="0"/>
        <v>825</v>
      </c>
      <c r="P24" s="1466">
        <f t="shared" si="0"/>
        <v>19610.34</v>
      </c>
      <c r="Q24" s="1465">
        <f t="shared" si="0"/>
        <v>200389.65999999997</v>
      </c>
    </row>
    <row r="25" spans="2:17" x14ac:dyDescent="0.25">
      <c r="C25" s="1467"/>
      <c r="D25" s="1467"/>
      <c r="E25" s="1467"/>
      <c r="F25" s="1467"/>
      <c r="G25" s="1467"/>
      <c r="H25" s="1467"/>
      <c r="I25" s="1466"/>
      <c r="J25" s="1468"/>
      <c r="K25" s="1466"/>
      <c r="L25" s="1466"/>
      <c r="M25" s="1466"/>
      <c r="N25" s="1466"/>
      <c r="O25" s="1466"/>
      <c r="P25" s="1466"/>
      <c r="Q25" s="1465"/>
    </row>
    <row r="38" spans="3:16" x14ac:dyDescent="0.25">
      <c r="C38" s="24" t="s">
        <v>195</v>
      </c>
      <c r="D38" s="24"/>
      <c r="E38" s="5" t="s">
        <v>250</v>
      </c>
      <c r="N38" s="1443" t="s">
        <v>196</v>
      </c>
      <c r="O38" s="1443"/>
      <c r="P38" s="1443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454" t="s">
        <v>198</v>
      </c>
      <c r="O41" s="1454"/>
      <c r="P41" s="1454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443" t="s">
        <v>253</v>
      </c>
      <c r="O42" s="1443"/>
      <c r="P42" s="1443"/>
    </row>
    <row r="43" spans="3:16" x14ac:dyDescent="0.25">
      <c r="C43" s="25" t="s">
        <v>201</v>
      </c>
      <c r="D43" s="25"/>
      <c r="E43" t="s">
        <v>254</v>
      </c>
      <c r="N43" s="1454" t="s">
        <v>202</v>
      </c>
      <c r="O43" s="1454"/>
      <c r="P43" s="1454"/>
    </row>
    <row r="46" spans="3:16" x14ac:dyDescent="0.25">
      <c r="C46" s="1443"/>
      <c r="D46" s="1443"/>
      <c r="E46" s="1443"/>
      <c r="F46" s="1443"/>
      <c r="G46" s="1443"/>
      <c r="H46" s="1443"/>
      <c r="I46" s="1443"/>
      <c r="J46" s="1443"/>
      <c r="K46" s="1443"/>
      <c r="L46" s="1443"/>
      <c r="M46" s="1443"/>
      <c r="N46" s="1443"/>
      <c r="O46" s="1443"/>
      <c r="P46" s="1443"/>
    </row>
    <row r="49" spans="3:16" x14ac:dyDescent="0.25">
      <c r="C49" s="1454"/>
      <c r="D49" s="1454"/>
      <c r="E49" s="1454"/>
      <c r="F49" s="1454"/>
      <c r="G49" s="1454"/>
      <c r="H49" s="1454"/>
      <c r="I49" s="1454"/>
      <c r="J49" s="1454"/>
      <c r="K49" s="1454"/>
      <c r="L49" s="1454"/>
      <c r="M49" s="1454"/>
      <c r="N49" s="1454"/>
      <c r="O49" s="1454"/>
      <c r="P49" s="1454"/>
    </row>
    <row r="50" spans="3:16" x14ac:dyDescent="0.25">
      <c r="C50" s="1443"/>
      <c r="D50" s="1443"/>
      <c r="E50" s="1443"/>
      <c r="F50" s="1443"/>
      <c r="G50" s="1443"/>
      <c r="H50" s="1443"/>
      <c r="I50" s="1443"/>
      <c r="J50" s="1443"/>
      <c r="K50" s="1443"/>
      <c r="L50" s="1443"/>
      <c r="M50" s="1443"/>
      <c r="N50" s="1443"/>
      <c r="O50" s="1443"/>
      <c r="P50" s="1443"/>
    </row>
    <row r="51" spans="3:16" x14ac:dyDescent="0.25">
      <c r="C51" s="1454"/>
      <c r="D51" s="1454"/>
      <c r="E51" s="1454"/>
      <c r="F51" s="1454"/>
      <c r="G51" s="1454"/>
      <c r="H51" s="1454"/>
      <c r="I51" s="1454"/>
      <c r="J51" s="1454"/>
      <c r="K51" s="1454"/>
      <c r="L51" s="1454"/>
      <c r="M51" s="1454"/>
      <c r="N51" s="1454"/>
      <c r="O51" s="1454"/>
      <c r="P51" s="1454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455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412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467" t="s">
        <v>194</v>
      </c>
      <c r="D24" s="1467"/>
      <c r="E24" s="1467"/>
      <c r="F24" s="1467"/>
      <c r="G24" s="1467"/>
      <c r="H24" s="1467"/>
      <c r="I24" s="1466">
        <f t="shared" ref="I24:Q24" si="0">SUM(I18:I23)</f>
        <v>220000</v>
      </c>
      <c r="J24" s="1468">
        <f t="shared" si="0"/>
        <v>0</v>
      </c>
      <c r="K24" s="1466">
        <f t="shared" si="0"/>
        <v>220000</v>
      </c>
      <c r="L24" s="1466">
        <f t="shared" si="0"/>
        <v>6314</v>
      </c>
      <c r="M24" s="1466">
        <f t="shared" si="0"/>
        <v>5783.34</v>
      </c>
      <c r="N24" s="1466">
        <f t="shared" si="0"/>
        <v>6688</v>
      </c>
      <c r="O24" s="1466">
        <f t="shared" si="0"/>
        <v>825</v>
      </c>
      <c r="P24" s="1466">
        <f t="shared" si="0"/>
        <v>19610.34</v>
      </c>
      <c r="Q24" s="1465">
        <f t="shared" si="0"/>
        <v>200389.65999999997</v>
      </c>
    </row>
    <row r="25" spans="2:17" x14ac:dyDescent="0.25">
      <c r="C25" s="1467"/>
      <c r="D25" s="1467"/>
      <c r="E25" s="1467"/>
      <c r="F25" s="1467"/>
      <c r="G25" s="1467"/>
      <c r="H25" s="1467"/>
      <c r="I25" s="1466"/>
      <c r="J25" s="1468"/>
      <c r="K25" s="1466"/>
      <c r="L25" s="1466"/>
      <c r="M25" s="1466"/>
      <c r="N25" s="1466"/>
      <c r="O25" s="1466"/>
      <c r="P25" s="1466"/>
      <c r="Q25" s="1465"/>
    </row>
    <row r="38" spans="3:16" x14ac:dyDescent="0.25">
      <c r="C38" s="24" t="s">
        <v>195</v>
      </c>
      <c r="D38" s="24"/>
      <c r="E38" s="5" t="s">
        <v>250</v>
      </c>
      <c r="N38" s="1443" t="s">
        <v>196</v>
      </c>
      <c r="O38" s="1443"/>
      <c r="P38" s="1443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454" t="s">
        <v>198</v>
      </c>
      <c r="O41" s="1454"/>
      <c r="P41" s="1454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443" t="s">
        <v>253</v>
      </c>
      <c r="O42" s="1443"/>
      <c r="P42" s="1443"/>
    </row>
    <row r="43" spans="3:16" x14ac:dyDescent="0.25">
      <c r="C43" s="25" t="s">
        <v>201</v>
      </c>
      <c r="D43" s="25"/>
      <c r="E43" t="s">
        <v>254</v>
      </c>
      <c r="N43" s="1454" t="s">
        <v>202</v>
      </c>
      <c r="O43" s="1454"/>
      <c r="P43" s="1454"/>
    </row>
    <row r="46" spans="3:16" x14ac:dyDescent="0.25">
      <c r="C46" s="1443"/>
      <c r="D46" s="1443"/>
      <c r="E46" s="1443"/>
      <c r="F46" s="1443"/>
      <c r="G46" s="1443"/>
      <c r="H46" s="1443"/>
      <c r="I46" s="1443"/>
      <c r="J46" s="1443"/>
      <c r="K46" s="1443"/>
      <c r="L46" s="1443"/>
      <c r="M46" s="1443"/>
      <c r="N46" s="1443"/>
      <c r="O46" s="1443"/>
      <c r="P46" s="1443"/>
    </row>
    <row r="49" spans="3:16" x14ac:dyDescent="0.25">
      <c r="C49" s="1454"/>
      <c r="D49" s="1454"/>
      <c r="E49" s="1454"/>
      <c r="F49" s="1454"/>
      <c r="G49" s="1454"/>
      <c r="H49" s="1454"/>
      <c r="I49" s="1454"/>
      <c r="J49" s="1454"/>
      <c r="K49" s="1454"/>
      <c r="L49" s="1454"/>
      <c r="M49" s="1454"/>
      <c r="N49" s="1454"/>
      <c r="O49" s="1454"/>
      <c r="P49" s="1454"/>
    </row>
    <row r="50" spans="3:16" x14ac:dyDescent="0.25">
      <c r="C50" s="1443"/>
      <c r="D50" s="1443"/>
      <c r="E50" s="1443"/>
      <c r="F50" s="1443"/>
      <c r="G50" s="1443"/>
      <c r="H50" s="1443"/>
      <c r="I50" s="1443"/>
      <c r="J50" s="1443"/>
      <c r="K50" s="1443"/>
      <c r="L50" s="1443"/>
      <c r="M50" s="1443"/>
      <c r="N50" s="1443"/>
      <c r="O50" s="1443"/>
      <c r="P50" s="1443"/>
    </row>
    <row r="51" spans="3:16" x14ac:dyDescent="0.25">
      <c r="C51" s="1454"/>
      <c r="D51" s="1454"/>
      <c r="E51" s="1454"/>
      <c r="F51" s="1454"/>
      <c r="G51" s="1454"/>
      <c r="H51" s="1454"/>
      <c r="I51" s="1454"/>
      <c r="J51" s="1454"/>
      <c r="K51" s="1454"/>
      <c r="L51" s="1454"/>
      <c r="M51" s="1454"/>
      <c r="N51" s="1454"/>
      <c r="O51" s="1454"/>
      <c r="P51" s="1454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456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406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467" t="s">
        <v>194</v>
      </c>
      <c r="D39" s="1467"/>
      <c r="E39" s="1467"/>
      <c r="F39" s="1467"/>
      <c r="G39" s="1467"/>
      <c r="H39" s="1467"/>
      <c r="I39" s="1466">
        <f>SUM(I18:I38)</f>
        <v>891500</v>
      </c>
      <c r="J39" s="1468">
        <f>SUM(J18:J38)</f>
        <v>0</v>
      </c>
      <c r="K39" s="1466">
        <v>891500</v>
      </c>
      <c r="L39" s="1466">
        <f>SUM(L18:L38)</f>
        <v>25586.05</v>
      </c>
      <c r="M39" s="1466">
        <v>35295.4</v>
      </c>
      <c r="N39" s="1466">
        <f>SUM(N18:N38)</f>
        <v>27101.599999999999</v>
      </c>
      <c r="O39" s="1466">
        <f>SUM(O18:O38)</f>
        <v>1815.12</v>
      </c>
      <c r="P39" s="1466">
        <v>89798.17</v>
      </c>
      <c r="Q39" s="1465">
        <f>SUM(Q18:Q38)</f>
        <v>801701.82999999984</v>
      </c>
    </row>
    <row r="40" spans="2:17" x14ac:dyDescent="0.25">
      <c r="C40" s="1467"/>
      <c r="D40" s="1467"/>
      <c r="E40" s="1467"/>
      <c r="F40" s="1467"/>
      <c r="G40" s="1467"/>
      <c r="H40" s="1467"/>
      <c r="I40" s="1466"/>
      <c r="J40" s="1468"/>
      <c r="K40" s="1466"/>
      <c r="L40" s="1466"/>
      <c r="M40" s="1466"/>
      <c r="N40" s="1466"/>
      <c r="O40" s="1466"/>
      <c r="P40" s="1466"/>
      <c r="Q40" s="1465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443" t="s">
        <v>196</v>
      </c>
      <c r="O43" s="1443"/>
      <c r="P43" s="1443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454" t="s">
        <v>198</v>
      </c>
      <c r="O46" s="1454"/>
      <c r="P46" s="1454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443" t="s">
        <v>253</v>
      </c>
      <c r="O47" s="1443"/>
      <c r="P47" s="1443"/>
    </row>
    <row r="48" spans="2:17" x14ac:dyDescent="0.25">
      <c r="C48" s="25" t="s">
        <v>201</v>
      </c>
      <c r="D48" s="25"/>
      <c r="E48" t="s">
        <v>254</v>
      </c>
      <c r="N48" s="1454" t="s">
        <v>202</v>
      </c>
      <c r="O48" s="1454"/>
      <c r="P48" s="1454"/>
    </row>
    <row r="51" spans="3:16" x14ac:dyDescent="0.25">
      <c r="C51" s="1443"/>
      <c r="D51" s="1443"/>
      <c r="E51" s="1443"/>
      <c r="F51" s="1443"/>
      <c r="G51" s="1443"/>
      <c r="H51" s="1443"/>
      <c r="I51" s="1443"/>
      <c r="J51" s="1443"/>
      <c r="K51" s="1443"/>
      <c r="L51" s="1443"/>
      <c r="M51" s="1443"/>
      <c r="N51" s="1443"/>
      <c r="O51" s="1443"/>
      <c r="P51" s="1443"/>
    </row>
    <row r="54" spans="3:16" x14ac:dyDescent="0.25">
      <c r="C54" s="1454"/>
      <c r="D54" s="1454"/>
      <c r="E54" s="1454"/>
      <c r="F54" s="1454"/>
      <c r="G54" s="1454"/>
      <c r="H54" s="1454"/>
      <c r="I54" s="1454"/>
      <c r="J54" s="1454"/>
      <c r="K54" s="1454"/>
      <c r="L54" s="1454"/>
      <c r="M54" s="1454"/>
      <c r="N54" s="1454"/>
      <c r="O54" s="1454"/>
      <c r="P54" s="1454"/>
    </row>
    <row r="55" spans="3:16" x14ac:dyDescent="0.25">
      <c r="C55" s="1443"/>
      <c r="D55" s="1443"/>
      <c r="E55" s="1443"/>
      <c r="F55" s="1443"/>
      <c r="G55" s="1443"/>
      <c r="H55" s="1443"/>
      <c r="I55" s="1443"/>
      <c r="J55" s="1443"/>
      <c r="K55" s="1443"/>
      <c r="L55" s="1443"/>
      <c r="M55" s="1443"/>
      <c r="N55" s="1443"/>
      <c r="O55" s="1443"/>
      <c r="P55" s="1443"/>
    </row>
    <row r="56" spans="3:16" x14ac:dyDescent="0.25">
      <c r="C56" s="1454"/>
      <c r="D56" s="1454"/>
      <c r="E56" s="1454"/>
      <c r="F56" s="1454"/>
      <c r="G56" s="1454"/>
      <c r="H56" s="1454"/>
      <c r="I56" s="1454"/>
      <c r="J56" s="1454"/>
      <c r="K56" s="1454"/>
      <c r="L56" s="1454"/>
      <c r="M56" s="1454"/>
      <c r="N56" s="1454"/>
      <c r="O56" s="1454"/>
      <c r="P56" s="1454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43" t="s">
        <v>0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</row>
    <row r="8" spans="1:14" x14ac:dyDescent="0.25">
      <c r="B8" s="1443" t="s">
        <v>1</v>
      </c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</row>
    <row r="9" spans="1:14" x14ac:dyDescent="0.25">
      <c r="B9" s="1444" t="s">
        <v>402</v>
      </c>
      <c r="C9" s="1444"/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443" t="s">
        <v>3</v>
      </c>
      <c r="C11" s="1443"/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</row>
    <row r="12" spans="1:14" x14ac:dyDescent="0.25">
      <c r="B12" s="1443" t="s">
        <v>457</v>
      </c>
      <c r="C12" s="1443"/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</row>
    <row r="13" spans="1:14" x14ac:dyDescent="0.25">
      <c r="B13" s="1442" t="s">
        <v>5</v>
      </c>
      <c r="C13" s="1442"/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46" t="s">
        <v>6</v>
      </c>
      <c r="B15" s="1447" t="s">
        <v>7</v>
      </c>
      <c r="C15" s="1447" t="s">
        <v>8</v>
      </c>
      <c r="D15" s="1447" t="s">
        <v>10</v>
      </c>
      <c r="E15" s="1451" t="s">
        <v>11</v>
      </c>
      <c r="F15" s="37" t="s">
        <v>12</v>
      </c>
      <c r="G15" s="1450" t="s">
        <v>13</v>
      </c>
      <c r="H15" s="1447" t="s">
        <v>14</v>
      </c>
      <c r="I15" s="1447" t="s">
        <v>15</v>
      </c>
      <c r="J15" s="1447" t="s">
        <v>16</v>
      </c>
      <c r="K15" s="1447" t="s">
        <v>17</v>
      </c>
      <c r="L15" s="1447" t="s">
        <v>18</v>
      </c>
      <c r="M15" s="1447" t="s">
        <v>19</v>
      </c>
      <c r="N15" s="1448" t="s">
        <v>20</v>
      </c>
    </row>
    <row r="16" spans="1:14" x14ac:dyDescent="0.25">
      <c r="A16" s="1446"/>
      <c r="B16" s="1447"/>
      <c r="C16" s="1447"/>
      <c r="D16" s="1447"/>
      <c r="E16" s="1451"/>
      <c r="F16" s="38" t="s">
        <v>21</v>
      </c>
      <c r="G16" s="1450"/>
      <c r="H16" s="1447"/>
      <c r="I16" s="1447"/>
      <c r="J16" s="1447"/>
      <c r="K16" s="1447"/>
      <c r="L16" s="1447"/>
      <c r="M16" s="1447"/>
      <c r="N16" s="1448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471" t="s">
        <v>194</v>
      </c>
      <c r="C31" s="1471"/>
      <c r="D31" s="1471"/>
      <c r="E31" s="1471"/>
      <c r="F31" s="1469">
        <v>147000</v>
      </c>
      <c r="G31" s="1470">
        <v>0</v>
      </c>
      <c r="H31" s="1469">
        <v>147000</v>
      </c>
      <c r="I31" s="1470">
        <v>0</v>
      </c>
      <c r="J31" s="1470">
        <v>0</v>
      </c>
      <c r="K31" s="1470">
        <v>0</v>
      </c>
      <c r="L31" s="1470">
        <v>0</v>
      </c>
      <c r="M31" s="1470">
        <v>0</v>
      </c>
      <c r="N31" s="1469">
        <v>147000</v>
      </c>
    </row>
    <row r="32" spans="1:14" x14ac:dyDescent="0.25">
      <c r="B32" s="1471"/>
      <c r="C32" s="1471"/>
      <c r="D32" s="1471"/>
      <c r="E32" s="1471"/>
      <c r="F32" s="1469"/>
      <c r="G32" s="1470"/>
      <c r="H32" s="1469"/>
      <c r="I32" s="1470"/>
      <c r="J32" s="1470"/>
      <c r="K32" s="1470"/>
      <c r="L32" s="1470"/>
      <c r="M32" s="1470"/>
      <c r="N32" s="1469"/>
    </row>
    <row r="44" spans="1:14" x14ac:dyDescent="0.25">
      <c r="A44" s="24" t="s">
        <v>257</v>
      </c>
      <c r="B44" s="24"/>
      <c r="C44" s="5" t="s">
        <v>258</v>
      </c>
      <c r="L44" s="1443" t="s">
        <v>196</v>
      </c>
      <c r="M44" s="1443"/>
      <c r="N44" s="1443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454" t="s">
        <v>198</v>
      </c>
      <c r="M47" s="1454"/>
      <c r="N47" s="1454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443" t="s">
        <v>253</v>
      </c>
      <c r="M48" s="1443"/>
      <c r="N48" s="1443"/>
    </row>
    <row r="49" spans="1:14" x14ac:dyDescent="0.25">
      <c r="A49" s="25" t="s">
        <v>263</v>
      </c>
      <c r="B49" s="25"/>
      <c r="C49" t="s">
        <v>264</v>
      </c>
      <c r="L49" s="1454" t="s">
        <v>202</v>
      </c>
      <c r="M49" s="1454"/>
      <c r="N49" s="1454"/>
    </row>
    <row r="54" spans="1:14" x14ac:dyDescent="0.25">
      <c r="A54" s="1454"/>
      <c r="B54" s="1454"/>
      <c r="C54" s="1454"/>
      <c r="D54" s="1454"/>
      <c r="E54" s="1454"/>
      <c r="F54" s="1454"/>
      <c r="G54" s="1454"/>
      <c r="H54" s="1454"/>
      <c r="I54" s="1454"/>
      <c r="J54" s="1454"/>
      <c r="K54" s="1454"/>
      <c r="L54" s="1454"/>
      <c r="M54" s="1454"/>
      <c r="N54" s="1454"/>
    </row>
    <row r="55" spans="1:14" x14ac:dyDescent="0.25">
      <c r="A55" s="1443"/>
      <c r="B55" s="1443"/>
      <c r="C55" s="1443"/>
      <c r="D55" s="1443"/>
      <c r="E55" s="1443"/>
      <c r="F55" s="1443"/>
      <c r="G55" s="1443"/>
      <c r="H55" s="1443"/>
      <c r="I55" s="1443"/>
      <c r="J55" s="1443"/>
      <c r="K55" s="1443"/>
      <c r="L55" s="1443"/>
      <c r="M55" s="1443"/>
      <c r="N55" s="1443"/>
    </row>
    <row r="56" spans="1:14" x14ac:dyDescent="0.25">
      <c r="A56" s="1454"/>
      <c r="B56" s="1454"/>
      <c r="C56" s="1454"/>
      <c r="D56" s="1454"/>
      <c r="E56" s="1454"/>
      <c r="F56" s="1454"/>
      <c r="G56" s="1454"/>
      <c r="H56" s="1454"/>
      <c r="I56" s="1454"/>
      <c r="J56" s="1454"/>
      <c r="K56" s="1454"/>
      <c r="L56" s="1454"/>
      <c r="M56" s="1454"/>
      <c r="N56" s="1454"/>
    </row>
  </sheetData>
  <sheetProtection selectLockedCells="1" selectUnlockedCells="1"/>
  <mergeCells count="36"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443" t="s">
        <v>0</v>
      </c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  <c r="O6" s="1443"/>
      <c r="P6" s="1443"/>
      <c r="Q6" s="1443"/>
    </row>
    <row r="7" spans="2:17" x14ac:dyDescent="0.25">
      <c r="C7" s="1443" t="s">
        <v>1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4" t="s">
        <v>402</v>
      </c>
      <c r="D8" s="1444"/>
      <c r="E8" s="1444"/>
      <c r="F8" s="1444"/>
      <c r="G8" s="1444"/>
      <c r="H8" s="1444"/>
      <c r="I8" s="1444"/>
      <c r="J8" s="1444"/>
      <c r="K8" s="1444"/>
      <c r="L8" s="1444"/>
      <c r="M8" s="1444"/>
      <c r="N8" s="1444"/>
      <c r="O8" s="1444"/>
      <c r="P8" s="1444"/>
      <c r="Q8" s="144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443" t="s">
        <v>3</v>
      </c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  <c r="P10" s="1443"/>
      <c r="Q10" s="1443"/>
    </row>
    <row r="11" spans="2:17" x14ac:dyDescent="0.25">
      <c r="C11" s="1443" t="s">
        <v>460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2" t="s">
        <v>404</v>
      </c>
      <c r="D12" s="1442"/>
      <c r="E12" s="1442"/>
      <c r="F12" s="1442"/>
      <c r="G12" s="1442"/>
      <c r="H12" s="1442"/>
      <c r="I12" s="1442"/>
      <c r="J12" s="1442"/>
      <c r="K12" s="1442"/>
      <c r="L12" s="1442"/>
      <c r="M12" s="1442"/>
      <c r="N12" s="1442"/>
      <c r="O12" s="1442"/>
      <c r="P12" s="1442"/>
      <c r="Q12" s="1442"/>
    </row>
    <row r="14" spans="2:17" x14ac:dyDescent="0.25">
      <c r="B14" s="1458" t="s">
        <v>6</v>
      </c>
      <c r="C14" s="1459" t="s">
        <v>7</v>
      </c>
      <c r="D14" s="1459" t="s">
        <v>8</v>
      </c>
      <c r="E14" s="1459" t="s">
        <v>9</v>
      </c>
      <c r="F14" s="1459" t="s">
        <v>10</v>
      </c>
      <c r="G14" s="1461" t="s">
        <v>11</v>
      </c>
      <c r="H14" s="1459" t="s">
        <v>11</v>
      </c>
      <c r="I14" s="51" t="s">
        <v>12</v>
      </c>
      <c r="J14" s="1460" t="s">
        <v>13</v>
      </c>
      <c r="K14" s="1459" t="s">
        <v>14</v>
      </c>
      <c r="L14" s="1459" t="s">
        <v>15</v>
      </c>
      <c r="M14" s="1459" t="s">
        <v>16</v>
      </c>
      <c r="N14" s="1459" t="s">
        <v>17</v>
      </c>
      <c r="O14" s="1459" t="s">
        <v>18</v>
      </c>
      <c r="P14" s="1459" t="s">
        <v>19</v>
      </c>
      <c r="Q14" s="1462" t="s">
        <v>20</v>
      </c>
    </row>
    <row r="15" spans="2:17" x14ac:dyDescent="0.25">
      <c r="B15" s="1458"/>
      <c r="C15" s="1459"/>
      <c r="D15" s="1459"/>
      <c r="E15" s="1459"/>
      <c r="F15" s="1459"/>
      <c r="G15" s="1461"/>
      <c r="H15" s="1459"/>
      <c r="I15" s="52" t="s">
        <v>21</v>
      </c>
      <c r="J15" s="1460"/>
      <c r="K15" s="1459"/>
      <c r="L15" s="1459"/>
      <c r="M15" s="1459"/>
      <c r="N15" s="1459"/>
      <c r="O15" s="1459"/>
      <c r="P15" s="1459"/>
      <c r="Q15" s="1462"/>
    </row>
    <row r="17" spans="2:17" x14ac:dyDescent="0.25">
      <c r="B17" s="53">
        <v>1</v>
      </c>
      <c r="C17" s="54" t="s">
        <v>22</v>
      </c>
      <c r="D17" s="7" t="s">
        <v>23</v>
      </c>
      <c r="E17" s="1449" t="s">
        <v>24</v>
      </c>
      <c r="F17" s="1449"/>
      <c r="G17" s="1449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445" t="s">
        <v>30</v>
      </c>
      <c r="F18" s="1445" t="s">
        <v>31</v>
      </c>
      <c r="G18" s="144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445" t="s">
        <v>36</v>
      </c>
      <c r="F19" s="1445" t="s">
        <v>37</v>
      </c>
      <c r="G19" s="1445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445" t="s">
        <v>40</v>
      </c>
      <c r="F22" s="1445" t="s">
        <v>41</v>
      </c>
      <c r="G22" s="1445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445" t="s">
        <v>44</v>
      </c>
      <c r="F23" s="1445" t="s">
        <v>45</v>
      </c>
      <c r="G23" s="1445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445" t="s">
        <v>49</v>
      </c>
      <c r="F24" s="1445" t="s">
        <v>50</v>
      </c>
      <c r="G24" s="1445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445" t="s">
        <v>53</v>
      </c>
      <c r="F25" s="1445" t="s">
        <v>54</v>
      </c>
      <c r="G25" s="1445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445" t="s">
        <v>427</v>
      </c>
      <c r="F26" s="1445" t="s">
        <v>57</v>
      </c>
      <c r="G26" s="1445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445" t="s">
        <v>53</v>
      </c>
      <c r="F27" s="1445" t="s">
        <v>60</v>
      </c>
      <c r="G27" s="1445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445" t="s">
        <v>63</v>
      </c>
      <c r="F28" s="1445" t="s">
        <v>64</v>
      </c>
      <c r="G28" s="1445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445" t="s">
        <v>67</v>
      </c>
      <c r="F29" s="1445" t="s">
        <v>68</v>
      </c>
      <c r="G29" s="1445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445" t="s">
        <v>71</v>
      </c>
      <c r="F30" s="1445" t="s">
        <v>72</v>
      </c>
      <c r="G30" s="1445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445" t="s">
        <v>75</v>
      </c>
      <c r="F31" s="1445" t="s">
        <v>76</v>
      </c>
      <c r="G31" s="1445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445" t="s">
        <v>78</v>
      </c>
      <c r="F32" s="1445" t="s">
        <v>79</v>
      </c>
      <c r="G32" s="1445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445" t="s">
        <v>82</v>
      </c>
      <c r="F33" s="1445" t="s">
        <v>83</v>
      </c>
      <c r="G33" s="1445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445" t="s">
        <v>85</v>
      </c>
      <c r="F34" s="1445" t="s">
        <v>86</v>
      </c>
      <c r="G34" s="1445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445" t="s">
        <v>89</v>
      </c>
      <c r="F35" s="1445" t="s">
        <v>90</v>
      </c>
      <c r="G35" s="1445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445" t="s">
        <v>92</v>
      </c>
      <c r="F36" s="1445" t="s">
        <v>93</v>
      </c>
      <c r="G36" s="1445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445" t="s">
        <v>71</v>
      </c>
      <c r="F37" s="1445" t="s">
        <v>95</v>
      </c>
      <c r="G37" s="1445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445" t="s">
        <v>97</v>
      </c>
      <c r="F38" s="1445" t="s">
        <v>98</v>
      </c>
      <c r="G38" s="1445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445" t="s">
        <v>92</v>
      </c>
      <c r="F39" s="1445" t="s">
        <v>100</v>
      </c>
      <c r="G39" s="1445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445" t="s">
        <v>102</v>
      </c>
      <c r="F40" s="1445" t="s">
        <v>103</v>
      </c>
      <c r="G40" s="1445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445" t="s">
        <v>105</v>
      </c>
      <c r="F41" s="1445" t="s">
        <v>106</v>
      </c>
      <c r="G41" s="1445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445" t="s">
        <v>105</v>
      </c>
      <c r="F42" s="1445" t="s">
        <v>108</v>
      </c>
      <c r="G42" s="1445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445" t="s">
        <v>105</v>
      </c>
      <c r="F43" s="1445" t="s">
        <v>110</v>
      </c>
      <c r="G43" s="1445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445" t="s">
        <v>78</v>
      </c>
      <c r="F44" s="1445" t="s">
        <v>115</v>
      </c>
      <c r="G44" s="1445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445" t="s">
        <v>117</v>
      </c>
      <c r="F45" s="1445" t="s">
        <v>118</v>
      </c>
      <c r="G45" s="1445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445" t="s">
        <v>120</v>
      </c>
      <c r="F46" s="1445" t="s">
        <v>121</v>
      </c>
      <c r="G46" s="1445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445" t="s">
        <v>49</v>
      </c>
      <c r="F47" s="1445" t="s">
        <v>123</v>
      </c>
      <c r="G47" s="1445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445" t="s">
        <v>125</v>
      </c>
      <c r="F48" s="1445" t="s">
        <v>126</v>
      </c>
      <c r="G48" s="1445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445" t="s">
        <v>105</v>
      </c>
      <c r="F49" s="1445" t="s">
        <v>128</v>
      </c>
      <c r="G49" s="1445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445" t="s">
        <v>102</v>
      </c>
      <c r="F50" s="1445" t="s">
        <v>130</v>
      </c>
      <c r="G50" s="1445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445" t="s">
        <v>132</v>
      </c>
      <c r="F51" s="1445" t="s">
        <v>133</v>
      </c>
      <c r="G51" s="1445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445" t="s">
        <v>117</v>
      </c>
      <c r="F52" s="1445" t="s">
        <v>135</v>
      </c>
      <c r="G52" s="1445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445" t="s">
        <v>85</v>
      </c>
      <c r="F53" s="1445" t="s">
        <v>137</v>
      </c>
      <c r="G53" s="1445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445" t="s">
        <v>139</v>
      </c>
      <c r="F54" s="1445" t="s">
        <v>140</v>
      </c>
      <c r="G54" s="1445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445" t="s">
        <v>148</v>
      </c>
      <c r="F55" s="1445" t="s">
        <v>149</v>
      </c>
      <c r="G55" s="1445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445" t="s">
        <v>151</v>
      </c>
      <c r="F56" s="1445" t="s">
        <v>152</v>
      </c>
      <c r="G56" s="1445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445" t="s">
        <v>157</v>
      </c>
      <c r="F57" s="1445" t="s">
        <v>158</v>
      </c>
      <c r="G57" s="1445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445" t="s">
        <v>160</v>
      </c>
      <c r="F59" s="1445" t="s">
        <v>161</v>
      </c>
      <c r="G59" s="1445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445" t="s">
        <v>163</v>
      </c>
      <c r="F60" s="1445" t="s">
        <v>164</v>
      </c>
      <c r="G60" s="1445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445" t="s">
        <v>92</v>
      </c>
      <c r="F63" s="1445" t="s">
        <v>168</v>
      </c>
      <c r="G63" s="1445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445" t="s">
        <v>276</v>
      </c>
      <c r="F64" s="1445" t="s">
        <v>170</v>
      </c>
      <c r="G64" s="1445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445" t="s">
        <v>40</v>
      </c>
      <c r="F68" s="1445" t="s">
        <v>172</v>
      </c>
      <c r="G68" s="1445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445" t="s">
        <v>92</v>
      </c>
      <c r="F73" s="1445"/>
      <c r="G73" s="1445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445" t="s">
        <v>276</v>
      </c>
      <c r="F78" s="1445"/>
      <c r="G78" s="1445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445" t="s">
        <v>30</v>
      </c>
      <c r="F79" s="1445" t="s">
        <v>31</v>
      </c>
      <c r="G79" s="1445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445" t="s">
        <v>30</v>
      </c>
      <c r="F80" s="1445" t="s">
        <v>31</v>
      </c>
      <c r="G80" s="1445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445" t="s">
        <v>30</v>
      </c>
      <c r="F81" s="1445" t="s">
        <v>31</v>
      </c>
      <c r="G81" s="1445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445" t="s">
        <v>92</v>
      </c>
      <c r="F88" s="1445" t="s">
        <v>176</v>
      </c>
      <c r="G88" s="1445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445" t="s">
        <v>178</v>
      </c>
      <c r="F89" s="1445" t="s">
        <v>179</v>
      </c>
      <c r="G89" s="1445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463" t="s">
        <v>92</v>
      </c>
      <c r="F90" s="1463" t="s">
        <v>193</v>
      </c>
      <c r="G90" s="1463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464" t="s">
        <v>288</v>
      </c>
      <c r="D131" s="1464"/>
      <c r="E131" s="1464"/>
      <c r="F131" s="1464"/>
      <c r="G131" s="1464"/>
      <c r="H131" s="1464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443" t="s">
        <v>196</v>
      </c>
      <c r="O134" s="1443"/>
      <c r="P134" s="1443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454" t="s">
        <v>198</v>
      </c>
      <c r="O137" s="1454"/>
      <c r="P137" s="1454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443" t="s">
        <v>253</v>
      </c>
      <c r="O138" s="1443"/>
      <c r="P138" s="1443"/>
    </row>
    <row r="139" spans="2:17" x14ac:dyDescent="0.25">
      <c r="C139" s="25" t="s">
        <v>201</v>
      </c>
      <c r="D139" s="25"/>
      <c r="E139" t="s">
        <v>254</v>
      </c>
      <c r="N139" s="1454" t="s">
        <v>202</v>
      </c>
      <c r="O139" s="1454"/>
      <c r="P139" s="1454"/>
    </row>
    <row r="142" spans="2:17" x14ac:dyDescent="0.25">
      <c r="C142" s="1443"/>
      <c r="D142" s="1443"/>
      <c r="E142" s="1443"/>
      <c r="F142" s="1443"/>
      <c r="G142" s="1443"/>
      <c r="H142" s="1443"/>
      <c r="I142" s="1443"/>
      <c r="J142" s="1443"/>
      <c r="K142" s="1443"/>
      <c r="L142" s="1443"/>
      <c r="M142" s="1443"/>
      <c r="N142" s="1443"/>
      <c r="O142" s="1443"/>
      <c r="P142" s="1443"/>
    </row>
    <row r="145" spans="3:16" x14ac:dyDescent="0.25">
      <c r="C145" s="1454"/>
      <c r="D145" s="1454"/>
      <c r="E145" s="1454"/>
      <c r="F145" s="1454"/>
      <c r="G145" s="1454"/>
      <c r="H145" s="1454"/>
      <c r="I145" s="1454"/>
      <c r="J145" s="1454"/>
      <c r="K145" s="1454"/>
      <c r="L145" s="1454"/>
      <c r="M145" s="1454"/>
      <c r="N145" s="1454"/>
      <c r="O145" s="1454"/>
      <c r="P145" s="1454"/>
    </row>
    <row r="146" spans="3:16" x14ac:dyDescent="0.25">
      <c r="C146" s="1443"/>
      <c r="D146" s="1443"/>
      <c r="E146" s="1443"/>
      <c r="F146" s="1443"/>
      <c r="G146" s="1443"/>
      <c r="H146" s="1443"/>
      <c r="I146" s="1443"/>
      <c r="J146" s="1443"/>
      <c r="K146" s="1443"/>
      <c r="L146" s="1443"/>
      <c r="M146" s="1443"/>
      <c r="N146" s="1443"/>
      <c r="O146" s="1443"/>
      <c r="P146" s="1443"/>
    </row>
    <row r="147" spans="3:16" x14ac:dyDescent="0.25">
      <c r="C147" s="1454"/>
      <c r="D147" s="1454"/>
      <c r="E147" s="1454"/>
      <c r="F147" s="1454"/>
      <c r="G147" s="1454"/>
      <c r="H147" s="1454"/>
      <c r="I147" s="1454"/>
      <c r="J147" s="1454"/>
      <c r="K147" s="1454"/>
      <c r="L147" s="1454"/>
      <c r="M147" s="1454"/>
      <c r="N147" s="1454"/>
      <c r="O147" s="1454"/>
      <c r="P147" s="1454"/>
    </row>
  </sheetData>
  <sheetProtection selectLockedCells="1" selectUnlockedCells="1"/>
  <mergeCells count="82"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443" t="s">
        <v>0</v>
      </c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  <c r="O6" s="1443"/>
      <c r="P6" s="1443"/>
      <c r="Q6" s="1443"/>
    </row>
    <row r="7" spans="2:17" x14ac:dyDescent="0.25">
      <c r="C7" s="1443" t="s">
        <v>1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4" t="s">
        <v>402</v>
      </c>
      <c r="D8" s="1444"/>
      <c r="E8" s="1444"/>
      <c r="F8" s="1444"/>
      <c r="G8" s="1444"/>
      <c r="H8" s="1444"/>
      <c r="I8" s="1444"/>
      <c r="J8" s="1444"/>
      <c r="K8" s="1444"/>
      <c r="L8" s="1444"/>
      <c r="M8" s="1444"/>
      <c r="N8" s="1444"/>
      <c r="O8" s="1444"/>
      <c r="P8" s="1444"/>
      <c r="Q8" s="144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443" t="s">
        <v>3</v>
      </c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  <c r="P10" s="1443"/>
      <c r="Q10" s="1443"/>
    </row>
    <row r="11" spans="2:17" x14ac:dyDescent="0.25">
      <c r="C11" s="1443" t="s">
        <v>463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2" t="s">
        <v>404</v>
      </c>
      <c r="D12" s="1442"/>
      <c r="E12" s="1442"/>
      <c r="F12" s="1442"/>
      <c r="G12" s="1442"/>
      <c r="H12" s="1442"/>
      <c r="I12" s="1442"/>
      <c r="J12" s="1442"/>
      <c r="K12" s="1442"/>
      <c r="L12" s="1442"/>
      <c r="M12" s="1442"/>
      <c r="N12" s="1442"/>
      <c r="O12" s="1442"/>
      <c r="P12" s="1442"/>
      <c r="Q12" s="1442"/>
    </row>
    <row r="14" spans="2:17" x14ac:dyDescent="0.25">
      <c r="B14" s="1458" t="s">
        <v>6</v>
      </c>
      <c r="C14" s="1459" t="s">
        <v>7</v>
      </c>
      <c r="D14" s="1459" t="s">
        <v>8</v>
      </c>
      <c r="E14" s="1459" t="s">
        <v>9</v>
      </c>
      <c r="F14" s="1459" t="s">
        <v>10</v>
      </c>
      <c r="G14" s="1461" t="s">
        <v>11</v>
      </c>
      <c r="H14" s="1459" t="s">
        <v>11</v>
      </c>
      <c r="I14" s="51" t="s">
        <v>12</v>
      </c>
      <c r="J14" s="1460" t="s">
        <v>13</v>
      </c>
      <c r="K14" s="1459" t="s">
        <v>14</v>
      </c>
      <c r="L14" s="1459" t="s">
        <v>15</v>
      </c>
      <c r="M14" s="1459" t="s">
        <v>16</v>
      </c>
      <c r="N14" s="1459" t="s">
        <v>17</v>
      </c>
      <c r="O14" s="1459" t="s">
        <v>18</v>
      </c>
      <c r="P14" s="1459" t="s">
        <v>19</v>
      </c>
      <c r="Q14" s="1462" t="s">
        <v>20</v>
      </c>
    </row>
    <row r="15" spans="2:17" x14ac:dyDescent="0.25">
      <c r="B15" s="1458"/>
      <c r="C15" s="1459"/>
      <c r="D15" s="1459"/>
      <c r="E15" s="1459"/>
      <c r="F15" s="1459"/>
      <c r="G15" s="1461"/>
      <c r="H15" s="1459"/>
      <c r="I15" s="52" t="s">
        <v>21</v>
      </c>
      <c r="J15" s="1460"/>
      <c r="K15" s="1459"/>
      <c r="L15" s="1459"/>
      <c r="M15" s="1459"/>
      <c r="N15" s="1459"/>
      <c r="O15" s="1459"/>
      <c r="P15" s="1459"/>
      <c r="Q15" s="1462"/>
    </row>
    <row r="17" spans="2:17" x14ac:dyDescent="0.25">
      <c r="B17" s="53">
        <v>1</v>
      </c>
      <c r="C17" s="54" t="s">
        <v>22</v>
      </c>
      <c r="D17" s="7" t="s">
        <v>23</v>
      </c>
      <c r="E17" s="1449" t="s">
        <v>24</v>
      </c>
      <c r="F17" s="1449"/>
      <c r="G17" s="1449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445" t="s">
        <v>30</v>
      </c>
      <c r="F18" s="1445" t="s">
        <v>31</v>
      </c>
      <c r="G18" s="144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445" t="s">
        <v>36</v>
      </c>
      <c r="F19" s="1445" t="s">
        <v>37</v>
      </c>
      <c r="G19" s="1445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445" t="s">
        <v>40</v>
      </c>
      <c r="F22" s="1445" t="s">
        <v>41</v>
      </c>
      <c r="G22" s="1445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445" t="s">
        <v>44</v>
      </c>
      <c r="F23" s="1445" t="s">
        <v>45</v>
      </c>
      <c r="G23" s="1445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445" t="s">
        <v>49</v>
      </c>
      <c r="F24" s="1445" t="s">
        <v>50</v>
      </c>
      <c r="G24" s="1445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445" t="s">
        <v>53</v>
      </c>
      <c r="F25" s="1445" t="s">
        <v>54</v>
      </c>
      <c r="G25" s="1445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445" t="s">
        <v>427</v>
      </c>
      <c r="F26" s="1445" t="s">
        <v>57</v>
      </c>
      <c r="G26" s="1445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445" t="s">
        <v>53</v>
      </c>
      <c r="F27" s="1445" t="s">
        <v>60</v>
      </c>
      <c r="G27" s="1445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445" t="s">
        <v>63</v>
      </c>
      <c r="F28" s="1445" t="s">
        <v>64</v>
      </c>
      <c r="G28" s="1445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445" t="s">
        <v>67</v>
      </c>
      <c r="F29" s="1445" t="s">
        <v>68</v>
      </c>
      <c r="G29" s="1445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445" t="s">
        <v>71</v>
      </c>
      <c r="F30" s="1445" t="s">
        <v>72</v>
      </c>
      <c r="G30" s="1445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445" t="s">
        <v>75</v>
      </c>
      <c r="F31" s="1445" t="s">
        <v>76</v>
      </c>
      <c r="G31" s="1445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445" t="s">
        <v>78</v>
      </c>
      <c r="F32" s="1445" t="s">
        <v>79</v>
      </c>
      <c r="G32" s="1445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445" t="s">
        <v>82</v>
      </c>
      <c r="F33" s="1445" t="s">
        <v>83</v>
      </c>
      <c r="G33" s="1445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445" t="s">
        <v>85</v>
      </c>
      <c r="F34" s="1445" t="s">
        <v>86</v>
      </c>
      <c r="G34" s="1445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445" t="s">
        <v>89</v>
      </c>
      <c r="F35" s="1445" t="s">
        <v>90</v>
      </c>
      <c r="G35" s="1445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445" t="s">
        <v>92</v>
      </c>
      <c r="F36" s="1445" t="s">
        <v>93</v>
      </c>
      <c r="G36" s="1445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445" t="s">
        <v>71</v>
      </c>
      <c r="F37" s="1445" t="s">
        <v>95</v>
      </c>
      <c r="G37" s="1445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445" t="s">
        <v>97</v>
      </c>
      <c r="F38" s="1445" t="s">
        <v>98</v>
      </c>
      <c r="G38" s="1445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445" t="s">
        <v>92</v>
      </c>
      <c r="F39" s="1445" t="s">
        <v>100</v>
      </c>
      <c r="G39" s="1445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445" t="s">
        <v>102</v>
      </c>
      <c r="F40" s="1445" t="s">
        <v>103</v>
      </c>
      <c r="G40" s="1445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445" t="s">
        <v>105</v>
      </c>
      <c r="F41" s="1445" t="s">
        <v>106</v>
      </c>
      <c r="G41" s="1445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445" t="s">
        <v>105</v>
      </c>
      <c r="F42" s="1445" t="s">
        <v>108</v>
      </c>
      <c r="G42" s="1445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445" t="s">
        <v>78</v>
      </c>
      <c r="F43" s="1445" t="s">
        <v>115</v>
      </c>
      <c r="G43" s="1445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445" t="s">
        <v>117</v>
      </c>
      <c r="F44" s="1445" t="s">
        <v>118</v>
      </c>
      <c r="G44" s="1445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445" t="s">
        <v>120</v>
      </c>
      <c r="F45" s="1445" t="s">
        <v>121</v>
      </c>
      <c r="G45" s="1445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445" t="s">
        <v>49</v>
      </c>
      <c r="F46" s="1445" t="s">
        <v>123</v>
      </c>
      <c r="G46" s="1445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445" t="s">
        <v>125</v>
      </c>
      <c r="F47" s="1445" t="s">
        <v>126</v>
      </c>
      <c r="G47" s="1445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445" t="s">
        <v>105</v>
      </c>
      <c r="F48" s="1445" t="s">
        <v>128</v>
      </c>
      <c r="G48" s="1445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445" t="s">
        <v>102</v>
      </c>
      <c r="F49" s="1445" t="s">
        <v>130</v>
      </c>
      <c r="G49" s="1445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445" t="s">
        <v>132</v>
      </c>
      <c r="F50" s="1445" t="s">
        <v>133</v>
      </c>
      <c r="G50" s="1445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445" t="s">
        <v>117</v>
      </c>
      <c r="F51" s="1445" t="s">
        <v>135</v>
      </c>
      <c r="G51" s="1445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445" t="s">
        <v>85</v>
      </c>
      <c r="F52" s="1445" t="s">
        <v>137</v>
      </c>
      <c r="G52" s="1445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445" t="s">
        <v>139</v>
      </c>
      <c r="F53" s="1445" t="s">
        <v>140</v>
      </c>
      <c r="G53" s="1445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445" t="s">
        <v>148</v>
      </c>
      <c r="F54" s="1445" t="s">
        <v>149</v>
      </c>
      <c r="G54" s="1445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445" t="s">
        <v>151</v>
      </c>
      <c r="F55" s="1445" t="s">
        <v>152</v>
      </c>
      <c r="G55" s="1445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445" t="s">
        <v>157</v>
      </c>
      <c r="F56" s="1445" t="s">
        <v>158</v>
      </c>
      <c r="G56" s="1445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445" t="s">
        <v>160</v>
      </c>
      <c r="F58" s="1445" t="s">
        <v>161</v>
      </c>
      <c r="G58" s="1445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445" t="s">
        <v>163</v>
      </c>
      <c r="F59" s="1445" t="s">
        <v>164</v>
      </c>
      <c r="G59" s="1445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445" t="s">
        <v>92</v>
      </c>
      <c r="F62" s="1445" t="s">
        <v>168</v>
      </c>
      <c r="G62" s="1445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445" t="s">
        <v>276</v>
      </c>
      <c r="F63" s="1445" t="s">
        <v>170</v>
      </c>
      <c r="G63" s="1445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445" t="s">
        <v>40</v>
      </c>
      <c r="F67" s="1445" t="s">
        <v>172</v>
      </c>
      <c r="G67" s="1445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445" t="s">
        <v>92</v>
      </c>
      <c r="F72" s="1445"/>
      <c r="G72" s="1445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445" t="s">
        <v>276</v>
      </c>
      <c r="F77" s="1445"/>
      <c r="G77" s="1445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445" t="s">
        <v>30</v>
      </c>
      <c r="F78" s="1445" t="s">
        <v>31</v>
      </c>
      <c r="G78" s="1445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445" t="s">
        <v>30</v>
      </c>
      <c r="F79" s="1445" t="s">
        <v>31</v>
      </c>
      <c r="G79" s="1445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445" t="s">
        <v>30</v>
      </c>
      <c r="F80" s="1445" t="s">
        <v>31</v>
      </c>
      <c r="G80" s="1445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445" t="s">
        <v>92</v>
      </c>
      <c r="F87" s="1445" t="s">
        <v>176</v>
      </c>
      <c r="G87" s="1445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445" t="s">
        <v>178</v>
      </c>
      <c r="F88" s="1445" t="s">
        <v>179</v>
      </c>
      <c r="G88" s="1445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463" t="s">
        <v>92</v>
      </c>
      <c r="F89" s="1463" t="s">
        <v>193</v>
      </c>
      <c r="G89" s="1463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464" t="s">
        <v>288</v>
      </c>
      <c r="D132" s="1464"/>
      <c r="E132" s="1464"/>
      <c r="F132" s="1464"/>
      <c r="G132" s="1464"/>
      <c r="H132" s="1464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443" t="s">
        <v>196</v>
      </c>
      <c r="O135" s="1443"/>
      <c r="P135" s="1443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454" t="s">
        <v>198</v>
      </c>
      <c r="O138" s="1454"/>
      <c r="P138" s="1454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443" t="s">
        <v>253</v>
      </c>
      <c r="O139" s="1443"/>
      <c r="P139" s="1443"/>
    </row>
    <row r="140" spans="2:17" x14ac:dyDescent="0.25">
      <c r="C140" s="25" t="s">
        <v>201</v>
      </c>
      <c r="D140" s="25"/>
      <c r="E140" t="s">
        <v>254</v>
      </c>
      <c r="N140" s="1454" t="s">
        <v>202</v>
      </c>
      <c r="O140" s="1454"/>
      <c r="P140" s="1454"/>
    </row>
    <row r="143" spans="2:17" x14ac:dyDescent="0.25">
      <c r="C143" s="1443"/>
      <c r="D143" s="1443"/>
      <c r="E143" s="1443"/>
      <c r="F143" s="1443"/>
      <c r="G143" s="1443"/>
      <c r="H143" s="1443"/>
      <c r="I143" s="1443"/>
      <c r="J143" s="1443"/>
      <c r="K143" s="1443"/>
      <c r="L143" s="1443"/>
      <c r="M143" s="1443"/>
      <c r="N143" s="1443"/>
      <c r="O143" s="1443"/>
      <c r="P143" s="1443"/>
    </row>
    <row r="146" spans="3:16" x14ac:dyDescent="0.25">
      <c r="C146" s="1454"/>
      <c r="D146" s="1454"/>
      <c r="E146" s="1454"/>
      <c r="F146" s="1454"/>
      <c r="G146" s="1454"/>
      <c r="H146" s="1454"/>
      <c r="I146" s="1454"/>
      <c r="J146" s="1454"/>
      <c r="K146" s="1454"/>
      <c r="L146" s="1454"/>
      <c r="M146" s="1454"/>
      <c r="N146" s="1454"/>
      <c r="O146" s="1454"/>
      <c r="P146" s="1454"/>
    </row>
    <row r="147" spans="3:16" x14ac:dyDescent="0.25">
      <c r="C147" s="1443"/>
      <c r="D147" s="1443"/>
      <c r="E147" s="1443"/>
      <c r="F147" s="1443"/>
      <c r="G147" s="1443"/>
      <c r="H147" s="1443"/>
      <c r="I147" s="1443"/>
      <c r="J147" s="1443"/>
      <c r="K147" s="1443"/>
      <c r="L147" s="1443"/>
      <c r="M147" s="1443"/>
      <c r="N147" s="1443"/>
      <c r="O147" s="1443"/>
      <c r="P147" s="1443"/>
    </row>
    <row r="148" spans="3:16" x14ac:dyDescent="0.25">
      <c r="C148" s="1454"/>
      <c r="D148" s="1454"/>
      <c r="E148" s="1454"/>
      <c r="F148" s="1454"/>
      <c r="G148" s="1454"/>
      <c r="H148" s="1454"/>
      <c r="I148" s="1454"/>
      <c r="J148" s="1454"/>
      <c r="K148" s="1454"/>
      <c r="L148" s="1454"/>
      <c r="M148" s="1454"/>
      <c r="N148" s="1454"/>
      <c r="O148" s="1454"/>
      <c r="P148" s="1454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43" t="s">
        <v>0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</row>
    <row r="8" spans="1:14" x14ac:dyDescent="0.25">
      <c r="B8" s="1443" t="s">
        <v>1</v>
      </c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</row>
    <row r="9" spans="1:14" x14ac:dyDescent="0.25">
      <c r="B9" s="1444" t="s">
        <v>402</v>
      </c>
      <c r="C9" s="1444"/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443" t="s">
        <v>3</v>
      </c>
      <c r="C11" s="1443"/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</row>
    <row r="12" spans="1:14" x14ac:dyDescent="0.25">
      <c r="B12" s="1443" t="s">
        <v>465</v>
      </c>
      <c r="C12" s="1443"/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</row>
    <row r="13" spans="1:14" x14ac:dyDescent="0.25">
      <c r="B13" s="1442" t="s">
        <v>5</v>
      </c>
      <c r="C13" s="1442"/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46" t="s">
        <v>6</v>
      </c>
      <c r="B15" s="1447" t="s">
        <v>7</v>
      </c>
      <c r="C15" s="1447" t="s">
        <v>8</v>
      </c>
      <c r="D15" s="1447" t="s">
        <v>10</v>
      </c>
      <c r="E15" s="1451" t="s">
        <v>11</v>
      </c>
      <c r="F15" s="37" t="s">
        <v>12</v>
      </c>
      <c r="G15" s="1450" t="s">
        <v>13</v>
      </c>
      <c r="H15" s="1447" t="s">
        <v>14</v>
      </c>
      <c r="I15" s="1447" t="s">
        <v>15</v>
      </c>
      <c r="J15" s="1447" t="s">
        <v>16</v>
      </c>
      <c r="K15" s="1447" t="s">
        <v>17</v>
      </c>
      <c r="L15" s="1447" t="s">
        <v>18</v>
      </c>
      <c r="M15" s="1447" t="s">
        <v>19</v>
      </c>
      <c r="N15" s="1448" t="s">
        <v>20</v>
      </c>
    </row>
    <row r="16" spans="1:14" x14ac:dyDescent="0.25">
      <c r="A16" s="1446"/>
      <c r="B16" s="1447"/>
      <c r="C16" s="1447"/>
      <c r="D16" s="1447"/>
      <c r="E16" s="1451"/>
      <c r="F16" s="38" t="s">
        <v>21</v>
      </c>
      <c r="G16" s="1450"/>
      <c r="H16" s="1447"/>
      <c r="I16" s="1447"/>
      <c r="J16" s="1447"/>
      <c r="K16" s="1447"/>
      <c r="L16" s="1447"/>
      <c r="M16" s="1447"/>
      <c r="N16" s="1448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471" t="s">
        <v>194</v>
      </c>
      <c r="C31" s="1471"/>
      <c r="D31" s="1471"/>
      <c r="E31" s="1471"/>
      <c r="F31" s="1469">
        <v>147000</v>
      </c>
      <c r="G31" s="1470">
        <v>0</v>
      </c>
      <c r="H31" s="1469">
        <v>147000</v>
      </c>
      <c r="I31" s="1470">
        <v>0</v>
      </c>
      <c r="J31" s="1470">
        <v>0</v>
      </c>
      <c r="K31" s="1470">
        <v>0</v>
      </c>
      <c r="L31" s="1470">
        <v>0</v>
      </c>
      <c r="M31" s="1470">
        <v>0</v>
      </c>
      <c r="N31" s="1469">
        <v>147000</v>
      </c>
    </row>
    <row r="32" spans="1:14" x14ac:dyDescent="0.25">
      <c r="B32" s="1471"/>
      <c r="C32" s="1471"/>
      <c r="D32" s="1471"/>
      <c r="E32" s="1471"/>
      <c r="F32" s="1469"/>
      <c r="G32" s="1470"/>
      <c r="H32" s="1469"/>
      <c r="I32" s="1470"/>
      <c r="J32" s="1470"/>
      <c r="K32" s="1470"/>
      <c r="L32" s="1470"/>
      <c r="M32" s="1470"/>
      <c r="N32" s="1469"/>
    </row>
    <row r="42" spans="1:14" x14ac:dyDescent="0.25">
      <c r="A42" s="24" t="s">
        <v>257</v>
      </c>
      <c r="B42" s="24"/>
      <c r="C42" s="5" t="s">
        <v>258</v>
      </c>
      <c r="L42" s="1443" t="s">
        <v>196</v>
      </c>
      <c r="M42" s="1443"/>
      <c r="N42" s="1443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454" t="s">
        <v>198</v>
      </c>
      <c r="M45" s="1454"/>
      <c r="N45" s="1454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443" t="s">
        <v>253</v>
      </c>
      <c r="M46" s="1443"/>
      <c r="N46" s="1443"/>
    </row>
    <row r="47" spans="1:14" x14ac:dyDescent="0.25">
      <c r="A47" s="25" t="s">
        <v>263</v>
      </c>
      <c r="B47" s="25"/>
      <c r="C47" t="s">
        <v>264</v>
      </c>
      <c r="L47" s="1454" t="s">
        <v>202</v>
      </c>
      <c r="M47" s="1454"/>
      <c r="N47" s="1454"/>
    </row>
    <row r="52" spans="1:14" x14ac:dyDescent="0.25">
      <c r="A52" s="1454"/>
      <c r="B52" s="1454"/>
      <c r="C52" s="1454"/>
      <c r="D52" s="1454"/>
      <c r="E52" s="1454"/>
      <c r="F52" s="1454"/>
      <c r="G52" s="1454"/>
      <c r="H52" s="1454"/>
      <c r="I52" s="1454"/>
      <c r="J52" s="1454"/>
      <c r="K52" s="1454"/>
      <c r="L52" s="1454"/>
      <c r="M52" s="1454"/>
      <c r="N52" s="1454"/>
    </row>
    <row r="53" spans="1:14" x14ac:dyDescent="0.25">
      <c r="A53" s="1443"/>
      <c r="B53" s="1443"/>
      <c r="C53" s="1443"/>
      <c r="D53" s="1443"/>
      <c r="E53" s="1443"/>
      <c r="F53" s="1443"/>
      <c r="G53" s="1443"/>
      <c r="H53" s="1443"/>
      <c r="I53" s="1443"/>
      <c r="J53" s="1443"/>
      <c r="K53" s="1443"/>
      <c r="L53" s="1443"/>
      <c r="M53" s="1443"/>
      <c r="N53" s="1443"/>
    </row>
    <row r="54" spans="1:14" x14ac:dyDescent="0.25">
      <c r="A54" s="1454"/>
      <c r="B54" s="1454"/>
      <c r="C54" s="1454"/>
      <c r="D54" s="1454"/>
      <c r="E54" s="1454"/>
      <c r="F54" s="1454"/>
      <c r="G54" s="1454"/>
      <c r="H54" s="1454"/>
      <c r="I54" s="1454"/>
      <c r="J54" s="1454"/>
      <c r="K54" s="1454"/>
      <c r="L54" s="1454"/>
      <c r="M54" s="1454"/>
      <c r="N54" s="1454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466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406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467" t="s">
        <v>194</v>
      </c>
      <c r="D39" s="1467"/>
      <c r="E39" s="1467"/>
      <c r="F39" s="1467"/>
      <c r="G39" s="1467"/>
      <c r="H39" s="1467"/>
      <c r="I39" s="1466">
        <f>SUM(I18:I38)</f>
        <v>891500</v>
      </c>
      <c r="J39" s="1468">
        <f>SUM(J18:J38)</f>
        <v>0</v>
      </c>
      <c r="K39" s="1466">
        <v>891500</v>
      </c>
      <c r="L39" s="1466">
        <f>SUM(L18:L38)</f>
        <v>25586.05</v>
      </c>
      <c r="M39" s="1466">
        <v>35295.4</v>
      </c>
      <c r="N39" s="1466">
        <f>SUM(N18:N38)</f>
        <v>27101.599999999999</v>
      </c>
      <c r="O39" s="1466">
        <f>SUM(O18:O38)</f>
        <v>1815.12</v>
      </c>
      <c r="P39" s="1466">
        <v>89798.17</v>
      </c>
      <c r="Q39" s="1465">
        <f>SUM(Q18:Q38)</f>
        <v>801701.82999999984</v>
      </c>
    </row>
    <row r="40" spans="2:17" x14ac:dyDescent="0.25">
      <c r="C40" s="1467"/>
      <c r="D40" s="1467"/>
      <c r="E40" s="1467"/>
      <c r="F40" s="1467"/>
      <c r="G40" s="1467"/>
      <c r="H40" s="1467"/>
      <c r="I40" s="1466"/>
      <c r="J40" s="1468"/>
      <c r="K40" s="1466"/>
      <c r="L40" s="1466"/>
      <c r="M40" s="1466"/>
      <c r="N40" s="1466"/>
      <c r="O40" s="1466"/>
      <c r="P40" s="1466"/>
      <c r="Q40" s="1465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443" t="s">
        <v>196</v>
      </c>
      <c r="O43" s="1443"/>
      <c r="P43" s="1443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454" t="s">
        <v>198</v>
      </c>
      <c r="O46" s="1454"/>
      <c r="P46" s="1454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443" t="s">
        <v>253</v>
      </c>
      <c r="O47" s="1443"/>
      <c r="P47" s="1443"/>
    </row>
    <row r="48" spans="2:17" x14ac:dyDescent="0.25">
      <c r="C48" s="25" t="s">
        <v>201</v>
      </c>
      <c r="D48" s="25"/>
      <c r="E48" t="s">
        <v>254</v>
      </c>
      <c r="N48" s="1454" t="s">
        <v>202</v>
      </c>
      <c r="O48" s="1454"/>
      <c r="P48" s="1454"/>
    </row>
    <row r="51" spans="3:16" x14ac:dyDescent="0.25">
      <c r="C51" s="1443"/>
      <c r="D51" s="1443"/>
      <c r="E51" s="1443"/>
      <c r="F51" s="1443"/>
      <c r="G51" s="1443"/>
      <c r="H51" s="1443"/>
      <c r="I51" s="1443"/>
      <c r="J51" s="1443"/>
      <c r="K51" s="1443"/>
      <c r="L51" s="1443"/>
      <c r="M51" s="1443"/>
      <c r="N51" s="1443"/>
      <c r="O51" s="1443"/>
      <c r="P51" s="1443"/>
    </row>
    <row r="54" spans="3:16" x14ac:dyDescent="0.25">
      <c r="C54" s="1454"/>
      <c r="D54" s="1454"/>
      <c r="E54" s="1454"/>
      <c r="F54" s="1454"/>
      <c r="G54" s="1454"/>
      <c r="H54" s="1454"/>
      <c r="I54" s="1454"/>
      <c r="J54" s="1454"/>
      <c r="K54" s="1454"/>
      <c r="L54" s="1454"/>
      <c r="M54" s="1454"/>
      <c r="N54" s="1454"/>
      <c r="O54" s="1454"/>
      <c r="P54" s="1454"/>
    </row>
    <row r="55" spans="3:16" x14ac:dyDescent="0.25">
      <c r="C55" s="1443"/>
      <c r="D55" s="1443"/>
      <c r="E55" s="1443"/>
      <c r="F55" s="1443"/>
      <c r="G55" s="1443"/>
      <c r="H55" s="1443"/>
      <c r="I55" s="1443"/>
      <c r="J55" s="1443"/>
      <c r="K55" s="1443"/>
      <c r="L55" s="1443"/>
      <c r="M55" s="1443"/>
      <c r="N55" s="1443"/>
      <c r="O55" s="1443"/>
      <c r="P55" s="1443"/>
    </row>
    <row r="56" spans="3:16" x14ac:dyDescent="0.25">
      <c r="C56" s="1454"/>
      <c r="D56" s="1454"/>
      <c r="E56" s="1454"/>
      <c r="F56" s="1454"/>
      <c r="G56" s="1454"/>
      <c r="H56" s="1454"/>
      <c r="I56" s="1454"/>
      <c r="J56" s="1454"/>
      <c r="K56" s="1454"/>
      <c r="L56" s="1454"/>
      <c r="M56" s="1454"/>
      <c r="N56" s="1454"/>
      <c r="O56" s="1454"/>
      <c r="P56" s="1454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467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412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467" t="s">
        <v>194</v>
      </c>
      <c r="D23" s="1467"/>
      <c r="E23" s="1467"/>
      <c r="F23" s="1467"/>
      <c r="G23" s="1467"/>
      <c r="H23" s="1467"/>
      <c r="I23" s="1466">
        <f t="shared" ref="I23:Q23" si="0">SUM(I18:I22)</f>
        <v>203500</v>
      </c>
      <c r="J23" s="1468">
        <f t="shared" si="0"/>
        <v>0</v>
      </c>
      <c r="K23" s="1466">
        <f t="shared" si="0"/>
        <v>203500</v>
      </c>
      <c r="L23" s="1466">
        <f t="shared" si="0"/>
        <v>5840.45</v>
      </c>
      <c r="M23" s="1466">
        <f t="shared" si="0"/>
        <v>5783.34</v>
      </c>
      <c r="N23" s="1466">
        <f t="shared" si="0"/>
        <v>6186.4</v>
      </c>
      <c r="O23" s="1466">
        <f t="shared" si="0"/>
        <v>125</v>
      </c>
      <c r="P23" s="1466">
        <f t="shared" si="0"/>
        <v>17935.190000000002</v>
      </c>
      <c r="Q23" s="1465">
        <f t="shared" si="0"/>
        <v>185564.81</v>
      </c>
    </row>
    <row r="24" spans="2:17" x14ac:dyDescent="0.25">
      <c r="C24" s="1467"/>
      <c r="D24" s="1467"/>
      <c r="E24" s="1467"/>
      <c r="F24" s="1467"/>
      <c r="G24" s="1467"/>
      <c r="H24" s="1467"/>
      <c r="I24" s="1466"/>
      <c r="J24" s="1468"/>
      <c r="K24" s="1466"/>
      <c r="L24" s="1466"/>
      <c r="M24" s="1466"/>
      <c r="N24" s="1466"/>
      <c r="O24" s="1466"/>
      <c r="P24" s="1466"/>
      <c r="Q24" s="1465"/>
    </row>
    <row r="37" spans="3:16" x14ac:dyDescent="0.25">
      <c r="C37" s="24" t="s">
        <v>195</v>
      </c>
      <c r="D37" s="24"/>
      <c r="E37" s="5" t="s">
        <v>250</v>
      </c>
      <c r="N37" s="1443" t="s">
        <v>196</v>
      </c>
      <c r="O37" s="1443"/>
      <c r="P37" s="1443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454" t="s">
        <v>198</v>
      </c>
      <c r="O40" s="1454"/>
      <c r="P40" s="1454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443" t="s">
        <v>253</v>
      </c>
      <c r="O41" s="1443"/>
      <c r="P41" s="1443"/>
    </row>
    <row r="42" spans="3:16" x14ac:dyDescent="0.25">
      <c r="C42" s="25" t="s">
        <v>201</v>
      </c>
      <c r="D42" s="25"/>
      <c r="E42" t="s">
        <v>254</v>
      </c>
      <c r="N42" s="1454" t="s">
        <v>202</v>
      </c>
      <c r="O42" s="1454"/>
      <c r="P42" s="1454"/>
    </row>
    <row r="45" spans="3:16" x14ac:dyDescent="0.25">
      <c r="C45" s="1443"/>
      <c r="D45" s="1443"/>
      <c r="E45" s="1443"/>
      <c r="F45" s="1443"/>
      <c r="G45" s="1443"/>
      <c r="H45" s="1443"/>
      <c r="I45" s="1443"/>
      <c r="J45" s="1443"/>
      <c r="K45" s="1443"/>
      <c r="L45" s="1443"/>
      <c r="M45" s="1443"/>
      <c r="N45" s="1443"/>
      <c r="O45" s="1443"/>
      <c r="P45" s="1443"/>
    </row>
    <row r="48" spans="3:16" x14ac:dyDescent="0.25">
      <c r="C48" s="1454"/>
      <c r="D48" s="1454"/>
      <c r="E48" s="1454"/>
      <c r="F48" s="1454"/>
      <c r="G48" s="1454"/>
      <c r="H48" s="1454"/>
      <c r="I48" s="1454"/>
      <c r="J48" s="1454"/>
      <c r="K48" s="1454"/>
      <c r="L48" s="1454"/>
      <c r="M48" s="1454"/>
      <c r="N48" s="1454"/>
      <c r="O48" s="1454"/>
      <c r="P48" s="1454"/>
    </row>
    <row r="49" spans="3:16" x14ac:dyDescent="0.25">
      <c r="C49" s="1443"/>
      <c r="D49" s="1443"/>
      <c r="E49" s="1443"/>
      <c r="F49" s="1443"/>
      <c r="G49" s="1443"/>
      <c r="H49" s="1443"/>
      <c r="I49" s="1443"/>
      <c r="J49" s="1443"/>
      <c r="K49" s="1443"/>
      <c r="L49" s="1443"/>
      <c r="M49" s="1443"/>
      <c r="N49" s="1443"/>
      <c r="O49" s="1443"/>
      <c r="P49" s="1443"/>
    </row>
    <row r="50" spans="3:16" x14ac:dyDescent="0.25">
      <c r="C50" s="1454"/>
      <c r="D50" s="1454"/>
      <c r="E50" s="1454"/>
      <c r="F50" s="1454"/>
      <c r="G50" s="1454"/>
      <c r="H50" s="1454"/>
      <c r="I50" s="1454"/>
      <c r="J50" s="1454"/>
      <c r="K50" s="1454"/>
      <c r="L50" s="1454"/>
      <c r="M50" s="1454"/>
      <c r="N50" s="1454"/>
      <c r="O50" s="1454"/>
      <c r="P50" s="1454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468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441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467" t="s">
        <v>194</v>
      </c>
      <c r="D22" s="1467"/>
      <c r="E22" s="1467"/>
      <c r="F22" s="1467"/>
      <c r="G22" s="1467"/>
      <c r="H22" s="1467"/>
      <c r="I22" s="1466">
        <f>SUM(I18:I21)</f>
        <v>155000</v>
      </c>
      <c r="J22" s="1468">
        <f>SUM(J18:J21)</f>
        <v>0</v>
      </c>
      <c r="K22" s="1466">
        <v>155000</v>
      </c>
      <c r="L22" s="1466">
        <v>4448.5</v>
      </c>
      <c r="M22" s="1466">
        <v>7400.87</v>
      </c>
      <c r="N22" s="1466">
        <v>4712</v>
      </c>
      <c r="O22" s="1466">
        <f>SUM(O18:O21)</f>
        <v>100</v>
      </c>
      <c r="P22" s="1466">
        <v>16661.37</v>
      </c>
      <c r="Q22" s="1465">
        <f>SUM(Q18:Q21)</f>
        <v>138338.63</v>
      </c>
    </row>
    <row r="23" spans="2:17" x14ac:dyDescent="0.25">
      <c r="C23" s="1467"/>
      <c r="D23" s="1467"/>
      <c r="E23" s="1467"/>
      <c r="F23" s="1467"/>
      <c r="G23" s="1467"/>
      <c r="H23" s="1467"/>
      <c r="I23" s="1466"/>
      <c r="J23" s="1468"/>
      <c r="K23" s="1466"/>
      <c r="L23" s="1466"/>
      <c r="M23" s="1466"/>
      <c r="N23" s="1466"/>
      <c r="O23" s="1466"/>
      <c r="P23" s="1466"/>
      <c r="Q23" s="1465"/>
    </row>
    <row r="33" spans="3:16" x14ac:dyDescent="0.25">
      <c r="C33" s="24" t="s">
        <v>195</v>
      </c>
      <c r="D33" s="24"/>
      <c r="E33" s="5" t="s">
        <v>250</v>
      </c>
      <c r="N33" s="1443" t="s">
        <v>196</v>
      </c>
      <c r="O33" s="1443"/>
      <c r="P33" s="1443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454" t="s">
        <v>198</v>
      </c>
      <c r="O36" s="1454"/>
      <c r="P36" s="1454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443" t="s">
        <v>253</v>
      </c>
      <c r="O37" s="1443"/>
      <c r="P37" s="1443"/>
    </row>
    <row r="38" spans="3:16" x14ac:dyDescent="0.25">
      <c r="C38" s="25" t="s">
        <v>201</v>
      </c>
      <c r="D38" s="25"/>
      <c r="E38" t="s">
        <v>254</v>
      </c>
      <c r="N38" s="1454" t="s">
        <v>202</v>
      </c>
      <c r="O38" s="1454"/>
      <c r="P38" s="1454"/>
    </row>
    <row r="41" spans="3:16" x14ac:dyDescent="0.25">
      <c r="C41" s="1443"/>
      <c r="D41" s="1443"/>
      <c r="E41" s="1443"/>
      <c r="F41" s="1443"/>
      <c r="G41" s="1443"/>
      <c r="H41" s="1443"/>
      <c r="I41" s="1443"/>
      <c r="J41" s="1443"/>
      <c r="K41" s="1443"/>
      <c r="L41" s="1443"/>
      <c r="M41" s="1443"/>
      <c r="N41" s="1443"/>
      <c r="O41" s="1443"/>
      <c r="P41" s="1443"/>
    </row>
    <row r="44" spans="3:16" x14ac:dyDescent="0.25">
      <c r="C44" s="1454"/>
      <c r="D44" s="1454"/>
      <c r="E44" s="1454"/>
      <c r="F44" s="1454"/>
      <c r="G44" s="1454"/>
      <c r="H44" s="1454"/>
      <c r="I44" s="1454"/>
      <c r="J44" s="1454"/>
      <c r="K44" s="1454"/>
      <c r="L44" s="1454"/>
      <c r="M44" s="1454"/>
      <c r="N44" s="1454"/>
      <c r="O44" s="1454"/>
      <c r="P44" s="1454"/>
    </row>
    <row r="45" spans="3:16" x14ac:dyDescent="0.25">
      <c r="C45" s="1443"/>
      <c r="D45" s="1443"/>
      <c r="E45" s="1443"/>
      <c r="F45" s="1443"/>
      <c r="G45" s="1443"/>
      <c r="H45" s="1443"/>
      <c r="I45" s="1443"/>
      <c r="J45" s="1443"/>
      <c r="K45" s="1443"/>
      <c r="L45" s="1443"/>
      <c r="M45" s="1443"/>
      <c r="N45" s="1443"/>
      <c r="O45" s="1443"/>
      <c r="P45" s="1443"/>
    </row>
    <row r="46" spans="3:16" x14ac:dyDescent="0.25">
      <c r="C46" s="1454"/>
      <c r="D46" s="1454"/>
      <c r="E46" s="1454"/>
      <c r="F46" s="1454"/>
      <c r="G46" s="1454"/>
      <c r="H46" s="1454"/>
      <c r="I46" s="1454"/>
      <c r="J46" s="1454"/>
      <c r="K46" s="1454"/>
      <c r="L46" s="1454"/>
      <c r="M46" s="1454"/>
      <c r="N46" s="1454"/>
      <c r="O46" s="1454"/>
      <c r="P46" s="1454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469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441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467" t="s">
        <v>194</v>
      </c>
      <c r="D21" s="1467"/>
      <c r="E21" s="1467"/>
      <c r="F21" s="1467"/>
      <c r="G21" s="1467"/>
      <c r="H21" s="1467"/>
      <c r="I21" s="1466">
        <f>SUM(I18:I20)</f>
        <v>125000</v>
      </c>
      <c r="J21" s="1468">
        <f>SUM(J18:J20)</f>
        <v>0</v>
      </c>
      <c r="K21" s="1466">
        <v>125000</v>
      </c>
      <c r="L21" s="1466">
        <v>3587.5</v>
      </c>
      <c r="M21" s="1466">
        <v>7400.87</v>
      </c>
      <c r="N21" s="1466">
        <v>3800</v>
      </c>
      <c r="O21" s="1466">
        <f>SUM(O18:O20)</f>
        <v>75</v>
      </c>
      <c r="P21" s="1466">
        <v>14863.37</v>
      </c>
      <c r="Q21" s="1465">
        <f>SUM(Q18:Q20)</f>
        <v>110136.63</v>
      </c>
    </row>
    <row r="22" spans="2:17" x14ac:dyDescent="0.25">
      <c r="C22" s="1467"/>
      <c r="D22" s="1467"/>
      <c r="E22" s="1467"/>
      <c r="F22" s="1467"/>
      <c r="G22" s="1467"/>
      <c r="H22" s="1467"/>
      <c r="I22" s="1466"/>
      <c r="J22" s="1468"/>
      <c r="K22" s="1466"/>
      <c r="L22" s="1466"/>
      <c r="M22" s="1466"/>
      <c r="N22" s="1466"/>
      <c r="O22" s="1466"/>
      <c r="P22" s="1466"/>
      <c r="Q22" s="1465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443" t="s">
        <v>196</v>
      </c>
      <c r="O32" s="1443"/>
      <c r="P32" s="1443"/>
    </row>
    <row r="35" spans="3:16" x14ac:dyDescent="0.25">
      <c r="C35" s="25" t="s">
        <v>197</v>
      </c>
      <c r="D35" s="25"/>
      <c r="E35" t="s">
        <v>251</v>
      </c>
      <c r="N35" s="1454" t="s">
        <v>198</v>
      </c>
      <c r="O35" s="1454"/>
      <c r="P35" s="1454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443" t="s">
        <v>253</v>
      </c>
      <c r="O36" s="1443"/>
      <c r="P36" s="1443"/>
    </row>
    <row r="37" spans="3:16" x14ac:dyDescent="0.25">
      <c r="C37" s="25" t="s">
        <v>201</v>
      </c>
      <c r="D37" s="25"/>
      <c r="E37" t="s">
        <v>254</v>
      </c>
      <c r="N37" s="1454" t="s">
        <v>202</v>
      </c>
      <c r="O37" s="1454"/>
      <c r="P37" s="1454"/>
    </row>
    <row r="40" spans="3:16" x14ac:dyDescent="0.25">
      <c r="C40" s="1443"/>
      <c r="D40" s="1443"/>
      <c r="E40" s="1443"/>
      <c r="F40" s="1443"/>
      <c r="G40" s="1443"/>
      <c r="H40" s="1443"/>
      <c r="I40" s="1443"/>
      <c r="J40" s="1443"/>
      <c r="K40" s="1443"/>
      <c r="L40" s="1443"/>
      <c r="M40" s="1443"/>
      <c r="N40" s="1443"/>
      <c r="O40" s="1443"/>
      <c r="P40" s="1443"/>
    </row>
    <row r="43" spans="3:16" x14ac:dyDescent="0.25">
      <c r="C43" s="1454"/>
      <c r="D43" s="1454"/>
      <c r="E43" s="1454"/>
      <c r="F43" s="1454"/>
      <c r="G43" s="1454"/>
      <c r="H43" s="1454"/>
      <c r="I43" s="1454"/>
      <c r="J43" s="1454"/>
      <c r="K43" s="1454"/>
      <c r="L43" s="1454"/>
      <c r="M43" s="1454"/>
      <c r="N43" s="1454"/>
      <c r="O43" s="1454"/>
      <c r="P43" s="1454"/>
    </row>
    <row r="44" spans="3:16" x14ac:dyDescent="0.25">
      <c r="C44" s="1443"/>
      <c r="D44" s="1443"/>
      <c r="E44" s="1443"/>
      <c r="F44" s="1443"/>
      <c r="G44" s="1443"/>
      <c r="H44" s="1443"/>
      <c r="I44" s="1443"/>
      <c r="J44" s="1443"/>
      <c r="K44" s="1443"/>
      <c r="L44" s="1443"/>
      <c r="M44" s="1443"/>
      <c r="N44" s="1443"/>
      <c r="O44" s="1443"/>
      <c r="P44" s="1443"/>
    </row>
    <row r="45" spans="3:16" x14ac:dyDescent="0.25">
      <c r="C45" s="1454"/>
      <c r="D45" s="1454"/>
      <c r="E45" s="1454"/>
      <c r="F45" s="1454"/>
      <c r="G45" s="1454"/>
      <c r="H45" s="1454"/>
      <c r="I45" s="1454"/>
      <c r="J45" s="1454"/>
      <c r="K45" s="1454"/>
      <c r="L45" s="1454"/>
      <c r="M45" s="1454"/>
      <c r="N45" s="1454"/>
      <c r="O45" s="1454"/>
      <c r="P45" s="1454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470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412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467" t="s">
        <v>194</v>
      </c>
      <c r="D23" s="1467"/>
      <c r="E23" s="1467"/>
      <c r="F23" s="1467"/>
      <c r="G23" s="1467"/>
      <c r="H23" s="1467"/>
      <c r="I23" s="1466">
        <f t="shared" ref="I23:Q23" si="0">SUM(I18:I22)</f>
        <v>203500</v>
      </c>
      <c r="J23" s="1468">
        <f t="shared" si="0"/>
        <v>0</v>
      </c>
      <c r="K23" s="1466">
        <f t="shared" si="0"/>
        <v>203500</v>
      </c>
      <c r="L23" s="1466">
        <f t="shared" si="0"/>
        <v>5840.45</v>
      </c>
      <c r="M23" s="1466">
        <f t="shared" si="0"/>
        <v>5783.34</v>
      </c>
      <c r="N23" s="1466">
        <f t="shared" si="0"/>
        <v>6186.4</v>
      </c>
      <c r="O23" s="1466">
        <f t="shared" si="0"/>
        <v>125</v>
      </c>
      <c r="P23" s="1466">
        <f t="shared" si="0"/>
        <v>17935.190000000002</v>
      </c>
      <c r="Q23" s="1465">
        <f t="shared" si="0"/>
        <v>185564.81</v>
      </c>
    </row>
    <row r="24" spans="2:17" x14ac:dyDescent="0.25">
      <c r="C24" s="1467"/>
      <c r="D24" s="1467"/>
      <c r="E24" s="1467"/>
      <c r="F24" s="1467"/>
      <c r="G24" s="1467"/>
      <c r="H24" s="1467"/>
      <c r="I24" s="1466"/>
      <c r="J24" s="1468"/>
      <c r="K24" s="1466"/>
      <c r="L24" s="1466"/>
      <c r="M24" s="1466"/>
      <c r="N24" s="1466"/>
      <c r="O24" s="1466"/>
      <c r="P24" s="1466"/>
      <c r="Q24" s="1465"/>
    </row>
    <row r="37" spans="3:16" x14ac:dyDescent="0.25">
      <c r="C37" s="24" t="s">
        <v>195</v>
      </c>
      <c r="D37" s="24"/>
      <c r="E37" s="5" t="s">
        <v>250</v>
      </c>
      <c r="N37" s="1443" t="s">
        <v>196</v>
      </c>
      <c r="O37" s="1443"/>
      <c r="P37" s="1443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454" t="s">
        <v>198</v>
      </c>
      <c r="O40" s="1454"/>
      <c r="P40" s="1454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443" t="s">
        <v>253</v>
      </c>
      <c r="O41" s="1443"/>
      <c r="P41" s="1443"/>
    </row>
    <row r="42" spans="3:16" x14ac:dyDescent="0.25">
      <c r="C42" s="25" t="s">
        <v>201</v>
      </c>
      <c r="D42" s="25"/>
      <c r="E42" t="s">
        <v>254</v>
      </c>
      <c r="N42" s="1454" t="s">
        <v>202</v>
      </c>
      <c r="O42" s="1454"/>
      <c r="P42" s="1454"/>
    </row>
    <row r="45" spans="3:16" x14ac:dyDescent="0.25">
      <c r="C45" s="1443"/>
      <c r="D45" s="1443"/>
      <c r="E45" s="1443"/>
      <c r="F45" s="1443"/>
      <c r="G45" s="1443"/>
      <c r="H45" s="1443"/>
      <c r="I45" s="1443"/>
      <c r="J45" s="1443"/>
      <c r="K45" s="1443"/>
      <c r="L45" s="1443"/>
      <c r="M45" s="1443"/>
      <c r="N45" s="1443"/>
      <c r="O45" s="1443"/>
      <c r="P45" s="1443"/>
    </row>
    <row r="48" spans="3:16" x14ac:dyDescent="0.25">
      <c r="C48" s="1454"/>
      <c r="D48" s="1454"/>
      <c r="E48" s="1454"/>
      <c r="F48" s="1454"/>
      <c r="G48" s="1454"/>
      <c r="H48" s="1454"/>
      <c r="I48" s="1454"/>
      <c r="J48" s="1454"/>
      <c r="K48" s="1454"/>
      <c r="L48" s="1454"/>
      <c r="M48" s="1454"/>
      <c r="N48" s="1454"/>
      <c r="O48" s="1454"/>
      <c r="P48" s="1454"/>
    </row>
    <row r="49" spans="3:16" x14ac:dyDescent="0.25">
      <c r="C49" s="1443"/>
      <c r="D49" s="1443"/>
      <c r="E49" s="1443"/>
      <c r="F49" s="1443"/>
      <c r="G49" s="1443"/>
      <c r="H49" s="1443"/>
      <c r="I49" s="1443"/>
      <c r="J49" s="1443"/>
      <c r="K49" s="1443"/>
      <c r="L49" s="1443"/>
      <c r="M49" s="1443"/>
      <c r="N49" s="1443"/>
      <c r="O49" s="1443"/>
      <c r="P49" s="1443"/>
    </row>
    <row r="50" spans="3:16" x14ac:dyDescent="0.25">
      <c r="C50" s="1454"/>
      <c r="D50" s="1454"/>
      <c r="E50" s="1454"/>
      <c r="F50" s="1454"/>
      <c r="G50" s="1454"/>
      <c r="H50" s="1454"/>
      <c r="I50" s="1454"/>
      <c r="J50" s="1454"/>
      <c r="K50" s="1454"/>
      <c r="L50" s="1454"/>
      <c r="M50" s="1454"/>
      <c r="N50" s="1454"/>
      <c r="O50" s="1454"/>
      <c r="P50" s="1454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471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441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467" t="s">
        <v>194</v>
      </c>
      <c r="D21" s="1467"/>
      <c r="E21" s="1467"/>
      <c r="F21" s="1467"/>
      <c r="G21" s="1467"/>
      <c r="H21" s="1467"/>
      <c r="I21" s="1466">
        <f>SUM(I18:I20)</f>
        <v>125000</v>
      </c>
      <c r="J21" s="1468">
        <f>SUM(J18:J20)</f>
        <v>0</v>
      </c>
      <c r="K21" s="1466">
        <v>125000</v>
      </c>
      <c r="L21" s="1466">
        <v>3587.5</v>
      </c>
      <c r="M21" s="1466">
        <v>7400.87</v>
      </c>
      <c r="N21" s="1466">
        <v>3800</v>
      </c>
      <c r="O21" s="1466">
        <f>SUM(O18:O20)</f>
        <v>75</v>
      </c>
      <c r="P21" s="1466">
        <v>14863.37</v>
      </c>
      <c r="Q21" s="1465">
        <f>SUM(Q18:Q20)</f>
        <v>110136.63</v>
      </c>
    </row>
    <row r="22" spans="2:17" x14ac:dyDescent="0.25">
      <c r="C22" s="1467"/>
      <c r="D22" s="1467"/>
      <c r="E22" s="1467"/>
      <c r="F22" s="1467"/>
      <c r="G22" s="1467"/>
      <c r="H22" s="1467"/>
      <c r="I22" s="1466"/>
      <c r="J22" s="1468"/>
      <c r="K22" s="1466"/>
      <c r="L22" s="1466"/>
      <c r="M22" s="1466"/>
      <c r="N22" s="1466"/>
      <c r="O22" s="1466"/>
      <c r="P22" s="1466"/>
      <c r="Q22" s="1465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443" t="s">
        <v>196</v>
      </c>
      <c r="O32" s="1443"/>
      <c r="P32" s="1443"/>
    </row>
    <row r="35" spans="3:16" x14ac:dyDescent="0.25">
      <c r="C35" s="25" t="s">
        <v>197</v>
      </c>
      <c r="D35" s="25"/>
      <c r="E35" t="s">
        <v>251</v>
      </c>
      <c r="N35" s="1454" t="s">
        <v>198</v>
      </c>
      <c r="O35" s="1454"/>
      <c r="P35" s="1454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443" t="s">
        <v>253</v>
      </c>
      <c r="O36" s="1443"/>
      <c r="P36" s="1443"/>
    </row>
    <row r="37" spans="3:16" x14ac:dyDescent="0.25">
      <c r="C37" s="25" t="s">
        <v>201</v>
      </c>
      <c r="D37" s="25"/>
      <c r="E37" t="s">
        <v>254</v>
      </c>
      <c r="N37" s="1454" t="s">
        <v>202</v>
      </c>
      <c r="O37" s="1454"/>
      <c r="P37" s="1454"/>
    </row>
    <row r="40" spans="3:16" x14ac:dyDescent="0.25">
      <c r="C40" s="1443"/>
      <c r="D40" s="1443"/>
      <c r="E40" s="1443"/>
      <c r="F40" s="1443"/>
      <c r="G40" s="1443"/>
      <c r="H40" s="1443"/>
      <c r="I40" s="1443"/>
      <c r="J40" s="1443"/>
      <c r="K40" s="1443"/>
      <c r="L40" s="1443"/>
      <c r="M40" s="1443"/>
      <c r="N40" s="1443"/>
      <c r="O40" s="1443"/>
      <c r="P40" s="1443"/>
    </row>
    <row r="43" spans="3:16" x14ac:dyDescent="0.25">
      <c r="C43" s="1454"/>
      <c r="D43" s="1454"/>
      <c r="E43" s="1454"/>
      <c r="F43" s="1454"/>
      <c r="G43" s="1454"/>
      <c r="H43" s="1454"/>
      <c r="I43" s="1454"/>
      <c r="J43" s="1454"/>
      <c r="K43" s="1454"/>
      <c r="L43" s="1454"/>
      <c r="M43" s="1454"/>
      <c r="N43" s="1454"/>
      <c r="O43" s="1454"/>
      <c r="P43" s="1454"/>
    </row>
    <row r="44" spans="3:16" x14ac:dyDescent="0.25">
      <c r="C44" s="1443"/>
      <c r="D44" s="1443"/>
      <c r="E44" s="1443"/>
      <c r="F44" s="1443"/>
      <c r="G44" s="1443"/>
      <c r="H44" s="1443"/>
      <c r="I44" s="1443"/>
      <c r="J44" s="1443"/>
      <c r="K44" s="1443"/>
      <c r="L44" s="1443"/>
      <c r="M44" s="1443"/>
      <c r="N44" s="1443"/>
      <c r="O44" s="1443"/>
      <c r="P44" s="1443"/>
    </row>
    <row r="45" spans="3:16" x14ac:dyDescent="0.25">
      <c r="C45" s="1454"/>
      <c r="D45" s="1454"/>
      <c r="E45" s="1454"/>
      <c r="F45" s="1454"/>
      <c r="G45" s="1454"/>
      <c r="H45" s="1454"/>
      <c r="I45" s="1454"/>
      <c r="J45" s="1454"/>
      <c r="K45" s="1454"/>
      <c r="L45" s="1454"/>
      <c r="M45" s="1454"/>
      <c r="N45" s="1454"/>
      <c r="O45" s="1454"/>
      <c r="P45" s="1454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43" t="s">
        <v>0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</row>
    <row r="8" spans="1:14" x14ac:dyDescent="0.25">
      <c r="B8" s="1443" t="s">
        <v>1</v>
      </c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</row>
    <row r="9" spans="1:14" x14ac:dyDescent="0.25">
      <c r="B9" s="1444" t="s">
        <v>402</v>
      </c>
      <c r="C9" s="1444"/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443" t="s">
        <v>3</v>
      </c>
      <c r="C11" s="1443"/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</row>
    <row r="12" spans="1:14" x14ac:dyDescent="0.25">
      <c r="B12" s="1443" t="s">
        <v>472</v>
      </c>
      <c r="C12" s="1443"/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</row>
    <row r="13" spans="1:14" x14ac:dyDescent="0.25">
      <c r="B13" s="1442" t="s">
        <v>5</v>
      </c>
      <c r="C13" s="1442"/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46" t="s">
        <v>6</v>
      </c>
      <c r="B15" s="1447" t="s">
        <v>7</v>
      </c>
      <c r="C15" s="1447" t="s">
        <v>8</v>
      </c>
      <c r="D15" s="1447" t="s">
        <v>10</v>
      </c>
      <c r="E15" s="1451" t="s">
        <v>11</v>
      </c>
      <c r="F15" s="37" t="s">
        <v>12</v>
      </c>
      <c r="G15" s="1450" t="s">
        <v>13</v>
      </c>
      <c r="H15" s="1447" t="s">
        <v>14</v>
      </c>
      <c r="I15" s="1447" t="s">
        <v>15</v>
      </c>
      <c r="J15" s="1447" t="s">
        <v>16</v>
      </c>
      <c r="K15" s="1447" t="s">
        <v>17</v>
      </c>
      <c r="L15" s="1447" t="s">
        <v>18</v>
      </c>
      <c r="M15" s="1447" t="s">
        <v>19</v>
      </c>
      <c r="N15" s="1448" t="s">
        <v>20</v>
      </c>
    </row>
    <row r="16" spans="1:14" x14ac:dyDescent="0.25">
      <c r="A16" s="1446"/>
      <c r="B16" s="1447"/>
      <c r="C16" s="1447"/>
      <c r="D16" s="1447"/>
      <c r="E16" s="1451"/>
      <c r="F16" s="38" t="s">
        <v>21</v>
      </c>
      <c r="G16" s="1450"/>
      <c r="H16" s="1447"/>
      <c r="I16" s="1447"/>
      <c r="J16" s="1447"/>
      <c r="K16" s="1447"/>
      <c r="L16" s="1447"/>
      <c r="M16" s="1447"/>
      <c r="N16" s="1448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471" t="s">
        <v>194</v>
      </c>
      <c r="C31" s="1471"/>
      <c r="D31" s="1471"/>
      <c r="E31" s="1471"/>
      <c r="F31" s="1469">
        <v>147000</v>
      </c>
      <c r="G31" s="1470">
        <v>0</v>
      </c>
      <c r="H31" s="1469">
        <v>147000</v>
      </c>
      <c r="I31" s="1470">
        <v>0</v>
      </c>
      <c r="J31" s="1470">
        <v>0</v>
      </c>
      <c r="K31" s="1470">
        <v>0</v>
      </c>
      <c r="L31" s="1470">
        <v>0</v>
      </c>
      <c r="M31" s="1470">
        <v>0</v>
      </c>
      <c r="N31" s="1469">
        <v>147000</v>
      </c>
    </row>
    <row r="32" spans="1:14" x14ac:dyDescent="0.25">
      <c r="B32" s="1471"/>
      <c r="C32" s="1471"/>
      <c r="D32" s="1471"/>
      <c r="E32" s="1471"/>
      <c r="F32" s="1469"/>
      <c r="G32" s="1470"/>
      <c r="H32" s="1469"/>
      <c r="I32" s="1470"/>
      <c r="J32" s="1470"/>
      <c r="K32" s="1470"/>
      <c r="L32" s="1470"/>
      <c r="M32" s="1470"/>
      <c r="N32" s="1469"/>
    </row>
    <row r="42" spans="1:14" x14ac:dyDescent="0.25">
      <c r="A42" s="24" t="s">
        <v>257</v>
      </c>
      <c r="B42" s="24"/>
      <c r="C42" s="5" t="s">
        <v>258</v>
      </c>
      <c r="L42" s="1443" t="s">
        <v>196</v>
      </c>
      <c r="M42" s="1443"/>
      <c r="N42" s="1443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454" t="s">
        <v>198</v>
      </c>
      <c r="M45" s="1454"/>
      <c r="N45" s="1454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443" t="s">
        <v>253</v>
      </c>
      <c r="M46" s="1443"/>
      <c r="N46" s="1443"/>
    </row>
    <row r="47" spans="1:14" x14ac:dyDescent="0.25">
      <c r="A47" s="25" t="s">
        <v>263</v>
      </c>
      <c r="B47" s="25"/>
      <c r="C47" t="s">
        <v>264</v>
      </c>
      <c r="L47" s="1454" t="s">
        <v>202</v>
      </c>
      <c r="M47" s="1454"/>
      <c r="N47" s="1454"/>
    </row>
    <row r="52" spans="1:14" x14ac:dyDescent="0.25">
      <c r="A52" s="1454"/>
      <c r="B52" s="1454"/>
      <c r="C52" s="1454"/>
      <c r="D52" s="1454"/>
      <c r="E52" s="1454"/>
      <c r="F52" s="1454"/>
      <c r="G52" s="1454"/>
      <c r="H52" s="1454"/>
      <c r="I52" s="1454"/>
      <c r="J52" s="1454"/>
      <c r="K52" s="1454"/>
      <c r="L52" s="1454"/>
      <c r="M52" s="1454"/>
      <c r="N52" s="1454"/>
    </row>
    <row r="53" spans="1:14" x14ac:dyDescent="0.25">
      <c r="A53" s="1443"/>
      <c r="B53" s="1443"/>
      <c r="C53" s="1443"/>
      <c r="D53" s="1443"/>
      <c r="E53" s="1443"/>
      <c r="F53" s="1443"/>
      <c r="G53" s="1443"/>
      <c r="H53" s="1443"/>
      <c r="I53" s="1443"/>
      <c r="J53" s="1443"/>
      <c r="K53" s="1443"/>
      <c r="L53" s="1443"/>
      <c r="M53" s="1443"/>
      <c r="N53" s="1443"/>
    </row>
    <row r="54" spans="1:14" x14ac:dyDescent="0.25">
      <c r="A54" s="1454"/>
      <c r="B54" s="1454"/>
      <c r="C54" s="1454"/>
      <c r="D54" s="1454"/>
      <c r="E54" s="1454"/>
      <c r="F54" s="1454"/>
      <c r="G54" s="1454"/>
      <c r="H54" s="1454"/>
      <c r="I54" s="1454"/>
      <c r="J54" s="1454"/>
      <c r="K54" s="1454"/>
      <c r="L54" s="1454"/>
      <c r="M54" s="1454"/>
      <c r="N54" s="1454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443" t="s">
        <v>0</v>
      </c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  <c r="O6" s="1443"/>
      <c r="P6" s="1443"/>
      <c r="Q6" s="1443"/>
    </row>
    <row r="7" spans="2:17" x14ac:dyDescent="0.25">
      <c r="C7" s="1443" t="s">
        <v>1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4" t="s">
        <v>402</v>
      </c>
      <c r="D8" s="1444"/>
      <c r="E8" s="1444"/>
      <c r="F8" s="1444"/>
      <c r="G8" s="1444"/>
      <c r="H8" s="1444"/>
      <c r="I8" s="1444"/>
      <c r="J8" s="1444"/>
      <c r="K8" s="1444"/>
      <c r="L8" s="1444"/>
      <c r="M8" s="1444"/>
      <c r="N8" s="1444"/>
      <c r="O8" s="1444"/>
      <c r="P8" s="1444"/>
      <c r="Q8" s="144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443" t="s">
        <v>3</v>
      </c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  <c r="P10" s="1443"/>
      <c r="Q10" s="1443"/>
    </row>
    <row r="11" spans="2:17" x14ac:dyDescent="0.25">
      <c r="C11" s="1443" t="s">
        <v>473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2" t="s">
        <v>404</v>
      </c>
      <c r="D12" s="1442"/>
      <c r="E12" s="1442"/>
      <c r="F12" s="1442"/>
      <c r="G12" s="1442"/>
      <c r="H12" s="1442"/>
      <c r="I12" s="1442"/>
      <c r="J12" s="1442"/>
      <c r="K12" s="1442"/>
      <c r="L12" s="1442"/>
      <c r="M12" s="1442"/>
      <c r="N12" s="1442"/>
      <c r="O12" s="1442"/>
      <c r="P12" s="1442"/>
      <c r="Q12" s="1442"/>
    </row>
    <row r="14" spans="2:17" x14ac:dyDescent="0.25">
      <c r="B14" s="1458" t="s">
        <v>6</v>
      </c>
      <c r="C14" s="1459" t="s">
        <v>7</v>
      </c>
      <c r="D14" s="1459" t="s">
        <v>8</v>
      </c>
      <c r="E14" s="1459" t="s">
        <v>9</v>
      </c>
      <c r="F14" s="1459" t="s">
        <v>10</v>
      </c>
      <c r="G14" s="1461" t="s">
        <v>11</v>
      </c>
      <c r="H14" s="1459" t="s">
        <v>11</v>
      </c>
      <c r="I14" s="51" t="s">
        <v>12</v>
      </c>
      <c r="J14" s="1460" t="s">
        <v>13</v>
      </c>
      <c r="K14" s="1459" t="s">
        <v>14</v>
      </c>
      <c r="L14" s="1459" t="s">
        <v>15</v>
      </c>
      <c r="M14" s="1459" t="s">
        <v>16</v>
      </c>
      <c r="N14" s="1459" t="s">
        <v>17</v>
      </c>
      <c r="O14" s="1459" t="s">
        <v>18</v>
      </c>
      <c r="P14" s="1459" t="s">
        <v>19</v>
      </c>
      <c r="Q14" s="1462" t="s">
        <v>20</v>
      </c>
    </row>
    <row r="15" spans="2:17" x14ac:dyDescent="0.25">
      <c r="B15" s="1458"/>
      <c r="C15" s="1459"/>
      <c r="D15" s="1459"/>
      <c r="E15" s="1459"/>
      <c r="F15" s="1459"/>
      <c r="G15" s="1461"/>
      <c r="H15" s="1459"/>
      <c r="I15" s="52" t="s">
        <v>21</v>
      </c>
      <c r="J15" s="1460"/>
      <c r="K15" s="1459"/>
      <c r="L15" s="1459"/>
      <c r="M15" s="1459"/>
      <c r="N15" s="1459"/>
      <c r="O15" s="1459"/>
      <c r="P15" s="1459"/>
      <c r="Q15" s="1462"/>
    </row>
    <row r="17" spans="2:17" x14ac:dyDescent="0.25">
      <c r="B17" s="53">
        <v>1</v>
      </c>
      <c r="C17" s="54" t="s">
        <v>22</v>
      </c>
      <c r="D17" s="7" t="s">
        <v>23</v>
      </c>
      <c r="E17" s="1449" t="s">
        <v>24</v>
      </c>
      <c r="F17" s="1449"/>
      <c r="G17" s="1449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445" t="s">
        <v>30</v>
      </c>
      <c r="F18" s="1445" t="s">
        <v>31</v>
      </c>
      <c r="G18" s="144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445" t="s">
        <v>36</v>
      </c>
      <c r="F19" s="1445" t="s">
        <v>37</v>
      </c>
      <c r="G19" s="1445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445" t="s">
        <v>40</v>
      </c>
      <c r="F22" s="1445" t="s">
        <v>41</v>
      </c>
      <c r="G22" s="1445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445" t="s">
        <v>44</v>
      </c>
      <c r="F23" s="1445" t="s">
        <v>45</v>
      </c>
      <c r="G23" s="1445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445" t="s">
        <v>49</v>
      </c>
      <c r="F24" s="1445" t="s">
        <v>50</v>
      </c>
      <c r="G24" s="1445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445" t="s">
        <v>53</v>
      </c>
      <c r="F25" s="1445" t="s">
        <v>54</v>
      </c>
      <c r="G25" s="1445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445" t="s">
        <v>427</v>
      </c>
      <c r="F26" s="1445" t="s">
        <v>57</v>
      </c>
      <c r="G26" s="1445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445" t="s">
        <v>53</v>
      </c>
      <c r="F27" s="1445" t="s">
        <v>60</v>
      </c>
      <c r="G27" s="1445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445" t="s">
        <v>63</v>
      </c>
      <c r="F28" s="1445" t="s">
        <v>64</v>
      </c>
      <c r="G28" s="1445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445" t="s">
        <v>67</v>
      </c>
      <c r="F29" s="1445" t="s">
        <v>68</v>
      </c>
      <c r="G29" s="1445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445" t="s">
        <v>71</v>
      </c>
      <c r="F30" s="1445" t="s">
        <v>72</v>
      </c>
      <c r="G30" s="1445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445" t="s">
        <v>75</v>
      </c>
      <c r="F31" s="1445" t="s">
        <v>76</v>
      </c>
      <c r="G31" s="1445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445" t="s">
        <v>78</v>
      </c>
      <c r="F32" s="1445" t="s">
        <v>79</v>
      </c>
      <c r="G32" s="1445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445" t="s">
        <v>82</v>
      </c>
      <c r="F33" s="1445" t="s">
        <v>83</v>
      </c>
      <c r="G33" s="1445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445" t="s">
        <v>85</v>
      </c>
      <c r="F34" s="1445" t="s">
        <v>86</v>
      </c>
      <c r="G34" s="1445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445" t="s">
        <v>89</v>
      </c>
      <c r="F35" s="1445" t="s">
        <v>90</v>
      </c>
      <c r="G35" s="1445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445" t="s">
        <v>92</v>
      </c>
      <c r="F36" s="1445" t="s">
        <v>93</v>
      </c>
      <c r="G36" s="1445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445" t="s">
        <v>71</v>
      </c>
      <c r="F37" s="1445" t="s">
        <v>95</v>
      </c>
      <c r="G37" s="1445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445" t="s">
        <v>97</v>
      </c>
      <c r="F38" s="1445" t="s">
        <v>98</v>
      </c>
      <c r="G38" s="1445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445" t="s">
        <v>92</v>
      </c>
      <c r="F39" s="1445" t="s">
        <v>100</v>
      </c>
      <c r="G39" s="1445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445" t="s">
        <v>102</v>
      </c>
      <c r="F40" s="1445" t="s">
        <v>103</v>
      </c>
      <c r="G40" s="1445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445" t="s">
        <v>105</v>
      </c>
      <c r="F41" s="1445" t="s">
        <v>106</v>
      </c>
      <c r="G41" s="1445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445" t="s">
        <v>105</v>
      </c>
      <c r="F42" s="1445" t="s">
        <v>108</v>
      </c>
      <c r="G42" s="1445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445" t="s">
        <v>78</v>
      </c>
      <c r="F43" s="1445" t="s">
        <v>115</v>
      </c>
      <c r="G43" s="1445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445" t="s">
        <v>117</v>
      </c>
      <c r="F44" s="1445" t="s">
        <v>118</v>
      </c>
      <c r="G44" s="1445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445" t="s">
        <v>120</v>
      </c>
      <c r="F45" s="1445" t="s">
        <v>121</v>
      </c>
      <c r="G45" s="1445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445" t="s">
        <v>49</v>
      </c>
      <c r="F46" s="1445" t="s">
        <v>123</v>
      </c>
      <c r="G46" s="1445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445" t="s">
        <v>125</v>
      </c>
      <c r="F47" s="1445" t="s">
        <v>126</v>
      </c>
      <c r="G47" s="1445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445" t="s">
        <v>105</v>
      </c>
      <c r="F48" s="1445" t="s">
        <v>128</v>
      </c>
      <c r="G48" s="1445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445" t="s">
        <v>102</v>
      </c>
      <c r="F49" s="1445" t="s">
        <v>130</v>
      </c>
      <c r="G49" s="1445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445" t="s">
        <v>132</v>
      </c>
      <c r="F50" s="1445" t="s">
        <v>133</v>
      </c>
      <c r="G50" s="1445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445" t="s">
        <v>117</v>
      </c>
      <c r="F51" s="1445" t="s">
        <v>135</v>
      </c>
      <c r="G51" s="1445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445" t="s">
        <v>85</v>
      </c>
      <c r="F52" s="1445" t="s">
        <v>137</v>
      </c>
      <c r="G52" s="1445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445" t="s">
        <v>139</v>
      </c>
      <c r="F53" s="1445" t="s">
        <v>140</v>
      </c>
      <c r="G53" s="1445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445" t="s">
        <v>148</v>
      </c>
      <c r="F54" s="1445" t="s">
        <v>149</v>
      </c>
      <c r="G54" s="1445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445" t="s">
        <v>151</v>
      </c>
      <c r="F55" s="1445" t="s">
        <v>152</v>
      </c>
      <c r="G55" s="1445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445" t="s">
        <v>157</v>
      </c>
      <c r="F56" s="1445" t="s">
        <v>158</v>
      </c>
      <c r="G56" s="1445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445" t="s">
        <v>160</v>
      </c>
      <c r="F58" s="1445" t="s">
        <v>161</v>
      </c>
      <c r="G58" s="1445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445" t="s">
        <v>163</v>
      </c>
      <c r="F59" s="1445" t="s">
        <v>164</v>
      </c>
      <c r="G59" s="1445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445" t="s">
        <v>92</v>
      </c>
      <c r="F62" s="1445" t="s">
        <v>168</v>
      </c>
      <c r="G62" s="1445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445" t="s">
        <v>276</v>
      </c>
      <c r="F63" s="1445" t="s">
        <v>170</v>
      </c>
      <c r="G63" s="1445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445" t="s">
        <v>40</v>
      </c>
      <c r="F67" s="1445" t="s">
        <v>172</v>
      </c>
      <c r="G67" s="1445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445" t="s">
        <v>92</v>
      </c>
      <c r="F72" s="1445"/>
      <c r="G72" s="1445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445" t="s">
        <v>276</v>
      </c>
      <c r="F77" s="1445"/>
      <c r="G77" s="1445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445" t="s">
        <v>30</v>
      </c>
      <c r="F78" s="1445" t="s">
        <v>31</v>
      </c>
      <c r="G78" s="1445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445" t="s">
        <v>30</v>
      </c>
      <c r="F79" s="1445" t="s">
        <v>31</v>
      </c>
      <c r="G79" s="1445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445" t="s">
        <v>30</v>
      </c>
      <c r="F80" s="1445" t="s">
        <v>31</v>
      </c>
      <c r="G80" s="1445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445" t="s">
        <v>92</v>
      </c>
      <c r="F87" s="1445" t="s">
        <v>176</v>
      </c>
      <c r="G87" s="1445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445" t="s">
        <v>178</v>
      </c>
      <c r="F88" s="1445" t="s">
        <v>179</v>
      </c>
      <c r="G88" s="1445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463" t="s">
        <v>92</v>
      </c>
      <c r="F89" s="1463" t="s">
        <v>193</v>
      </c>
      <c r="G89" s="1463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464" t="s">
        <v>288</v>
      </c>
      <c r="D132" s="1464"/>
      <c r="E132" s="1464"/>
      <c r="F132" s="1464"/>
      <c r="G132" s="1464"/>
      <c r="H132" s="1464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443" t="s">
        <v>196</v>
      </c>
      <c r="O135" s="1443"/>
      <c r="P135" s="1443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454" t="s">
        <v>198</v>
      </c>
      <c r="O138" s="1454"/>
      <c r="P138" s="1454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443" t="s">
        <v>253</v>
      </c>
      <c r="O139" s="1443"/>
      <c r="P139" s="1443"/>
    </row>
    <row r="140" spans="2:17" x14ac:dyDescent="0.25">
      <c r="C140" s="25" t="s">
        <v>201</v>
      </c>
      <c r="D140" s="25"/>
      <c r="E140" t="s">
        <v>254</v>
      </c>
      <c r="N140" s="1454" t="s">
        <v>202</v>
      </c>
      <c r="O140" s="1454"/>
      <c r="P140" s="1454"/>
    </row>
    <row r="143" spans="2:17" x14ac:dyDescent="0.25">
      <c r="C143" s="1443"/>
      <c r="D143" s="1443"/>
      <c r="E143" s="1443"/>
      <c r="F143" s="1443"/>
      <c r="G143" s="1443"/>
      <c r="H143" s="1443"/>
      <c r="I143" s="1443"/>
      <c r="J143" s="1443"/>
      <c r="K143" s="1443"/>
      <c r="L143" s="1443"/>
      <c r="M143" s="1443"/>
      <c r="N143" s="1443"/>
      <c r="O143" s="1443"/>
      <c r="P143" s="1443"/>
    </row>
    <row r="146" spans="3:16" x14ac:dyDescent="0.25">
      <c r="C146" s="1454"/>
      <c r="D146" s="1454"/>
      <c r="E146" s="1454"/>
      <c r="F146" s="1454"/>
      <c r="G146" s="1454"/>
      <c r="H146" s="1454"/>
      <c r="I146" s="1454"/>
      <c r="J146" s="1454"/>
      <c r="K146" s="1454"/>
      <c r="L146" s="1454"/>
      <c r="M146" s="1454"/>
      <c r="N146" s="1454"/>
      <c r="O146" s="1454"/>
      <c r="P146" s="1454"/>
    </row>
    <row r="147" spans="3:16" x14ac:dyDescent="0.25">
      <c r="C147" s="1443"/>
      <c r="D147" s="1443"/>
      <c r="E147" s="1443"/>
      <c r="F147" s="1443"/>
      <c r="G147" s="1443"/>
      <c r="H147" s="1443"/>
      <c r="I147" s="1443"/>
      <c r="J147" s="1443"/>
      <c r="K147" s="1443"/>
      <c r="L147" s="1443"/>
      <c r="M147" s="1443"/>
      <c r="N147" s="1443"/>
      <c r="O147" s="1443"/>
      <c r="P147" s="1443"/>
    </row>
    <row r="148" spans="3:16" x14ac:dyDescent="0.25">
      <c r="C148" s="1454"/>
      <c r="D148" s="1454"/>
      <c r="E148" s="1454"/>
      <c r="F148" s="1454"/>
      <c r="G148" s="1454"/>
      <c r="H148" s="1454"/>
      <c r="I148" s="1454"/>
      <c r="J148" s="1454"/>
      <c r="K148" s="1454"/>
      <c r="L148" s="1454"/>
      <c r="M148" s="1454"/>
      <c r="N148" s="1454"/>
      <c r="O148" s="1454"/>
      <c r="P148" s="1454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475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406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467" t="s">
        <v>194</v>
      </c>
      <c r="D40" s="1467"/>
      <c r="E40" s="1467"/>
      <c r="F40" s="1467"/>
      <c r="G40" s="1467"/>
      <c r="H40" s="1467"/>
      <c r="I40" s="1466">
        <f>SUM(I18:I39)</f>
        <v>951500</v>
      </c>
      <c r="J40" s="1468">
        <f>SUM(J18:J39)</f>
        <v>0</v>
      </c>
      <c r="K40" s="1466">
        <v>951500</v>
      </c>
      <c r="L40" s="1466">
        <v>27308.6</v>
      </c>
      <c r="M40" s="1466">
        <v>38960.6</v>
      </c>
      <c r="N40" s="1466">
        <f>SUM(N18:N39)</f>
        <v>28925.599999999999</v>
      </c>
      <c r="O40" s="1466">
        <f>SUM(O18:O39)</f>
        <v>550</v>
      </c>
      <c r="P40" s="1466">
        <v>95744.25</v>
      </c>
      <c r="Q40" s="1465">
        <f>SUM(Q18:Q39)</f>
        <v>855755.7799999998</v>
      </c>
    </row>
    <row r="41" spans="2:17" x14ac:dyDescent="0.25">
      <c r="C41" s="1467"/>
      <c r="D41" s="1467"/>
      <c r="E41" s="1467"/>
      <c r="F41" s="1467"/>
      <c r="G41" s="1467"/>
      <c r="H41" s="1467"/>
      <c r="I41" s="1466"/>
      <c r="J41" s="1468"/>
      <c r="K41" s="1466"/>
      <c r="L41" s="1466"/>
      <c r="M41" s="1466"/>
      <c r="N41" s="1466"/>
      <c r="O41" s="1466"/>
      <c r="P41" s="1466"/>
      <c r="Q41" s="1465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443" t="s">
        <v>196</v>
      </c>
      <c r="O44" s="1443"/>
      <c r="P44" s="1443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454" t="s">
        <v>198</v>
      </c>
      <c r="O47" s="1454"/>
      <c r="P47" s="1454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443" t="s">
        <v>253</v>
      </c>
      <c r="O48" s="1443"/>
      <c r="P48" s="1443"/>
    </row>
    <row r="49" spans="3:16" x14ac:dyDescent="0.25">
      <c r="C49" s="25" t="s">
        <v>201</v>
      </c>
      <c r="D49" s="25"/>
      <c r="E49" t="s">
        <v>254</v>
      </c>
      <c r="N49" s="1454" t="s">
        <v>202</v>
      </c>
      <c r="O49" s="1454"/>
      <c r="P49" s="1454"/>
    </row>
    <row r="52" spans="3:16" x14ac:dyDescent="0.25">
      <c r="C52" s="1443"/>
      <c r="D52" s="1443"/>
      <c r="E52" s="1443"/>
      <c r="F52" s="1443"/>
      <c r="G52" s="1443"/>
      <c r="H52" s="1443"/>
      <c r="I52" s="1443"/>
      <c r="J52" s="1443"/>
      <c r="K52" s="1443"/>
      <c r="L52" s="1443"/>
      <c r="M52" s="1443"/>
      <c r="N52" s="1443"/>
      <c r="O52" s="1443"/>
      <c r="P52" s="1443"/>
    </row>
    <row r="55" spans="3:16" x14ac:dyDescent="0.25">
      <c r="C55" s="1454"/>
      <c r="D55" s="1454"/>
      <c r="E55" s="1454"/>
      <c r="F55" s="1454"/>
      <c r="G55" s="1454"/>
      <c r="H55" s="1454"/>
      <c r="I55" s="1454"/>
      <c r="J55" s="1454"/>
      <c r="K55" s="1454"/>
      <c r="L55" s="1454"/>
      <c r="M55" s="1454"/>
      <c r="N55" s="1454"/>
      <c r="O55" s="1454"/>
      <c r="P55" s="1454"/>
    </row>
    <row r="56" spans="3:16" x14ac:dyDescent="0.25">
      <c r="C56" s="1443"/>
      <c r="D56" s="1443"/>
      <c r="E56" s="1443"/>
      <c r="F56" s="1443"/>
      <c r="G56" s="1443"/>
      <c r="H56" s="1443"/>
      <c r="I56" s="1443"/>
      <c r="J56" s="1443"/>
      <c r="K56" s="1443"/>
      <c r="L56" s="1443"/>
      <c r="M56" s="1443"/>
      <c r="N56" s="1443"/>
      <c r="O56" s="1443"/>
      <c r="P56" s="1443"/>
    </row>
    <row r="57" spans="3:16" x14ac:dyDescent="0.25">
      <c r="C57" s="1454"/>
      <c r="D57" s="1454"/>
      <c r="E57" s="1454"/>
      <c r="F57" s="1454"/>
      <c r="G57" s="1454"/>
      <c r="H57" s="1454"/>
      <c r="I57" s="1454"/>
      <c r="J57" s="1454"/>
      <c r="K57" s="1454"/>
      <c r="L57" s="1454"/>
      <c r="M57" s="1454"/>
      <c r="N57" s="1454"/>
      <c r="O57" s="1454"/>
      <c r="P57" s="1454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479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412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467" t="s">
        <v>194</v>
      </c>
      <c r="D23" s="1467"/>
      <c r="E23" s="1467"/>
      <c r="F23" s="1467"/>
      <c r="G23" s="1467"/>
      <c r="H23" s="1467"/>
      <c r="I23" s="1466">
        <f t="shared" ref="I23:Q23" si="0">SUM(I18:I22)</f>
        <v>203500</v>
      </c>
      <c r="J23" s="1468">
        <f t="shared" si="0"/>
        <v>0</v>
      </c>
      <c r="K23" s="1466">
        <f t="shared" si="0"/>
        <v>203500</v>
      </c>
      <c r="L23" s="1466">
        <f t="shared" si="0"/>
        <v>5840.45</v>
      </c>
      <c r="M23" s="1466">
        <f t="shared" si="0"/>
        <v>5783.34</v>
      </c>
      <c r="N23" s="1466">
        <f t="shared" si="0"/>
        <v>6186.4</v>
      </c>
      <c r="O23" s="1466">
        <f t="shared" si="0"/>
        <v>125</v>
      </c>
      <c r="P23" s="1466">
        <f t="shared" si="0"/>
        <v>17935.190000000002</v>
      </c>
      <c r="Q23" s="1465">
        <f t="shared" si="0"/>
        <v>185564.81</v>
      </c>
    </row>
    <row r="24" spans="2:17" x14ac:dyDescent="0.25">
      <c r="C24" s="1467"/>
      <c r="D24" s="1467"/>
      <c r="E24" s="1467"/>
      <c r="F24" s="1467"/>
      <c r="G24" s="1467"/>
      <c r="H24" s="1467"/>
      <c r="I24" s="1466"/>
      <c r="J24" s="1468"/>
      <c r="K24" s="1466"/>
      <c r="L24" s="1466"/>
      <c r="M24" s="1466"/>
      <c r="N24" s="1466"/>
      <c r="O24" s="1466"/>
      <c r="P24" s="1466"/>
      <c r="Q24" s="1465"/>
    </row>
    <row r="37" spans="3:16" x14ac:dyDescent="0.25">
      <c r="C37" s="24" t="s">
        <v>195</v>
      </c>
      <c r="D37" s="24"/>
      <c r="E37" s="5" t="s">
        <v>250</v>
      </c>
      <c r="N37" s="1443" t="s">
        <v>196</v>
      </c>
      <c r="O37" s="1443"/>
      <c r="P37" s="1443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454" t="s">
        <v>198</v>
      </c>
      <c r="O40" s="1454"/>
      <c r="P40" s="1454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443" t="s">
        <v>253</v>
      </c>
      <c r="O41" s="1443"/>
      <c r="P41" s="1443"/>
    </row>
    <row r="42" spans="3:16" x14ac:dyDescent="0.25">
      <c r="C42" s="25" t="s">
        <v>201</v>
      </c>
      <c r="D42" s="25"/>
      <c r="E42" t="s">
        <v>254</v>
      </c>
      <c r="N42" s="1454" t="s">
        <v>202</v>
      </c>
      <c r="O42" s="1454"/>
      <c r="P42" s="1454"/>
    </row>
    <row r="45" spans="3:16" x14ac:dyDescent="0.25">
      <c r="C45" s="1443"/>
      <c r="D45" s="1443"/>
      <c r="E45" s="1443"/>
      <c r="F45" s="1443"/>
      <c r="G45" s="1443"/>
      <c r="H45" s="1443"/>
      <c r="I45" s="1443"/>
      <c r="J45" s="1443"/>
      <c r="K45" s="1443"/>
      <c r="L45" s="1443"/>
      <c r="M45" s="1443"/>
      <c r="N45" s="1443"/>
      <c r="O45" s="1443"/>
      <c r="P45" s="1443"/>
    </row>
    <row r="48" spans="3:16" x14ac:dyDescent="0.25">
      <c r="C48" s="1454"/>
      <c r="D48" s="1454"/>
      <c r="E48" s="1454"/>
      <c r="F48" s="1454"/>
      <c r="G48" s="1454"/>
      <c r="H48" s="1454"/>
      <c r="I48" s="1454"/>
      <c r="J48" s="1454"/>
      <c r="K48" s="1454"/>
      <c r="L48" s="1454"/>
      <c r="M48" s="1454"/>
      <c r="N48" s="1454"/>
      <c r="O48" s="1454"/>
      <c r="P48" s="1454"/>
    </row>
    <row r="49" spans="3:16" x14ac:dyDescent="0.25">
      <c r="C49" s="1443"/>
      <c r="D49" s="1443"/>
      <c r="E49" s="1443"/>
      <c r="F49" s="1443"/>
      <c r="G49" s="1443"/>
      <c r="H49" s="1443"/>
      <c r="I49" s="1443"/>
      <c r="J49" s="1443"/>
      <c r="K49" s="1443"/>
      <c r="L49" s="1443"/>
      <c r="M49" s="1443"/>
      <c r="N49" s="1443"/>
      <c r="O49" s="1443"/>
      <c r="P49" s="1443"/>
    </row>
    <row r="50" spans="3:16" x14ac:dyDescent="0.25">
      <c r="C50" s="1454"/>
      <c r="D50" s="1454"/>
      <c r="E50" s="1454"/>
      <c r="F50" s="1454"/>
      <c r="G50" s="1454"/>
      <c r="H50" s="1454"/>
      <c r="I50" s="1454"/>
      <c r="J50" s="1454"/>
      <c r="K50" s="1454"/>
      <c r="L50" s="1454"/>
      <c r="M50" s="1454"/>
      <c r="N50" s="1454"/>
      <c r="O50" s="1454"/>
      <c r="P50" s="1454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480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406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467" t="s">
        <v>194</v>
      </c>
      <c r="D40" s="1467"/>
      <c r="E40" s="1467"/>
      <c r="F40" s="1467"/>
      <c r="G40" s="1467"/>
      <c r="H40" s="1467"/>
      <c r="I40" s="1466">
        <f>SUM(I18:I39)</f>
        <v>951500</v>
      </c>
      <c r="J40" s="1468">
        <f>SUM(J18:J39)</f>
        <v>0</v>
      </c>
      <c r="K40" s="1466">
        <v>951500</v>
      </c>
      <c r="L40" s="1466">
        <v>27308.6</v>
      </c>
      <c r="M40" s="1466">
        <v>38960.6</v>
      </c>
      <c r="N40" s="1466">
        <f>SUM(N18:N39)</f>
        <v>28925.599999999999</v>
      </c>
      <c r="O40" s="1466">
        <f>SUM(O18:O39)</f>
        <v>550</v>
      </c>
      <c r="P40" s="1466">
        <v>95744.25</v>
      </c>
      <c r="Q40" s="1465">
        <f>SUM(Q18:Q39)</f>
        <v>855755.7799999998</v>
      </c>
    </row>
    <row r="41" spans="2:17" x14ac:dyDescent="0.25">
      <c r="C41" s="1467"/>
      <c r="D41" s="1467"/>
      <c r="E41" s="1467"/>
      <c r="F41" s="1467"/>
      <c r="G41" s="1467"/>
      <c r="H41" s="1467"/>
      <c r="I41" s="1466"/>
      <c r="J41" s="1468"/>
      <c r="K41" s="1466"/>
      <c r="L41" s="1466"/>
      <c r="M41" s="1466"/>
      <c r="N41" s="1466"/>
      <c r="O41" s="1466"/>
      <c r="P41" s="1466"/>
      <c r="Q41" s="1465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443" t="s">
        <v>196</v>
      </c>
      <c r="O44" s="1443"/>
      <c r="P44" s="1443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454" t="s">
        <v>198</v>
      </c>
      <c r="O47" s="1454"/>
      <c r="P47" s="1454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443" t="s">
        <v>253</v>
      </c>
      <c r="O48" s="1443"/>
      <c r="P48" s="1443"/>
    </row>
    <row r="49" spans="3:16" x14ac:dyDescent="0.25">
      <c r="C49" s="25" t="s">
        <v>201</v>
      </c>
      <c r="D49" s="25"/>
      <c r="E49" t="s">
        <v>254</v>
      </c>
      <c r="N49" s="1454" t="s">
        <v>202</v>
      </c>
      <c r="O49" s="1454"/>
      <c r="P49" s="1454"/>
    </row>
    <row r="52" spans="3:16" x14ac:dyDescent="0.25">
      <c r="C52" s="1443"/>
      <c r="D52" s="1443"/>
      <c r="E52" s="1443"/>
      <c r="F52" s="1443"/>
      <c r="G52" s="1443"/>
      <c r="H52" s="1443"/>
      <c r="I52" s="1443"/>
      <c r="J52" s="1443"/>
      <c r="K52" s="1443"/>
      <c r="L52" s="1443"/>
      <c r="M52" s="1443"/>
      <c r="N52" s="1443"/>
      <c r="O52" s="1443"/>
      <c r="P52" s="1443"/>
    </row>
    <row r="55" spans="3:16" x14ac:dyDescent="0.25">
      <c r="C55" s="1454"/>
      <c r="D55" s="1454"/>
      <c r="E55" s="1454"/>
      <c r="F55" s="1454"/>
      <c r="G55" s="1454"/>
      <c r="H55" s="1454"/>
      <c r="I55" s="1454"/>
      <c r="J55" s="1454"/>
      <c r="K55" s="1454"/>
      <c r="L55" s="1454"/>
      <c r="M55" s="1454"/>
      <c r="N55" s="1454"/>
      <c r="O55" s="1454"/>
      <c r="P55" s="1454"/>
    </row>
    <row r="56" spans="3:16" x14ac:dyDescent="0.25">
      <c r="C56" s="1443"/>
      <c r="D56" s="1443"/>
      <c r="E56" s="1443"/>
      <c r="F56" s="1443"/>
      <c r="G56" s="1443"/>
      <c r="H56" s="1443"/>
      <c r="I56" s="1443"/>
      <c r="J56" s="1443"/>
      <c r="K56" s="1443"/>
      <c r="L56" s="1443"/>
      <c r="M56" s="1443"/>
      <c r="N56" s="1443"/>
      <c r="O56" s="1443"/>
      <c r="P56" s="1443"/>
    </row>
    <row r="57" spans="3:16" x14ac:dyDescent="0.25">
      <c r="C57" s="1454"/>
      <c r="D57" s="1454"/>
      <c r="E57" s="1454"/>
      <c r="F57" s="1454"/>
      <c r="G57" s="1454"/>
      <c r="H57" s="1454"/>
      <c r="I57" s="1454"/>
      <c r="J57" s="1454"/>
      <c r="K57" s="1454"/>
      <c r="L57" s="1454"/>
      <c r="M57" s="1454"/>
      <c r="N57" s="1454"/>
      <c r="O57" s="1454"/>
      <c r="P57" s="1454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43" t="s">
        <v>0</v>
      </c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</row>
    <row r="8" spans="1:14" x14ac:dyDescent="0.25">
      <c r="B8" s="1443" t="s">
        <v>1</v>
      </c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</row>
    <row r="9" spans="1:14" x14ac:dyDescent="0.25">
      <c r="B9" s="1444" t="s">
        <v>402</v>
      </c>
      <c r="C9" s="1444"/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443" t="s">
        <v>3</v>
      </c>
      <c r="C11" s="1443"/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</row>
    <row r="12" spans="1:14" x14ac:dyDescent="0.25">
      <c r="B12" s="1443" t="s">
        <v>481</v>
      </c>
      <c r="C12" s="1443"/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</row>
    <row r="13" spans="1:14" x14ac:dyDescent="0.25">
      <c r="B13" s="1442" t="s">
        <v>5</v>
      </c>
      <c r="C13" s="1442"/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46" t="s">
        <v>6</v>
      </c>
      <c r="B15" s="1447" t="s">
        <v>7</v>
      </c>
      <c r="C15" s="1447" t="s">
        <v>8</v>
      </c>
      <c r="D15" s="1447" t="s">
        <v>10</v>
      </c>
      <c r="E15" s="1451" t="s">
        <v>11</v>
      </c>
      <c r="F15" s="37" t="s">
        <v>12</v>
      </c>
      <c r="G15" s="1450" t="s">
        <v>13</v>
      </c>
      <c r="H15" s="1447" t="s">
        <v>14</v>
      </c>
      <c r="I15" s="1447" t="s">
        <v>15</v>
      </c>
      <c r="J15" s="1447" t="s">
        <v>16</v>
      </c>
      <c r="K15" s="1447" t="s">
        <v>17</v>
      </c>
      <c r="L15" s="1447" t="s">
        <v>18</v>
      </c>
      <c r="M15" s="1447" t="s">
        <v>19</v>
      </c>
      <c r="N15" s="1448" t="s">
        <v>20</v>
      </c>
    </row>
    <row r="16" spans="1:14" x14ac:dyDescent="0.25">
      <c r="A16" s="1446"/>
      <c r="B16" s="1447"/>
      <c r="C16" s="1447"/>
      <c r="D16" s="1447"/>
      <c r="E16" s="1451"/>
      <c r="F16" s="38" t="s">
        <v>21</v>
      </c>
      <c r="G16" s="1450"/>
      <c r="H16" s="1447"/>
      <c r="I16" s="1447"/>
      <c r="J16" s="1447"/>
      <c r="K16" s="1447"/>
      <c r="L16" s="1447"/>
      <c r="M16" s="1447"/>
      <c r="N16" s="1448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471" t="s">
        <v>194</v>
      </c>
      <c r="C31" s="1471"/>
      <c r="D31" s="1471"/>
      <c r="E31" s="1471"/>
      <c r="F31" s="1469">
        <v>147000</v>
      </c>
      <c r="G31" s="1470">
        <v>0</v>
      </c>
      <c r="H31" s="1469">
        <v>147000</v>
      </c>
      <c r="I31" s="1470">
        <v>0</v>
      </c>
      <c r="J31" s="1470">
        <v>0</v>
      </c>
      <c r="K31" s="1470">
        <v>0</v>
      </c>
      <c r="L31" s="1470">
        <v>0</v>
      </c>
      <c r="M31" s="1470">
        <v>0</v>
      </c>
      <c r="N31" s="1469">
        <v>147000</v>
      </c>
    </row>
    <row r="32" spans="1:14" x14ac:dyDescent="0.25">
      <c r="B32" s="1471"/>
      <c r="C32" s="1471"/>
      <c r="D32" s="1471"/>
      <c r="E32" s="1471"/>
      <c r="F32" s="1469"/>
      <c r="G32" s="1470"/>
      <c r="H32" s="1469"/>
      <c r="I32" s="1470"/>
      <c r="J32" s="1470"/>
      <c r="K32" s="1470"/>
      <c r="L32" s="1470"/>
      <c r="M32" s="1470"/>
      <c r="N32" s="1469"/>
    </row>
    <row r="42" spans="1:14" x14ac:dyDescent="0.25">
      <c r="A42" s="24" t="s">
        <v>257</v>
      </c>
      <c r="B42" s="24"/>
      <c r="C42" s="5" t="s">
        <v>258</v>
      </c>
      <c r="L42" s="1443" t="s">
        <v>196</v>
      </c>
      <c r="M42" s="1443"/>
      <c r="N42" s="1443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454" t="s">
        <v>198</v>
      </c>
      <c r="M45" s="1454"/>
      <c r="N45" s="1454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443" t="s">
        <v>253</v>
      </c>
      <c r="M46" s="1443"/>
      <c r="N46" s="1443"/>
    </row>
    <row r="47" spans="1:14" x14ac:dyDescent="0.25">
      <c r="A47" s="25" t="s">
        <v>263</v>
      </c>
      <c r="B47" s="25"/>
      <c r="C47" t="s">
        <v>264</v>
      </c>
      <c r="L47" s="1454" t="s">
        <v>202</v>
      </c>
      <c r="M47" s="1454"/>
      <c r="N47" s="1454"/>
    </row>
    <row r="52" spans="1:14" x14ac:dyDescent="0.25">
      <c r="A52" s="1454"/>
      <c r="B52" s="1454"/>
      <c r="C52" s="1454"/>
      <c r="D52" s="1454"/>
      <c r="E52" s="1454"/>
      <c r="F52" s="1454"/>
      <c r="G52" s="1454"/>
      <c r="H52" s="1454"/>
      <c r="I52" s="1454"/>
      <c r="J52" s="1454"/>
      <c r="K52" s="1454"/>
      <c r="L52" s="1454"/>
      <c r="M52" s="1454"/>
      <c r="N52" s="1454"/>
    </row>
    <row r="53" spans="1:14" x14ac:dyDescent="0.25">
      <c r="A53" s="1443"/>
      <c r="B53" s="1443"/>
      <c r="C53" s="1443"/>
      <c r="D53" s="1443"/>
      <c r="E53" s="1443"/>
      <c r="F53" s="1443"/>
      <c r="G53" s="1443"/>
      <c r="H53" s="1443"/>
      <c r="I53" s="1443"/>
      <c r="J53" s="1443"/>
      <c r="K53" s="1443"/>
      <c r="L53" s="1443"/>
      <c r="M53" s="1443"/>
      <c r="N53" s="1443"/>
    </row>
    <row r="54" spans="1:14" x14ac:dyDescent="0.25">
      <c r="A54" s="1454"/>
      <c r="B54" s="1454"/>
      <c r="C54" s="1454"/>
      <c r="D54" s="1454"/>
      <c r="E54" s="1454"/>
      <c r="F54" s="1454"/>
      <c r="G54" s="1454"/>
      <c r="H54" s="1454"/>
      <c r="I54" s="1454"/>
      <c r="J54" s="1454"/>
      <c r="K54" s="1454"/>
      <c r="L54" s="1454"/>
      <c r="M54" s="1454"/>
      <c r="N54" s="1454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482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441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472" t="s">
        <v>194</v>
      </c>
      <c r="D21" s="1472"/>
      <c r="E21" s="1472"/>
      <c r="F21" s="1472"/>
      <c r="G21" s="1472"/>
      <c r="H21" s="1472"/>
      <c r="I21" s="1466">
        <f>SUM(I18:I20)</f>
        <v>125000</v>
      </c>
      <c r="J21" s="1468">
        <f>SUM(J18:J20)</f>
        <v>0</v>
      </c>
      <c r="K21" s="1466">
        <v>125000</v>
      </c>
      <c r="L21" s="1466">
        <v>3587.5</v>
      </c>
      <c r="M21" s="1466">
        <v>7400.87</v>
      </c>
      <c r="N21" s="1466">
        <v>3800</v>
      </c>
      <c r="O21" s="1466">
        <f>SUM(O18:O20)</f>
        <v>75</v>
      </c>
      <c r="P21" s="1466">
        <v>14863.37</v>
      </c>
      <c r="Q21" s="1465">
        <f>SUM(Q18:Q20)</f>
        <v>110136.63</v>
      </c>
    </row>
    <row r="22" spans="2:17" x14ac:dyDescent="0.25">
      <c r="C22" s="1472"/>
      <c r="D22" s="1472"/>
      <c r="E22" s="1472"/>
      <c r="F22" s="1472"/>
      <c r="G22" s="1472"/>
      <c r="H22" s="1472"/>
      <c r="I22" s="1466"/>
      <c r="J22" s="1468"/>
      <c r="K22" s="1466"/>
      <c r="L22" s="1466"/>
      <c r="M22" s="1466"/>
      <c r="N22" s="1466"/>
      <c r="O22" s="1466"/>
      <c r="P22" s="1466"/>
      <c r="Q22" s="1465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443" t="s">
        <v>196</v>
      </c>
      <c r="O32" s="1443"/>
      <c r="P32" s="1443"/>
    </row>
    <row r="35" spans="3:16" x14ac:dyDescent="0.25">
      <c r="C35" s="25" t="s">
        <v>197</v>
      </c>
      <c r="D35" s="25"/>
      <c r="E35" t="s">
        <v>251</v>
      </c>
      <c r="N35" s="1454" t="s">
        <v>198</v>
      </c>
      <c r="O35" s="1454"/>
      <c r="P35" s="1454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443" t="s">
        <v>253</v>
      </c>
      <c r="O36" s="1443"/>
      <c r="P36" s="1443"/>
    </row>
    <row r="37" spans="3:16" x14ac:dyDescent="0.25">
      <c r="C37" s="25" t="s">
        <v>201</v>
      </c>
      <c r="D37" s="25"/>
      <c r="E37" t="s">
        <v>254</v>
      </c>
      <c r="N37" s="1454" t="s">
        <v>202</v>
      </c>
      <c r="O37" s="1454"/>
      <c r="P37" s="1454"/>
    </row>
    <row r="40" spans="3:16" x14ac:dyDescent="0.25">
      <c r="C40" s="1443"/>
      <c r="D40" s="1443"/>
      <c r="E40" s="1443"/>
      <c r="F40" s="1443"/>
      <c r="G40" s="1443"/>
      <c r="H40" s="1443"/>
      <c r="I40" s="1443"/>
      <c r="J40" s="1443"/>
      <c r="K40" s="1443"/>
      <c r="L40" s="1443"/>
      <c r="M40" s="1443"/>
      <c r="N40" s="1443"/>
      <c r="O40" s="1443"/>
      <c r="P40" s="1443"/>
    </row>
    <row r="43" spans="3:16" x14ac:dyDescent="0.25">
      <c r="C43" s="1454"/>
      <c r="D43" s="1454"/>
      <c r="E43" s="1454"/>
      <c r="F43" s="1454"/>
      <c r="G43" s="1454"/>
      <c r="H43" s="1454"/>
      <c r="I43" s="1454"/>
      <c r="J43" s="1454"/>
      <c r="K43" s="1454"/>
      <c r="L43" s="1454"/>
      <c r="M43" s="1454"/>
      <c r="N43" s="1454"/>
      <c r="O43" s="1454"/>
      <c r="P43" s="1454"/>
    </row>
    <row r="44" spans="3:16" x14ac:dyDescent="0.25">
      <c r="C44" s="1443"/>
      <c r="D44" s="1443"/>
      <c r="E44" s="1443"/>
      <c r="F44" s="1443"/>
      <c r="G44" s="1443"/>
      <c r="H44" s="1443"/>
      <c r="I44" s="1443"/>
      <c r="J44" s="1443"/>
      <c r="K44" s="1443"/>
      <c r="L44" s="1443"/>
      <c r="M44" s="1443"/>
      <c r="N44" s="1443"/>
      <c r="O44" s="1443"/>
      <c r="P44" s="1443"/>
    </row>
    <row r="45" spans="3:16" x14ac:dyDescent="0.25">
      <c r="C45" s="1454"/>
      <c r="D45" s="1454"/>
      <c r="E45" s="1454"/>
      <c r="F45" s="1454"/>
      <c r="G45" s="1454"/>
      <c r="H45" s="1454"/>
      <c r="I45" s="1454"/>
      <c r="J45" s="1454"/>
      <c r="K45" s="1454"/>
      <c r="L45" s="1454"/>
      <c r="M45" s="1454"/>
      <c r="N45" s="1454"/>
      <c r="O45" s="1454"/>
      <c r="P45" s="1454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443" t="s">
        <v>0</v>
      </c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  <c r="O6" s="1443"/>
      <c r="P6" s="1443"/>
      <c r="Q6" s="1443"/>
    </row>
    <row r="7" spans="2:17" x14ac:dyDescent="0.25">
      <c r="C7" s="1443" t="s">
        <v>1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4" t="s">
        <v>402</v>
      </c>
      <c r="D8" s="1444"/>
      <c r="E8" s="1444"/>
      <c r="F8" s="1444"/>
      <c r="G8" s="1444"/>
      <c r="H8" s="1444"/>
      <c r="I8" s="1444"/>
      <c r="J8" s="1444"/>
      <c r="K8" s="1444"/>
      <c r="L8" s="1444"/>
      <c r="M8" s="1444"/>
      <c r="N8" s="1444"/>
      <c r="O8" s="1444"/>
      <c r="P8" s="1444"/>
      <c r="Q8" s="144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443" t="s">
        <v>3</v>
      </c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  <c r="P10" s="1443"/>
      <c r="Q10" s="1443"/>
    </row>
    <row r="11" spans="2:17" x14ac:dyDescent="0.25">
      <c r="C11" s="1443" t="s">
        <v>483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2" t="s">
        <v>404</v>
      </c>
      <c r="D12" s="1442"/>
      <c r="E12" s="1442"/>
      <c r="F12" s="1442"/>
      <c r="G12" s="1442"/>
      <c r="H12" s="1442"/>
      <c r="I12" s="1442"/>
      <c r="J12" s="1442"/>
      <c r="K12" s="1442"/>
      <c r="L12" s="1442"/>
      <c r="M12" s="1442"/>
      <c r="N12" s="1442"/>
      <c r="O12" s="1442"/>
      <c r="P12" s="1442"/>
      <c r="Q12" s="1442"/>
    </row>
    <row r="14" spans="2:17" x14ac:dyDescent="0.25">
      <c r="B14" s="1458" t="s">
        <v>6</v>
      </c>
      <c r="C14" s="1459" t="s">
        <v>7</v>
      </c>
      <c r="D14" s="1459" t="s">
        <v>8</v>
      </c>
      <c r="E14" s="1459" t="s">
        <v>9</v>
      </c>
      <c r="F14" s="1459" t="s">
        <v>10</v>
      </c>
      <c r="G14" s="1461" t="s">
        <v>11</v>
      </c>
      <c r="H14" s="1459" t="s">
        <v>11</v>
      </c>
      <c r="I14" s="51" t="s">
        <v>12</v>
      </c>
      <c r="J14" s="1460" t="s">
        <v>13</v>
      </c>
      <c r="K14" s="1459" t="s">
        <v>14</v>
      </c>
      <c r="L14" s="1459" t="s">
        <v>15</v>
      </c>
      <c r="M14" s="1459" t="s">
        <v>16</v>
      </c>
      <c r="N14" s="1459" t="s">
        <v>17</v>
      </c>
      <c r="O14" s="1459" t="s">
        <v>18</v>
      </c>
      <c r="P14" s="1459" t="s">
        <v>19</v>
      </c>
      <c r="Q14" s="1462" t="s">
        <v>20</v>
      </c>
    </row>
    <row r="15" spans="2:17" x14ac:dyDescent="0.25">
      <c r="B15" s="1458"/>
      <c r="C15" s="1459"/>
      <c r="D15" s="1459"/>
      <c r="E15" s="1459"/>
      <c r="F15" s="1459"/>
      <c r="G15" s="1461"/>
      <c r="H15" s="1459"/>
      <c r="I15" s="52" t="s">
        <v>21</v>
      </c>
      <c r="J15" s="1460"/>
      <c r="K15" s="1459"/>
      <c r="L15" s="1459"/>
      <c r="M15" s="1459"/>
      <c r="N15" s="1459"/>
      <c r="O15" s="1459"/>
      <c r="P15" s="1459"/>
      <c r="Q15" s="1462"/>
    </row>
    <row r="17" spans="2:17" x14ac:dyDescent="0.25">
      <c r="B17" s="53">
        <v>1</v>
      </c>
      <c r="C17" s="54" t="s">
        <v>22</v>
      </c>
      <c r="D17" s="7" t="s">
        <v>23</v>
      </c>
      <c r="E17" s="1449" t="s">
        <v>24</v>
      </c>
      <c r="F17" s="1449"/>
      <c r="G17" s="1449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445" t="s">
        <v>30</v>
      </c>
      <c r="F18" s="1445" t="s">
        <v>31</v>
      </c>
      <c r="G18" s="144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445" t="s">
        <v>36</v>
      </c>
      <c r="F19" s="1445" t="s">
        <v>37</v>
      </c>
      <c r="G19" s="1445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445" t="s">
        <v>40</v>
      </c>
      <c r="F22" s="1445" t="s">
        <v>41</v>
      </c>
      <c r="G22" s="1445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445" t="s">
        <v>44</v>
      </c>
      <c r="F23" s="1445" t="s">
        <v>45</v>
      </c>
      <c r="G23" s="1445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445" t="s">
        <v>49</v>
      </c>
      <c r="F24" s="1445" t="s">
        <v>50</v>
      </c>
      <c r="G24" s="1445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445" t="s">
        <v>53</v>
      </c>
      <c r="F25" s="1445" t="s">
        <v>54</v>
      </c>
      <c r="G25" s="1445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445" t="s">
        <v>427</v>
      </c>
      <c r="F26" s="1445" t="s">
        <v>57</v>
      </c>
      <c r="G26" s="1445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445" t="s">
        <v>53</v>
      </c>
      <c r="F27" s="1445" t="s">
        <v>60</v>
      </c>
      <c r="G27" s="1445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445" t="s">
        <v>63</v>
      </c>
      <c r="F28" s="1445" t="s">
        <v>64</v>
      </c>
      <c r="G28" s="1445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445" t="s">
        <v>67</v>
      </c>
      <c r="F29" s="1445" t="s">
        <v>68</v>
      </c>
      <c r="G29" s="1445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445" t="s">
        <v>71</v>
      </c>
      <c r="F30" s="1445" t="s">
        <v>72</v>
      </c>
      <c r="G30" s="1445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445" t="s">
        <v>75</v>
      </c>
      <c r="F31" s="1445" t="s">
        <v>76</v>
      </c>
      <c r="G31" s="1445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445" t="s">
        <v>78</v>
      </c>
      <c r="F32" s="1445" t="s">
        <v>79</v>
      </c>
      <c r="G32" s="1445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445" t="s">
        <v>82</v>
      </c>
      <c r="F33" s="1445" t="s">
        <v>83</v>
      </c>
      <c r="G33" s="1445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445" t="s">
        <v>85</v>
      </c>
      <c r="F34" s="1445" t="s">
        <v>86</v>
      </c>
      <c r="G34" s="1445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445" t="s">
        <v>89</v>
      </c>
      <c r="F35" s="1445" t="s">
        <v>90</v>
      </c>
      <c r="G35" s="1445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445" t="s">
        <v>92</v>
      </c>
      <c r="F36" s="1445" t="s">
        <v>93</v>
      </c>
      <c r="G36" s="1445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445" t="s">
        <v>71</v>
      </c>
      <c r="F37" s="1445" t="s">
        <v>95</v>
      </c>
      <c r="G37" s="1445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445" t="s">
        <v>97</v>
      </c>
      <c r="F38" s="1445" t="s">
        <v>98</v>
      </c>
      <c r="G38" s="1445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445" t="s">
        <v>92</v>
      </c>
      <c r="F39" s="1445" t="s">
        <v>100</v>
      </c>
      <c r="G39" s="1445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445" t="s">
        <v>102</v>
      </c>
      <c r="F40" s="1445" t="s">
        <v>103</v>
      </c>
      <c r="G40" s="1445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445" t="s">
        <v>105</v>
      </c>
      <c r="F41" s="1445" t="s">
        <v>106</v>
      </c>
      <c r="G41" s="1445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445" t="s">
        <v>105</v>
      </c>
      <c r="F42" s="1445" t="s">
        <v>108</v>
      </c>
      <c r="G42" s="1445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445" t="s">
        <v>78</v>
      </c>
      <c r="F43" s="1445" t="s">
        <v>115</v>
      </c>
      <c r="G43" s="1445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445" t="s">
        <v>117</v>
      </c>
      <c r="F44" s="1445" t="s">
        <v>118</v>
      </c>
      <c r="G44" s="1445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445" t="s">
        <v>120</v>
      </c>
      <c r="F45" s="1445" t="s">
        <v>121</v>
      </c>
      <c r="G45" s="1445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445" t="s">
        <v>49</v>
      </c>
      <c r="F46" s="1445" t="s">
        <v>123</v>
      </c>
      <c r="G46" s="1445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445" t="s">
        <v>125</v>
      </c>
      <c r="F47" s="1445" t="s">
        <v>126</v>
      </c>
      <c r="G47" s="1445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445" t="s">
        <v>105</v>
      </c>
      <c r="F48" s="1445" t="s">
        <v>128</v>
      </c>
      <c r="G48" s="1445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445" t="s">
        <v>102</v>
      </c>
      <c r="F49" s="1445" t="s">
        <v>130</v>
      </c>
      <c r="G49" s="1445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445" t="s">
        <v>132</v>
      </c>
      <c r="F50" s="1445" t="s">
        <v>133</v>
      </c>
      <c r="G50" s="1445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445" t="s">
        <v>117</v>
      </c>
      <c r="F51" s="1445" t="s">
        <v>135</v>
      </c>
      <c r="G51" s="1445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445" t="s">
        <v>85</v>
      </c>
      <c r="F52" s="1445" t="s">
        <v>137</v>
      </c>
      <c r="G52" s="1445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445" t="s">
        <v>139</v>
      </c>
      <c r="F53" s="1445" t="s">
        <v>140</v>
      </c>
      <c r="G53" s="1445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445" t="s">
        <v>148</v>
      </c>
      <c r="F54" s="1445" t="s">
        <v>149</v>
      </c>
      <c r="G54" s="1445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445" t="s">
        <v>151</v>
      </c>
      <c r="F55" s="1445" t="s">
        <v>152</v>
      </c>
      <c r="G55" s="1445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445" t="s">
        <v>157</v>
      </c>
      <c r="F56" s="1445" t="s">
        <v>158</v>
      </c>
      <c r="G56" s="1445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445" t="s">
        <v>160</v>
      </c>
      <c r="F58" s="1445" t="s">
        <v>161</v>
      </c>
      <c r="G58" s="1445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445" t="s">
        <v>163</v>
      </c>
      <c r="F59" s="1445" t="s">
        <v>164</v>
      </c>
      <c r="G59" s="1445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445" t="s">
        <v>92</v>
      </c>
      <c r="F62" s="1445" t="s">
        <v>168</v>
      </c>
      <c r="G62" s="1445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445" t="s">
        <v>276</v>
      </c>
      <c r="F63" s="1445" t="s">
        <v>170</v>
      </c>
      <c r="G63" s="1445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445" t="s">
        <v>40</v>
      </c>
      <c r="F67" s="1445" t="s">
        <v>172</v>
      </c>
      <c r="G67" s="1445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445" t="s">
        <v>92</v>
      </c>
      <c r="F72" s="1445"/>
      <c r="G72" s="1445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445" t="s">
        <v>276</v>
      </c>
      <c r="F77" s="1445"/>
      <c r="G77" s="1445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445" t="s">
        <v>30</v>
      </c>
      <c r="F78" s="1445" t="s">
        <v>31</v>
      </c>
      <c r="G78" s="1445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445" t="s">
        <v>30</v>
      </c>
      <c r="F79" s="1445" t="s">
        <v>31</v>
      </c>
      <c r="G79" s="1445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445" t="s">
        <v>30</v>
      </c>
      <c r="F80" s="1445" t="s">
        <v>31</v>
      </c>
      <c r="G80" s="1445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445" t="s">
        <v>92</v>
      </c>
      <c r="F87" s="1445" t="s">
        <v>176</v>
      </c>
      <c r="G87" s="1445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445" t="s">
        <v>178</v>
      </c>
      <c r="F88" s="1445" t="s">
        <v>179</v>
      </c>
      <c r="G88" s="1445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463" t="s">
        <v>92</v>
      </c>
      <c r="F89" s="1463" t="s">
        <v>193</v>
      </c>
      <c r="G89" s="1463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445" t="s">
        <v>44</v>
      </c>
      <c r="F132" s="1445" t="s">
        <v>45</v>
      </c>
      <c r="G132" s="1445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464" t="s">
        <v>288</v>
      </c>
      <c r="D135" s="1464"/>
      <c r="E135" s="1464"/>
      <c r="F135" s="1464"/>
      <c r="G135" s="1464"/>
      <c r="H135" s="1464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443" t="s">
        <v>196</v>
      </c>
      <c r="O137" s="1443"/>
      <c r="P137" s="1443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454" t="s">
        <v>198</v>
      </c>
      <c r="O139" s="1454"/>
      <c r="P139" s="1454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443" t="s">
        <v>253</v>
      </c>
      <c r="O140" s="1443"/>
      <c r="P140" s="1443"/>
    </row>
    <row r="141" spans="2:17" x14ac:dyDescent="0.25">
      <c r="C141" s="25" t="s">
        <v>201</v>
      </c>
      <c r="D141" s="25"/>
      <c r="E141" t="s">
        <v>254</v>
      </c>
      <c r="N141" s="1454" t="s">
        <v>202</v>
      </c>
      <c r="O141" s="1454"/>
      <c r="P141" s="1454"/>
    </row>
    <row r="144" spans="2:17" x14ac:dyDescent="0.25">
      <c r="C144" s="1443"/>
      <c r="D144" s="1443"/>
      <c r="E144" s="1443"/>
      <c r="F144" s="1443"/>
      <c r="G144" s="1443"/>
      <c r="H144" s="1443"/>
      <c r="I144" s="1443"/>
      <c r="J144" s="1443"/>
      <c r="K144" s="1443"/>
      <c r="L144" s="1443"/>
      <c r="M144" s="1443"/>
      <c r="N144" s="1443"/>
      <c r="O144" s="1443"/>
      <c r="P144" s="1443"/>
    </row>
    <row r="147" spans="3:16" x14ac:dyDescent="0.25">
      <c r="C147" s="1454"/>
      <c r="D147" s="1454"/>
      <c r="E147" s="1454"/>
      <c r="F147" s="1454"/>
      <c r="G147" s="1454"/>
      <c r="H147" s="1454"/>
      <c r="I147" s="1454"/>
      <c r="J147" s="1454"/>
      <c r="K147" s="1454"/>
      <c r="L147" s="1454"/>
      <c r="M147" s="1454"/>
      <c r="N147" s="1454"/>
      <c r="O147" s="1454"/>
      <c r="P147" s="1454"/>
    </row>
    <row r="148" spans="3:16" x14ac:dyDescent="0.25">
      <c r="C148" s="1443"/>
      <c r="D148" s="1443"/>
      <c r="E148" s="1443"/>
      <c r="F148" s="1443"/>
      <c r="G148" s="1443"/>
      <c r="H148" s="1443"/>
      <c r="I148" s="1443"/>
      <c r="J148" s="1443"/>
      <c r="K148" s="1443"/>
      <c r="L148" s="1443"/>
      <c r="M148" s="1443"/>
      <c r="N148" s="1443"/>
      <c r="O148" s="1443"/>
      <c r="P148" s="1443"/>
    </row>
    <row r="149" spans="3:16" x14ac:dyDescent="0.25">
      <c r="C149" s="1454"/>
      <c r="D149" s="1454"/>
      <c r="E149" s="1454"/>
      <c r="F149" s="1454"/>
      <c r="G149" s="1454"/>
      <c r="H149" s="1454"/>
      <c r="I149" s="1454"/>
      <c r="J149" s="1454"/>
      <c r="K149" s="1454"/>
      <c r="L149" s="1454"/>
      <c r="M149" s="1454"/>
      <c r="N149" s="1454"/>
      <c r="O149" s="1454"/>
      <c r="P149" s="1454"/>
    </row>
  </sheetData>
  <sheetProtection selectLockedCells="1" selectUnlockedCells="1"/>
  <mergeCells count="82"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443" t="s">
        <v>0</v>
      </c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  <c r="O6" s="1443"/>
      <c r="P6" s="1443"/>
      <c r="Q6" s="1443"/>
    </row>
    <row r="7" spans="2:17" x14ac:dyDescent="0.25">
      <c r="C7" s="1443" t="s">
        <v>1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4" t="s">
        <v>402</v>
      </c>
      <c r="D8" s="1444"/>
      <c r="E8" s="1444"/>
      <c r="F8" s="1444"/>
      <c r="G8" s="1444"/>
      <c r="H8" s="1444"/>
      <c r="I8" s="1444"/>
      <c r="J8" s="1444"/>
      <c r="K8" s="1444"/>
      <c r="L8" s="1444"/>
      <c r="M8" s="1444"/>
      <c r="N8" s="1444"/>
      <c r="O8" s="1444"/>
      <c r="P8" s="1444"/>
      <c r="Q8" s="144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443" t="s">
        <v>3</v>
      </c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  <c r="P10" s="1443"/>
      <c r="Q10" s="1443"/>
    </row>
    <row r="11" spans="2:17" x14ac:dyDescent="0.25">
      <c r="C11" s="1443" t="s">
        <v>487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2" t="s">
        <v>404</v>
      </c>
      <c r="D12" s="1442"/>
      <c r="E12" s="1442"/>
      <c r="F12" s="1442"/>
      <c r="G12" s="1442"/>
      <c r="H12" s="1442"/>
      <c r="I12" s="1442"/>
      <c r="J12" s="1442"/>
      <c r="K12" s="1442"/>
      <c r="L12" s="1442"/>
      <c r="M12" s="1442"/>
      <c r="N12" s="1442"/>
      <c r="O12" s="1442"/>
      <c r="P12" s="1442"/>
      <c r="Q12" s="1442"/>
    </row>
    <row r="14" spans="2:17" x14ac:dyDescent="0.25">
      <c r="B14" s="1458" t="s">
        <v>6</v>
      </c>
      <c r="C14" s="1459" t="s">
        <v>7</v>
      </c>
      <c r="D14" s="1459" t="s">
        <v>8</v>
      </c>
      <c r="E14" s="1459" t="s">
        <v>9</v>
      </c>
      <c r="F14" s="1459" t="s">
        <v>10</v>
      </c>
      <c r="G14" s="1461" t="s">
        <v>11</v>
      </c>
      <c r="H14" s="1459" t="s">
        <v>11</v>
      </c>
      <c r="I14" s="51" t="s">
        <v>12</v>
      </c>
      <c r="J14" s="1460" t="s">
        <v>13</v>
      </c>
      <c r="K14" s="1459" t="s">
        <v>14</v>
      </c>
      <c r="L14" s="1459" t="s">
        <v>15</v>
      </c>
      <c r="M14" s="1459" t="s">
        <v>16</v>
      </c>
      <c r="N14" s="1459" t="s">
        <v>17</v>
      </c>
      <c r="O14" s="1459" t="s">
        <v>18</v>
      </c>
      <c r="P14" s="1459" t="s">
        <v>19</v>
      </c>
      <c r="Q14" s="1462" t="s">
        <v>20</v>
      </c>
    </row>
    <row r="15" spans="2:17" x14ac:dyDescent="0.25">
      <c r="B15" s="1458"/>
      <c r="C15" s="1459"/>
      <c r="D15" s="1459"/>
      <c r="E15" s="1459"/>
      <c r="F15" s="1459"/>
      <c r="G15" s="1461"/>
      <c r="H15" s="1459"/>
      <c r="I15" s="52" t="s">
        <v>21</v>
      </c>
      <c r="J15" s="1460"/>
      <c r="K15" s="1459"/>
      <c r="L15" s="1459"/>
      <c r="M15" s="1459"/>
      <c r="N15" s="1459"/>
      <c r="O15" s="1459"/>
      <c r="P15" s="1459"/>
      <c r="Q15" s="1462"/>
    </row>
    <row r="17" spans="2:17" x14ac:dyDescent="0.25">
      <c r="B17" s="53">
        <v>1</v>
      </c>
      <c r="C17" s="54" t="s">
        <v>22</v>
      </c>
      <c r="D17" s="7" t="s">
        <v>23</v>
      </c>
      <c r="E17" s="1449" t="s">
        <v>24</v>
      </c>
      <c r="F17" s="1449"/>
      <c r="G17" s="1449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445" t="s">
        <v>30</v>
      </c>
      <c r="F18" s="1445" t="s">
        <v>31</v>
      </c>
      <c r="G18" s="144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445" t="s">
        <v>36</v>
      </c>
      <c r="F19" s="1445" t="s">
        <v>37</v>
      </c>
      <c r="G19" s="1445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445" t="s">
        <v>40</v>
      </c>
      <c r="F22" s="1445" t="s">
        <v>41</v>
      </c>
      <c r="G22" s="1445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445" t="s">
        <v>44</v>
      </c>
      <c r="F23" s="1445" t="s">
        <v>45</v>
      </c>
      <c r="G23" s="1445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445" t="s">
        <v>49</v>
      </c>
      <c r="F24" s="1445" t="s">
        <v>50</v>
      </c>
      <c r="G24" s="1445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445" t="s">
        <v>53</v>
      </c>
      <c r="F25" s="1445" t="s">
        <v>54</v>
      </c>
      <c r="G25" s="1445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445" t="s">
        <v>427</v>
      </c>
      <c r="F26" s="1445" t="s">
        <v>57</v>
      </c>
      <c r="G26" s="1445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445" t="s">
        <v>53</v>
      </c>
      <c r="F27" s="1445" t="s">
        <v>60</v>
      </c>
      <c r="G27" s="1445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445" t="s">
        <v>63</v>
      </c>
      <c r="F28" s="1445" t="s">
        <v>64</v>
      </c>
      <c r="G28" s="1445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445" t="s">
        <v>67</v>
      </c>
      <c r="F29" s="1445" t="s">
        <v>68</v>
      </c>
      <c r="G29" s="1445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445" t="s">
        <v>71</v>
      </c>
      <c r="F30" s="1445" t="s">
        <v>72</v>
      </c>
      <c r="G30" s="1445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445" t="s">
        <v>75</v>
      </c>
      <c r="F31" s="1445" t="s">
        <v>76</v>
      </c>
      <c r="G31" s="1445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445" t="s">
        <v>78</v>
      </c>
      <c r="F32" s="1445" t="s">
        <v>79</v>
      </c>
      <c r="G32" s="1445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445" t="s">
        <v>82</v>
      </c>
      <c r="F33" s="1445" t="s">
        <v>83</v>
      </c>
      <c r="G33" s="1445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445" t="s">
        <v>85</v>
      </c>
      <c r="F34" s="1445" t="s">
        <v>86</v>
      </c>
      <c r="G34" s="1445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445" t="s">
        <v>89</v>
      </c>
      <c r="F35" s="1445" t="s">
        <v>90</v>
      </c>
      <c r="G35" s="1445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445" t="s">
        <v>92</v>
      </c>
      <c r="F36" s="1445" t="s">
        <v>93</v>
      </c>
      <c r="G36" s="1445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445" t="s">
        <v>71</v>
      </c>
      <c r="F37" s="1445" t="s">
        <v>95</v>
      </c>
      <c r="G37" s="1445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445" t="s">
        <v>97</v>
      </c>
      <c r="F38" s="1445" t="s">
        <v>98</v>
      </c>
      <c r="G38" s="1445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445" t="s">
        <v>92</v>
      </c>
      <c r="F39" s="1445" t="s">
        <v>100</v>
      </c>
      <c r="G39" s="1445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445" t="s">
        <v>102</v>
      </c>
      <c r="F40" s="1445" t="s">
        <v>103</v>
      </c>
      <c r="G40" s="1445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445" t="s">
        <v>105</v>
      </c>
      <c r="F41" s="1445" t="s">
        <v>106</v>
      </c>
      <c r="G41" s="1445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445" t="s">
        <v>105</v>
      </c>
      <c r="F42" s="1445" t="s">
        <v>108</v>
      </c>
      <c r="G42" s="1445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445" t="s">
        <v>78</v>
      </c>
      <c r="F43" s="1445" t="s">
        <v>115</v>
      </c>
      <c r="G43" s="1445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445" t="s">
        <v>117</v>
      </c>
      <c r="F44" s="1445" t="s">
        <v>118</v>
      </c>
      <c r="G44" s="1445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445" t="s">
        <v>120</v>
      </c>
      <c r="F45" s="1445" t="s">
        <v>121</v>
      </c>
      <c r="G45" s="1445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445" t="s">
        <v>49</v>
      </c>
      <c r="F46" s="1445" t="s">
        <v>123</v>
      </c>
      <c r="G46" s="1445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445" t="s">
        <v>125</v>
      </c>
      <c r="F47" s="1445" t="s">
        <v>126</v>
      </c>
      <c r="G47" s="1445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445" t="s">
        <v>105</v>
      </c>
      <c r="F48" s="1445" t="s">
        <v>128</v>
      </c>
      <c r="G48" s="1445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445" t="s">
        <v>102</v>
      </c>
      <c r="F49" s="1445" t="s">
        <v>130</v>
      </c>
      <c r="G49" s="1445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445" t="s">
        <v>132</v>
      </c>
      <c r="F50" s="1445" t="s">
        <v>133</v>
      </c>
      <c r="G50" s="1445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445" t="s">
        <v>117</v>
      </c>
      <c r="F51" s="1445" t="s">
        <v>135</v>
      </c>
      <c r="G51" s="1445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445" t="s">
        <v>85</v>
      </c>
      <c r="F52" s="1445" t="s">
        <v>137</v>
      </c>
      <c r="G52" s="1445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445" t="s">
        <v>139</v>
      </c>
      <c r="F53" s="1445" t="s">
        <v>140</v>
      </c>
      <c r="G53" s="1445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445" t="s">
        <v>148</v>
      </c>
      <c r="F54" s="1445" t="s">
        <v>149</v>
      </c>
      <c r="G54" s="1445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445" t="s">
        <v>151</v>
      </c>
      <c r="F55" s="1445" t="s">
        <v>152</v>
      </c>
      <c r="G55" s="1445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445" t="s">
        <v>157</v>
      </c>
      <c r="F56" s="1445" t="s">
        <v>158</v>
      </c>
      <c r="G56" s="1445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445" t="s">
        <v>160</v>
      </c>
      <c r="F58" s="1445" t="s">
        <v>161</v>
      </c>
      <c r="G58" s="1445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445" t="s">
        <v>163</v>
      </c>
      <c r="F59" s="1445" t="s">
        <v>164</v>
      </c>
      <c r="G59" s="1445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445" t="s">
        <v>92</v>
      </c>
      <c r="F62" s="1445" t="s">
        <v>168</v>
      </c>
      <c r="G62" s="1445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445" t="s">
        <v>276</v>
      </c>
      <c r="F63" s="1445" t="s">
        <v>170</v>
      </c>
      <c r="G63" s="1445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445" t="s">
        <v>40</v>
      </c>
      <c r="F67" s="1445" t="s">
        <v>172</v>
      </c>
      <c r="G67" s="1445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445" t="s">
        <v>92</v>
      </c>
      <c r="F72" s="1445"/>
      <c r="G72" s="1445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445" t="s">
        <v>276</v>
      </c>
      <c r="F76" s="1445"/>
      <c r="G76" s="1445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445" t="s">
        <v>30</v>
      </c>
      <c r="F77" s="1445" t="s">
        <v>31</v>
      </c>
      <c r="G77" s="1445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445" t="s">
        <v>30</v>
      </c>
      <c r="F78" s="1445" t="s">
        <v>31</v>
      </c>
      <c r="G78" s="1445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445" t="s">
        <v>30</v>
      </c>
      <c r="F79" s="1445" t="s">
        <v>31</v>
      </c>
      <c r="G79" s="1445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445" t="s">
        <v>92</v>
      </c>
      <c r="F86" s="1445" t="s">
        <v>176</v>
      </c>
      <c r="G86" s="1445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445" t="s">
        <v>178</v>
      </c>
      <c r="F87" s="1445" t="s">
        <v>179</v>
      </c>
      <c r="G87" s="1445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463" t="s">
        <v>92</v>
      </c>
      <c r="F88" s="1463" t="s">
        <v>193</v>
      </c>
      <c r="G88" s="1463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445" t="s">
        <v>44</v>
      </c>
      <c r="F134" s="1445" t="s">
        <v>45</v>
      </c>
      <c r="G134" s="1445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464" t="s">
        <v>288</v>
      </c>
      <c r="D137" s="1464"/>
      <c r="E137" s="1464"/>
      <c r="F137" s="1464"/>
      <c r="G137" s="1464"/>
      <c r="H137" s="1464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443" t="s">
        <v>196</v>
      </c>
      <c r="O142" s="1443"/>
      <c r="P142" s="1443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454" t="s">
        <v>198</v>
      </c>
      <c r="O144" s="1454"/>
      <c r="P144" s="1454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443" t="s">
        <v>253</v>
      </c>
      <c r="O145" s="1443"/>
      <c r="P145" s="1443"/>
    </row>
    <row r="146" spans="3:16" x14ac:dyDescent="0.25">
      <c r="C146" s="25" t="s">
        <v>201</v>
      </c>
      <c r="D146" s="25"/>
      <c r="E146" t="s">
        <v>254</v>
      </c>
      <c r="N146" s="1454" t="s">
        <v>202</v>
      </c>
      <c r="O146" s="1454"/>
      <c r="P146" s="1454"/>
    </row>
    <row r="149" spans="3:16" x14ac:dyDescent="0.25">
      <c r="C149" s="1443"/>
      <c r="D149" s="1443"/>
      <c r="E149" s="1443"/>
      <c r="F149" s="1443"/>
      <c r="G149" s="1443"/>
      <c r="H149" s="1443"/>
      <c r="I149" s="1443"/>
      <c r="J149" s="1443"/>
      <c r="K149" s="1443"/>
      <c r="L149" s="1443"/>
      <c r="M149" s="1443"/>
      <c r="N149" s="1443"/>
      <c r="O149" s="1443"/>
      <c r="P149" s="1443"/>
    </row>
    <row r="152" spans="3:16" x14ac:dyDescent="0.25">
      <c r="C152" s="1454"/>
      <c r="D152" s="1454"/>
      <c r="E152" s="1454"/>
      <c r="F152" s="1454"/>
      <c r="G152" s="1454"/>
      <c r="H152" s="1454"/>
      <c r="I152" s="1454"/>
      <c r="J152" s="1454"/>
      <c r="K152" s="1454"/>
      <c r="L152" s="1454"/>
      <c r="M152" s="1454"/>
      <c r="N152" s="1454"/>
      <c r="O152" s="1454"/>
      <c r="P152" s="1454"/>
    </row>
    <row r="153" spans="3:16" x14ac:dyDescent="0.25">
      <c r="C153" s="1443"/>
      <c r="D153" s="1443"/>
      <c r="E153" s="1443"/>
      <c r="F153" s="1443"/>
      <c r="G153" s="1443"/>
      <c r="H153" s="1443"/>
      <c r="I153" s="1443"/>
      <c r="J153" s="1443"/>
      <c r="K153" s="1443"/>
      <c r="L153" s="1443"/>
      <c r="M153" s="1443"/>
      <c r="N153" s="1443"/>
      <c r="O153" s="1443"/>
      <c r="P153" s="1443"/>
    </row>
    <row r="154" spans="3:16" x14ac:dyDescent="0.25">
      <c r="C154" s="1454"/>
      <c r="D154" s="1454"/>
      <c r="E154" s="1454"/>
      <c r="F154" s="1454"/>
      <c r="G154" s="1454"/>
      <c r="H154" s="1454"/>
      <c r="I154" s="1454"/>
      <c r="J154" s="1454"/>
      <c r="K154" s="1454"/>
      <c r="L154" s="1454"/>
      <c r="M154" s="1454"/>
      <c r="N154" s="1454"/>
      <c r="O154" s="1454"/>
      <c r="P154" s="1454"/>
    </row>
  </sheetData>
  <sheetProtection selectLockedCells="1" selectUnlockedCells="1"/>
  <mergeCells count="82"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490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441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472" t="s">
        <v>194</v>
      </c>
      <c r="D19" s="1472"/>
      <c r="E19" s="1472"/>
      <c r="F19" s="1472"/>
      <c r="G19" s="1472"/>
      <c r="H19" s="1472"/>
      <c r="I19" s="1466">
        <f>SUM(I18:I18)</f>
        <v>80000</v>
      </c>
      <c r="J19" s="1468">
        <f>SUM(J18:J18)</f>
        <v>0</v>
      </c>
      <c r="K19" s="1466">
        <v>80000</v>
      </c>
      <c r="L19" s="1466">
        <v>2296</v>
      </c>
      <c r="M19" s="1466">
        <v>7400.87</v>
      </c>
      <c r="N19" s="1466">
        <v>2432</v>
      </c>
      <c r="O19" s="1466">
        <f>SUM(O18:O18)</f>
        <v>25</v>
      </c>
      <c r="P19" s="1466">
        <v>12153.87</v>
      </c>
      <c r="Q19" s="1465">
        <f>SUM(Q18:Q18)</f>
        <v>67846.13</v>
      </c>
    </row>
    <row r="20" spans="2:17" x14ac:dyDescent="0.25">
      <c r="C20" s="1472"/>
      <c r="D20" s="1472"/>
      <c r="E20" s="1472"/>
      <c r="F20" s="1472"/>
      <c r="G20" s="1472"/>
      <c r="H20" s="1472"/>
      <c r="I20" s="1466"/>
      <c r="J20" s="1468"/>
      <c r="K20" s="1466"/>
      <c r="L20" s="1466"/>
      <c r="M20" s="1466"/>
      <c r="N20" s="1466"/>
      <c r="O20" s="1466"/>
      <c r="P20" s="1466"/>
      <c r="Q20" s="1465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443" t="s">
        <v>196</v>
      </c>
      <c r="O30" s="1443"/>
      <c r="P30" s="1443"/>
    </row>
    <row r="33" spans="3:16" x14ac:dyDescent="0.25">
      <c r="C33" s="25" t="s">
        <v>197</v>
      </c>
      <c r="D33" s="25"/>
      <c r="E33" t="s">
        <v>251</v>
      </c>
      <c r="N33" s="1454" t="s">
        <v>198</v>
      </c>
      <c r="O33" s="1454"/>
      <c r="P33" s="1454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443" t="s">
        <v>253</v>
      </c>
      <c r="O34" s="1443"/>
      <c r="P34" s="1443"/>
    </row>
    <row r="35" spans="3:16" x14ac:dyDescent="0.25">
      <c r="C35" s="25" t="s">
        <v>201</v>
      </c>
      <c r="D35" s="25"/>
      <c r="E35" t="s">
        <v>254</v>
      </c>
      <c r="N35" s="1454" t="s">
        <v>202</v>
      </c>
      <c r="O35" s="1454"/>
      <c r="P35" s="1454"/>
    </row>
    <row r="38" spans="3:16" x14ac:dyDescent="0.25">
      <c r="C38" s="1443"/>
      <c r="D38" s="1443"/>
      <c r="E38" s="1443"/>
      <c r="F38" s="1443"/>
      <c r="G38" s="1443"/>
      <c r="H38" s="1443"/>
      <c r="I38" s="1443"/>
      <c r="J38" s="1443"/>
      <c r="K38" s="1443"/>
      <c r="L38" s="1443"/>
      <c r="M38" s="1443"/>
      <c r="N38" s="1443"/>
      <c r="O38" s="1443"/>
      <c r="P38" s="1443"/>
    </row>
    <row r="41" spans="3:16" x14ac:dyDescent="0.25">
      <c r="C41" s="1454"/>
      <c r="D41" s="1454"/>
      <c r="E41" s="1454"/>
      <c r="F41" s="1454"/>
      <c r="G41" s="1454"/>
      <c r="H41" s="1454"/>
      <c r="I41" s="1454"/>
      <c r="J41" s="1454"/>
      <c r="K41" s="1454"/>
      <c r="L41" s="1454"/>
      <c r="M41" s="1454"/>
      <c r="N41" s="1454"/>
      <c r="O41" s="1454"/>
      <c r="P41" s="1454"/>
    </row>
    <row r="42" spans="3:16" x14ac:dyDescent="0.25">
      <c r="C42" s="1443"/>
      <c r="D42" s="1443"/>
      <c r="E42" s="1443"/>
      <c r="F42" s="1443"/>
      <c r="G42" s="1443"/>
      <c r="H42" s="1443"/>
      <c r="I42" s="1443"/>
      <c r="J42" s="1443"/>
      <c r="K42" s="1443"/>
      <c r="L42" s="1443"/>
      <c r="M42" s="1443"/>
      <c r="N42" s="1443"/>
      <c r="O42" s="1443"/>
      <c r="P42" s="1443"/>
    </row>
    <row r="43" spans="3:16" x14ac:dyDescent="0.25">
      <c r="C43" s="1454"/>
      <c r="D43" s="1454"/>
      <c r="E43" s="1454"/>
      <c r="F43" s="1454"/>
      <c r="G43" s="1454"/>
      <c r="H43" s="1454"/>
      <c r="I43" s="1454"/>
      <c r="J43" s="1454"/>
      <c r="K43" s="1454"/>
      <c r="L43" s="1454"/>
      <c r="M43" s="1454"/>
      <c r="N43" s="1454"/>
      <c r="O43" s="1454"/>
      <c r="P43" s="1454"/>
    </row>
  </sheetData>
  <sheetProtection selectLockedCells="1" selectUnlockedCells="1"/>
  <mergeCells count="39"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74" t="s">
        <v>0</v>
      </c>
      <c r="C7" s="1474"/>
      <c r="D7" s="1474"/>
      <c r="E7" s="1474"/>
      <c r="F7" s="1474"/>
      <c r="G7" s="1474"/>
      <c r="H7" s="1474"/>
      <c r="I7" s="1474"/>
      <c r="J7" s="1474"/>
      <c r="K7" s="1474"/>
      <c r="L7" s="1474"/>
      <c r="M7" s="1474"/>
      <c r="N7" s="1474"/>
    </row>
    <row r="8" spans="1:14" x14ac:dyDescent="0.25">
      <c r="B8" s="1474" t="s">
        <v>1</v>
      </c>
      <c r="C8" s="1474"/>
      <c r="D8" s="1474"/>
      <c r="E8" s="1474"/>
      <c r="F8" s="1474"/>
      <c r="G8" s="1474"/>
      <c r="H8" s="1474"/>
      <c r="I8" s="1474"/>
      <c r="J8" s="1474"/>
      <c r="K8" s="1474"/>
      <c r="L8" s="1474"/>
      <c r="M8" s="1474"/>
      <c r="N8" s="1474"/>
    </row>
    <row r="9" spans="1:14" x14ac:dyDescent="0.25">
      <c r="B9" s="1475" t="s">
        <v>402</v>
      </c>
      <c r="C9" s="1475"/>
      <c r="D9" s="1475"/>
      <c r="E9" s="1475"/>
      <c r="F9" s="1475"/>
      <c r="G9" s="1475"/>
      <c r="H9" s="1475"/>
      <c r="I9" s="1475"/>
      <c r="J9" s="1475"/>
      <c r="K9" s="1475"/>
      <c r="L9" s="1475"/>
      <c r="M9" s="1475"/>
      <c r="N9" s="1475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474" t="s">
        <v>3</v>
      </c>
      <c r="C11" s="1474"/>
      <c r="D11" s="1474"/>
      <c r="E11" s="1474"/>
      <c r="F11" s="1474"/>
      <c r="G11" s="1474"/>
      <c r="H11" s="1474"/>
      <c r="I11" s="1474"/>
      <c r="J11" s="1474"/>
      <c r="K11" s="1474"/>
      <c r="L11" s="1474"/>
      <c r="M11" s="1474"/>
      <c r="N11" s="1474"/>
    </row>
    <row r="12" spans="1:14" x14ac:dyDescent="0.25">
      <c r="B12" s="1474" t="s">
        <v>491</v>
      </c>
      <c r="C12" s="1474"/>
      <c r="D12" s="1474"/>
      <c r="E12" s="1474"/>
      <c r="F12" s="1474"/>
      <c r="G12" s="1474"/>
      <c r="H12" s="1474"/>
      <c r="I12" s="1474"/>
      <c r="J12" s="1474"/>
      <c r="K12" s="1474"/>
      <c r="L12" s="1474"/>
      <c r="M12" s="1474"/>
      <c r="N12" s="1474"/>
    </row>
    <row r="13" spans="1:14" x14ac:dyDescent="0.25">
      <c r="B13" s="1473" t="s">
        <v>5</v>
      </c>
      <c r="C13" s="1473"/>
      <c r="D13" s="1473"/>
      <c r="E13" s="1473"/>
      <c r="F13" s="1473"/>
      <c r="G13" s="1473"/>
      <c r="H13" s="1473"/>
      <c r="I13" s="1473"/>
      <c r="J13" s="1473"/>
      <c r="K13" s="1473"/>
      <c r="L13" s="1473"/>
      <c r="M13" s="1473"/>
      <c r="N13" s="147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77" t="s">
        <v>6</v>
      </c>
      <c r="B15" s="1476" t="s">
        <v>7</v>
      </c>
      <c r="C15" s="1476" t="s">
        <v>8</v>
      </c>
      <c r="D15" s="1476" t="s">
        <v>10</v>
      </c>
      <c r="E15" s="1478" t="s">
        <v>11</v>
      </c>
      <c r="F15" s="97" t="s">
        <v>12</v>
      </c>
      <c r="G15" s="1479" t="s">
        <v>13</v>
      </c>
      <c r="H15" s="1476" t="s">
        <v>14</v>
      </c>
      <c r="I15" s="1476" t="s">
        <v>15</v>
      </c>
      <c r="J15" s="1476" t="s">
        <v>16</v>
      </c>
      <c r="K15" s="1476" t="s">
        <v>17</v>
      </c>
      <c r="L15" s="1476" t="s">
        <v>18</v>
      </c>
      <c r="M15" s="1476" t="s">
        <v>19</v>
      </c>
      <c r="N15" s="1480" t="s">
        <v>20</v>
      </c>
    </row>
    <row r="16" spans="1:14" x14ac:dyDescent="0.25">
      <c r="A16" s="1477"/>
      <c r="B16" s="1476"/>
      <c r="C16" s="1476"/>
      <c r="D16" s="1476"/>
      <c r="E16" s="1478"/>
      <c r="F16" s="98" t="s">
        <v>21</v>
      </c>
      <c r="G16" s="1479"/>
      <c r="H16" s="1476"/>
      <c r="I16" s="1476"/>
      <c r="J16" s="1476"/>
      <c r="K16" s="1476"/>
      <c r="L16" s="1476"/>
      <c r="M16" s="1476"/>
      <c r="N16" s="1480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481" t="s">
        <v>194</v>
      </c>
      <c r="C30" s="1481"/>
      <c r="D30" s="1481"/>
      <c r="E30" s="1481"/>
      <c r="F30" s="1482">
        <v>140000</v>
      </c>
      <c r="G30" s="1483">
        <v>0</v>
      </c>
      <c r="H30" s="1482">
        <v>140000</v>
      </c>
      <c r="I30" s="1483">
        <v>0</v>
      </c>
      <c r="J30" s="1483">
        <v>0</v>
      </c>
      <c r="K30" s="1483">
        <v>0</v>
      </c>
      <c r="L30" s="1483">
        <v>0</v>
      </c>
      <c r="M30" s="1483">
        <v>0</v>
      </c>
      <c r="N30" s="1482">
        <v>140000</v>
      </c>
    </row>
    <row r="31" spans="1:14" x14ac:dyDescent="0.25">
      <c r="A31" s="99"/>
      <c r="B31" s="1481"/>
      <c r="C31" s="1481"/>
      <c r="D31" s="1481"/>
      <c r="E31" s="1481"/>
      <c r="F31" s="1482"/>
      <c r="G31" s="1483"/>
      <c r="H31" s="1482"/>
      <c r="I31" s="1483"/>
      <c r="J31" s="1483"/>
      <c r="K31" s="1483"/>
      <c r="L31" s="1483"/>
      <c r="M31" s="1483"/>
      <c r="N31" s="1482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474" t="s">
        <v>196</v>
      </c>
      <c r="M35" s="1474"/>
      <c r="N35" s="1474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473" t="s">
        <v>198</v>
      </c>
      <c r="M37" s="1473"/>
      <c r="N37" s="1473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454"/>
      <c r="B44" s="1454"/>
      <c r="C44" s="1454"/>
      <c r="D44" s="1454"/>
      <c r="E44" s="1454"/>
      <c r="F44" s="1454"/>
      <c r="G44" s="1454"/>
      <c r="H44" s="1454"/>
      <c r="I44" s="1454"/>
      <c r="J44" s="1454"/>
      <c r="K44" s="1454"/>
      <c r="L44" s="1454"/>
      <c r="M44" s="1454"/>
      <c r="N44" s="1454"/>
    </row>
    <row r="45" spans="1:14" x14ac:dyDescent="0.25">
      <c r="A45" s="1443"/>
      <c r="B45" s="1443"/>
      <c r="C45" s="1443"/>
      <c r="D45" s="1443"/>
      <c r="E45" s="1443"/>
      <c r="F45" s="1443"/>
      <c r="G45" s="1443"/>
      <c r="H45" s="1443"/>
      <c r="I45" s="1443"/>
      <c r="J45" s="1443"/>
      <c r="K45" s="1443"/>
      <c r="L45" s="1443"/>
      <c r="M45" s="1443"/>
      <c r="N45" s="1443"/>
    </row>
    <row r="46" spans="1:14" x14ac:dyDescent="0.25">
      <c r="A46" s="1454"/>
      <c r="B46" s="1454"/>
      <c r="C46" s="1454"/>
      <c r="D46" s="1454"/>
      <c r="E46" s="1454"/>
      <c r="F46" s="1454"/>
      <c r="G46" s="1454"/>
      <c r="H46" s="1454"/>
      <c r="I46" s="1454"/>
      <c r="J46" s="1454"/>
      <c r="K46" s="1454"/>
      <c r="L46" s="1454"/>
      <c r="M46" s="1454"/>
      <c r="N46" s="1454"/>
    </row>
  </sheetData>
  <sheetProtection selectLockedCells="1" selectUnlockedCells="1"/>
  <mergeCells count="34">
    <mergeCell ref="N30:N31"/>
    <mergeCell ref="L35:N35"/>
    <mergeCell ref="L37:N37"/>
    <mergeCell ref="A44:N44"/>
    <mergeCell ref="A45:N45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494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406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467" t="s">
        <v>194</v>
      </c>
      <c r="D36" s="1467"/>
      <c r="E36" s="1467"/>
      <c r="F36" s="1467"/>
      <c r="G36" s="1467"/>
      <c r="H36" s="1467"/>
      <c r="I36" s="1466">
        <f>SUM(I18:I35)</f>
        <v>811500</v>
      </c>
      <c r="J36" s="1468">
        <f>SUM(J18:J35)</f>
        <v>0</v>
      </c>
      <c r="K36" s="1466">
        <v>811500</v>
      </c>
      <c r="L36" s="1466">
        <v>23290.05</v>
      </c>
      <c r="M36" s="1466">
        <v>33619.919999999998</v>
      </c>
      <c r="N36" s="1466">
        <f>SUM(N18:N35)</f>
        <v>24669.599999999999</v>
      </c>
      <c r="O36" s="1466">
        <f>SUM(O18:O35)</f>
        <v>450</v>
      </c>
      <c r="P36" s="1466">
        <v>82029.570000000007</v>
      </c>
      <c r="Q36" s="1465">
        <f>SUM(Q18:Q35)</f>
        <v>729470.42999999982</v>
      </c>
    </row>
    <row r="37" spans="2:17" x14ac:dyDescent="0.25">
      <c r="C37" s="1467"/>
      <c r="D37" s="1467"/>
      <c r="E37" s="1467"/>
      <c r="F37" s="1467"/>
      <c r="G37" s="1467"/>
      <c r="H37" s="1467"/>
      <c r="I37" s="1466"/>
      <c r="J37" s="1468"/>
      <c r="K37" s="1466"/>
      <c r="L37" s="1466"/>
      <c r="M37" s="1466"/>
      <c r="N37" s="1466"/>
      <c r="O37" s="1466"/>
      <c r="P37" s="1466"/>
      <c r="Q37" s="1465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443" t="s">
        <v>196</v>
      </c>
      <c r="O40" s="1443"/>
      <c r="P40" s="1443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454" t="s">
        <v>198</v>
      </c>
      <c r="O43" s="1454"/>
      <c r="P43" s="1454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443"/>
      <c r="D48" s="1443"/>
      <c r="E48" s="1443"/>
      <c r="F48" s="1443"/>
      <c r="G48" s="1443"/>
      <c r="H48" s="1443"/>
      <c r="I48" s="1443"/>
      <c r="J48" s="1443"/>
      <c r="K48" s="1443"/>
      <c r="L48" s="1443"/>
      <c r="M48" s="1443"/>
      <c r="N48" s="1443"/>
      <c r="O48" s="1443"/>
      <c r="P48" s="1443"/>
    </row>
    <row r="51" spans="3:16" x14ac:dyDescent="0.25">
      <c r="C51" s="1454"/>
      <c r="D51" s="1454"/>
      <c r="E51" s="1454"/>
      <c r="F51" s="1454"/>
      <c r="G51" s="1454"/>
      <c r="H51" s="1454"/>
      <c r="I51" s="1454"/>
      <c r="J51" s="1454"/>
      <c r="K51" s="1454"/>
      <c r="L51" s="1454"/>
      <c r="M51" s="1454"/>
      <c r="N51" s="1454"/>
      <c r="O51" s="1454"/>
      <c r="P51" s="1454"/>
    </row>
    <row r="52" spans="3:16" x14ac:dyDescent="0.25">
      <c r="C52" s="1443"/>
      <c r="D52" s="1443"/>
      <c r="E52" s="1443"/>
      <c r="F52" s="1443"/>
      <c r="G52" s="1443"/>
      <c r="H52" s="1443"/>
      <c r="I52" s="1443"/>
      <c r="J52" s="1443"/>
      <c r="K52" s="1443"/>
      <c r="L52" s="1443"/>
      <c r="M52" s="1443"/>
      <c r="N52" s="1443"/>
      <c r="O52" s="1443"/>
      <c r="P52" s="1443"/>
    </row>
    <row r="53" spans="3:16" x14ac:dyDescent="0.25">
      <c r="C53" s="1454"/>
      <c r="D53" s="1454"/>
      <c r="E53" s="1454"/>
      <c r="F53" s="1454"/>
      <c r="G53" s="1454"/>
      <c r="H53" s="1454"/>
      <c r="I53" s="1454"/>
      <c r="J53" s="1454"/>
      <c r="K53" s="1454"/>
      <c r="L53" s="1454"/>
      <c r="M53" s="1454"/>
      <c r="N53" s="1454"/>
      <c r="O53" s="1454"/>
      <c r="P53" s="1454"/>
    </row>
  </sheetData>
  <sheetProtection selectLockedCells="1" selectUnlockedCells="1"/>
  <mergeCells count="37">
    <mergeCell ref="C51:P51"/>
    <mergeCell ref="C52:P52"/>
    <mergeCell ref="C53:P53"/>
    <mergeCell ref="O36:O37"/>
    <mergeCell ref="P36:P37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496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441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472" t="s">
        <v>194</v>
      </c>
      <c r="D19" s="1472"/>
      <c r="E19" s="1472"/>
      <c r="F19" s="1472"/>
      <c r="G19" s="1472"/>
      <c r="H19" s="1472"/>
      <c r="I19" s="1466">
        <f>SUM(I18:I18)</f>
        <v>80000</v>
      </c>
      <c r="J19" s="1468">
        <f>SUM(J18:J18)</f>
        <v>0</v>
      </c>
      <c r="K19" s="1466">
        <v>80000</v>
      </c>
      <c r="L19" s="1466">
        <v>2296</v>
      </c>
      <c r="M19" s="1466">
        <v>7400.87</v>
      </c>
      <c r="N19" s="1466">
        <v>2432</v>
      </c>
      <c r="O19" s="1466">
        <f>SUM(O18:O18)</f>
        <v>25</v>
      </c>
      <c r="P19" s="1466">
        <v>12153.87</v>
      </c>
      <c r="Q19" s="1465">
        <f>SUM(Q18:Q18)</f>
        <v>67846.13</v>
      </c>
    </row>
    <row r="20" spans="2:17" x14ac:dyDescent="0.25">
      <c r="C20" s="1472"/>
      <c r="D20" s="1472"/>
      <c r="E20" s="1472"/>
      <c r="F20" s="1472"/>
      <c r="G20" s="1472"/>
      <c r="H20" s="1472"/>
      <c r="I20" s="1466"/>
      <c r="J20" s="1468"/>
      <c r="K20" s="1466"/>
      <c r="L20" s="1466"/>
      <c r="M20" s="1466"/>
      <c r="N20" s="1466"/>
      <c r="O20" s="1466"/>
      <c r="P20" s="1466"/>
      <c r="Q20" s="1465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443" t="s">
        <v>196</v>
      </c>
      <c r="O30" s="1443"/>
      <c r="P30" s="1443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454" t="s">
        <v>198</v>
      </c>
      <c r="O33" s="1454"/>
      <c r="P33" s="1454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443"/>
      <c r="D38" s="1443"/>
      <c r="E38" s="1443"/>
      <c r="F38" s="1443"/>
      <c r="G38" s="1443"/>
      <c r="H38" s="1443"/>
      <c r="I38" s="1443"/>
      <c r="J38" s="1443"/>
      <c r="K38" s="1443"/>
      <c r="L38" s="1443"/>
      <c r="M38" s="1443"/>
      <c r="N38" s="1443"/>
      <c r="O38" s="1443"/>
      <c r="P38" s="1443"/>
    </row>
    <row r="41" spans="3:16" x14ac:dyDescent="0.25">
      <c r="C41" s="1454"/>
      <c r="D41" s="1454"/>
      <c r="E41" s="1454"/>
      <c r="F41" s="1454"/>
      <c r="G41" s="1454"/>
      <c r="H41" s="1454"/>
      <c r="I41" s="1454"/>
      <c r="J41" s="1454"/>
      <c r="K41" s="1454"/>
      <c r="L41" s="1454"/>
      <c r="M41" s="1454"/>
      <c r="N41" s="1454"/>
      <c r="O41" s="1454"/>
      <c r="P41" s="1454"/>
    </row>
    <row r="42" spans="3:16" x14ac:dyDescent="0.25">
      <c r="C42" s="1443"/>
      <c r="D42" s="1443"/>
      <c r="E42" s="1443"/>
      <c r="F42" s="1443"/>
      <c r="G42" s="1443"/>
      <c r="H42" s="1443"/>
      <c r="I42" s="1443"/>
      <c r="J42" s="1443"/>
      <c r="K42" s="1443"/>
      <c r="L42" s="1443"/>
      <c r="M42" s="1443"/>
      <c r="N42" s="1443"/>
      <c r="O42" s="1443"/>
      <c r="P42" s="1443"/>
    </row>
    <row r="43" spans="3:16" x14ac:dyDescent="0.25">
      <c r="C43" s="1454"/>
      <c r="D43" s="1454"/>
      <c r="E43" s="1454"/>
      <c r="F43" s="1454"/>
      <c r="G43" s="1454"/>
      <c r="H43" s="1454"/>
      <c r="I43" s="1454"/>
      <c r="J43" s="1454"/>
      <c r="K43" s="1454"/>
      <c r="L43" s="1454"/>
      <c r="M43" s="1454"/>
      <c r="N43" s="1454"/>
      <c r="O43" s="1454"/>
      <c r="P43" s="1454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501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406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467" t="s">
        <v>194</v>
      </c>
      <c r="D27" s="1467"/>
      <c r="E27" s="1467"/>
      <c r="F27" s="1467"/>
      <c r="G27" s="1467"/>
      <c r="H27" s="1467"/>
      <c r="I27" s="1466">
        <f>SUM(I18:I26)</f>
        <v>480000</v>
      </c>
      <c r="J27" s="1468">
        <f>SUM(J18:J26)</f>
        <v>0</v>
      </c>
      <c r="K27" s="1466">
        <f>SUM(K18:K26)</f>
        <v>480000</v>
      </c>
      <c r="L27" s="1466">
        <v>13776</v>
      </c>
      <c r="M27" s="1466">
        <v>28362.639999999999</v>
      </c>
      <c r="N27" s="1466">
        <f>SUM(N18:N26)</f>
        <v>14592</v>
      </c>
      <c r="O27" s="1466">
        <f>SUM(O18:O26)</f>
        <v>225</v>
      </c>
      <c r="P27" s="1466">
        <v>56955.64</v>
      </c>
      <c r="Q27" s="1465">
        <f>SUM(Q18:Q26)</f>
        <v>423044.36</v>
      </c>
    </row>
    <row r="28" spans="2:17" x14ac:dyDescent="0.25">
      <c r="C28" s="1467"/>
      <c r="D28" s="1467"/>
      <c r="E28" s="1467"/>
      <c r="F28" s="1467"/>
      <c r="G28" s="1467"/>
      <c r="H28" s="1467"/>
      <c r="I28" s="1466"/>
      <c r="J28" s="1468"/>
      <c r="K28" s="1466"/>
      <c r="L28" s="1466"/>
      <c r="M28" s="1466"/>
      <c r="N28" s="1466"/>
      <c r="O28" s="1466"/>
      <c r="P28" s="1466"/>
      <c r="Q28" s="1465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443"/>
      <c r="D39" s="1443"/>
      <c r="E39" s="1443"/>
      <c r="F39" s="1443"/>
      <c r="G39" s="1443"/>
      <c r="H39" s="1443"/>
      <c r="I39" s="1443"/>
      <c r="J39" s="1443"/>
      <c r="K39" s="1443"/>
      <c r="L39" s="1443"/>
      <c r="M39" s="1443"/>
      <c r="N39" s="1443"/>
      <c r="O39" s="1443"/>
      <c r="P39" s="1443"/>
    </row>
    <row r="42" spans="3:16" x14ac:dyDescent="0.25">
      <c r="C42" s="1454"/>
      <c r="D42" s="1454"/>
      <c r="E42" s="1454"/>
      <c r="F42" s="1454"/>
      <c r="G42" s="1454"/>
      <c r="H42" s="1454"/>
      <c r="I42" s="1454"/>
      <c r="J42" s="1454"/>
      <c r="K42" s="1454"/>
      <c r="L42" s="1454"/>
      <c r="M42" s="1454"/>
      <c r="N42" s="1454"/>
      <c r="O42" s="1454"/>
      <c r="P42" s="1454"/>
    </row>
    <row r="43" spans="3:16" x14ac:dyDescent="0.25">
      <c r="C43" s="1443"/>
      <c r="D43" s="1443"/>
      <c r="E43" s="1443"/>
      <c r="F43" s="1443"/>
      <c r="G43" s="1443"/>
      <c r="H43" s="1443"/>
      <c r="I43" s="1443"/>
      <c r="J43" s="1443"/>
      <c r="K43" s="1443"/>
      <c r="L43" s="1443"/>
      <c r="M43" s="1443"/>
      <c r="N43" s="1443"/>
      <c r="O43" s="1443"/>
      <c r="P43" s="1443"/>
    </row>
    <row r="44" spans="3:16" x14ac:dyDescent="0.25">
      <c r="C44" s="1454"/>
      <c r="D44" s="1454"/>
      <c r="E44" s="1454"/>
      <c r="F44" s="1454"/>
      <c r="G44" s="1454"/>
      <c r="H44" s="1454"/>
      <c r="I44" s="1454"/>
      <c r="J44" s="1454"/>
      <c r="K44" s="1454"/>
      <c r="L44" s="1454"/>
      <c r="M44" s="1454"/>
      <c r="N44" s="1454"/>
      <c r="O44" s="1454"/>
      <c r="P44" s="1454"/>
    </row>
  </sheetData>
  <sheetProtection selectLockedCells="1" selectUnlockedCells="1"/>
  <mergeCells count="35"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74" t="s">
        <v>0</v>
      </c>
      <c r="C7" s="1474"/>
      <c r="D7" s="1474"/>
      <c r="E7" s="1474"/>
      <c r="F7" s="1474"/>
      <c r="G7" s="1474"/>
      <c r="H7" s="1474"/>
      <c r="I7" s="1474"/>
      <c r="J7" s="1474"/>
      <c r="K7" s="1474"/>
      <c r="L7" s="1474"/>
      <c r="M7" s="1474"/>
      <c r="N7" s="1474"/>
    </row>
    <row r="8" spans="1:14" x14ac:dyDescent="0.25">
      <c r="B8" s="1474" t="s">
        <v>1</v>
      </c>
      <c r="C8" s="1474"/>
      <c r="D8" s="1474"/>
      <c r="E8" s="1474"/>
      <c r="F8" s="1474"/>
      <c r="G8" s="1474"/>
      <c r="H8" s="1474"/>
      <c r="I8" s="1474"/>
      <c r="J8" s="1474"/>
      <c r="K8" s="1474"/>
      <c r="L8" s="1474"/>
      <c r="M8" s="1474"/>
      <c r="N8" s="1474"/>
    </row>
    <row r="9" spans="1:14" x14ac:dyDescent="0.25">
      <c r="B9" s="1475" t="s">
        <v>402</v>
      </c>
      <c r="C9" s="1475"/>
      <c r="D9" s="1475"/>
      <c r="E9" s="1475"/>
      <c r="F9" s="1475"/>
      <c r="G9" s="1475"/>
      <c r="H9" s="1475"/>
      <c r="I9" s="1475"/>
      <c r="J9" s="1475"/>
      <c r="K9" s="1475"/>
      <c r="L9" s="1475"/>
      <c r="M9" s="1475"/>
      <c r="N9" s="1475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474" t="s">
        <v>3</v>
      </c>
      <c r="C11" s="1474"/>
      <c r="D11" s="1474"/>
      <c r="E11" s="1474"/>
      <c r="F11" s="1474"/>
      <c r="G11" s="1474"/>
      <c r="H11" s="1474"/>
      <c r="I11" s="1474"/>
      <c r="J11" s="1474"/>
      <c r="K11" s="1474"/>
      <c r="L11" s="1474"/>
      <c r="M11" s="1474"/>
      <c r="N11" s="1474"/>
    </row>
    <row r="12" spans="1:14" x14ac:dyDescent="0.25">
      <c r="B12" s="1474" t="s">
        <v>504</v>
      </c>
      <c r="C12" s="1474"/>
      <c r="D12" s="1474"/>
      <c r="E12" s="1474"/>
      <c r="F12" s="1474"/>
      <c r="G12" s="1474"/>
      <c r="H12" s="1474"/>
      <c r="I12" s="1474"/>
      <c r="J12" s="1474"/>
      <c r="K12" s="1474"/>
      <c r="L12" s="1474"/>
      <c r="M12" s="1474"/>
      <c r="N12" s="1474"/>
    </row>
    <row r="13" spans="1:14" x14ac:dyDescent="0.25">
      <c r="B13" s="1473" t="s">
        <v>5</v>
      </c>
      <c r="C13" s="1473"/>
      <c r="D13" s="1473"/>
      <c r="E13" s="1473"/>
      <c r="F13" s="1473"/>
      <c r="G13" s="1473"/>
      <c r="H13" s="1473"/>
      <c r="I13" s="1473"/>
      <c r="J13" s="1473"/>
      <c r="K13" s="1473"/>
      <c r="L13" s="1473"/>
      <c r="M13" s="1473"/>
      <c r="N13" s="147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77" t="s">
        <v>6</v>
      </c>
      <c r="B15" s="1476" t="s">
        <v>7</v>
      </c>
      <c r="C15" s="1476" t="s">
        <v>8</v>
      </c>
      <c r="D15" s="1476" t="s">
        <v>10</v>
      </c>
      <c r="E15" s="1478" t="s">
        <v>11</v>
      </c>
      <c r="F15" s="97" t="s">
        <v>12</v>
      </c>
      <c r="G15" s="1479" t="s">
        <v>13</v>
      </c>
      <c r="H15" s="1476" t="s">
        <v>14</v>
      </c>
      <c r="I15" s="1476" t="s">
        <v>15</v>
      </c>
      <c r="J15" s="1476" t="s">
        <v>16</v>
      </c>
      <c r="K15" s="1476" t="s">
        <v>17</v>
      </c>
      <c r="L15" s="1476" t="s">
        <v>18</v>
      </c>
      <c r="M15" s="1476" t="s">
        <v>19</v>
      </c>
      <c r="N15" s="1480" t="s">
        <v>20</v>
      </c>
    </row>
    <row r="16" spans="1:14" x14ac:dyDescent="0.25">
      <c r="A16" s="1477"/>
      <c r="B16" s="1476"/>
      <c r="C16" s="1476"/>
      <c r="D16" s="1476"/>
      <c r="E16" s="1478"/>
      <c r="F16" s="98" t="s">
        <v>21</v>
      </c>
      <c r="G16" s="1479"/>
      <c r="H16" s="1476"/>
      <c r="I16" s="1476"/>
      <c r="J16" s="1476"/>
      <c r="K16" s="1476"/>
      <c r="L16" s="1476"/>
      <c r="M16" s="1476"/>
      <c r="N16" s="1480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481" t="s">
        <v>194</v>
      </c>
      <c r="C29" s="1481"/>
      <c r="D29" s="1481"/>
      <c r="E29" s="1481"/>
      <c r="F29" s="1482">
        <v>147000</v>
      </c>
      <c r="G29" s="1483">
        <v>0</v>
      </c>
      <c r="H29" s="1482">
        <v>147000</v>
      </c>
      <c r="I29" s="1483">
        <v>0</v>
      </c>
      <c r="J29" s="1483">
        <v>47.25</v>
      </c>
      <c r="K29" s="1483">
        <v>0</v>
      </c>
      <c r="L29" s="1483">
        <v>0</v>
      </c>
      <c r="M29" s="1483">
        <v>47.25</v>
      </c>
      <c r="N29" s="1482">
        <v>146952.75</v>
      </c>
    </row>
    <row r="30" spans="1:14" x14ac:dyDescent="0.25">
      <c r="A30" s="99"/>
      <c r="B30" s="1481"/>
      <c r="C30" s="1481"/>
      <c r="D30" s="1481"/>
      <c r="E30" s="1481"/>
      <c r="F30" s="1482"/>
      <c r="G30" s="1483"/>
      <c r="H30" s="1482"/>
      <c r="I30" s="1483"/>
      <c r="J30" s="1483"/>
      <c r="K30" s="1483"/>
      <c r="L30" s="1483"/>
      <c r="M30" s="1483"/>
      <c r="N30" s="1482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454"/>
      <c r="B43" s="1454"/>
      <c r="C43" s="1454"/>
      <c r="D43" s="1454"/>
      <c r="E43" s="1454"/>
      <c r="F43" s="1454"/>
      <c r="G43" s="1454"/>
      <c r="H43" s="1454"/>
      <c r="I43" s="1454"/>
      <c r="J43" s="1454"/>
      <c r="K43" s="1454"/>
      <c r="L43" s="1454"/>
      <c r="M43" s="1454"/>
      <c r="N43" s="1454"/>
    </row>
    <row r="44" spans="1:14" x14ac:dyDescent="0.25">
      <c r="A44" s="1443"/>
      <c r="B44" s="1443"/>
      <c r="C44" s="1443"/>
      <c r="D44" s="1443"/>
      <c r="E44" s="1443"/>
      <c r="F44" s="1443"/>
      <c r="G44" s="1443"/>
      <c r="H44" s="1443"/>
      <c r="I44" s="1443"/>
      <c r="J44" s="1443"/>
      <c r="K44" s="1443"/>
      <c r="L44" s="1443"/>
      <c r="M44" s="1443"/>
      <c r="N44" s="1443"/>
    </row>
    <row r="45" spans="1:14" x14ac:dyDescent="0.25">
      <c r="A45" s="1454"/>
      <c r="B45" s="1454"/>
      <c r="C45" s="1454"/>
      <c r="D45" s="1454"/>
      <c r="E45" s="1454"/>
      <c r="F45" s="1454"/>
      <c r="G45" s="1454"/>
      <c r="H45" s="1454"/>
      <c r="I45" s="1454"/>
      <c r="J45" s="1454"/>
      <c r="K45" s="1454"/>
      <c r="L45" s="1454"/>
      <c r="M45" s="1454"/>
      <c r="N45" s="1454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443" t="s">
        <v>0</v>
      </c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  <c r="O6" s="1443"/>
      <c r="P6" s="1443"/>
      <c r="Q6" s="1443"/>
    </row>
    <row r="7" spans="2:17" x14ac:dyDescent="0.25">
      <c r="C7" s="1443" t="s">
        <v>1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4" t="s">
        <v>402</v>
      </c>
      <c r="D8" s="1444"/>
      <c r="E8" s="1444"/>
      <c r="F8" s="1444"/>
      <c r="G8" s="1444"/>
      <c r="H8" s="1444"/>
      <c r="I8" s="1444"/>
      <c r="J8" s="1444"/>
      <c r="K8" s="1444"/>
      <c r="L8" s="1444"/>
      <c r="M8" s="1444"/>
      <c r="N8" s="1444"/>
      <c r="O8" s="1444"/>
      <c r="P8" s="1444"/>
      <c r="Q8" s="144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443" t="s">
        <v>3</v>
      </c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  <c r="P10" s="1443"/>
      <c r="Q10" s="1443"/>
    </row>
    <row r="11" spans="2:17" x14ac:dyDescent="0.25">
      <c r="C11" s="1443" t="s">
        <v>506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2" t="s">
        <v>404</v>
      </c>
      <c r="D12" s="1442"/>
      <c r="E12" s="1442"/>
      <c r="F12" s="1442"/>
      <c r="G12" s="1442"/>
      <c r="H12" s="1442"/>
      <c r="I12" s="1442"/>
      <c r="J12" s="1442"/>
      <c r="K12" s="1442"/>
      <c r="L12" s="1442"/>
      <c r="M12" s="1442"/>
      <c r="N12" s="1442"/>
      <c r="O12" s="1442"/>
      <c r="P12" s="1442"/>
      <c r="Q12" s="1442"/>
    </row>
    <row r="14" spans="2:17" x14ac:dyDescent="0.25">
      <c r="B14" s="1458" t="s">
        <v>6</v>
      </c>
      <c r="C14" s="1459" t="s">
        <v>7</v>
      </c>
      <c r="D14" s="1459" t="s">
        <v>8</v>
      </c>
      <c r="E14" s="1459" t="s">
        <v>9</v>
      </c>
      <c r="F14" s="1459" t="s">
        <v>10</v>
      </c>
      <c r="G14" s="1461" t="s">
        <v>11</v>
      </c>
      <c r="H14" s="1459" t="s">
        <v>11</v>
      </c>
      <c r="I14" s="51" t="s">
        <v>12</v>
      </c>
      <c r="J14" s="1460" t="s">
        <v>13</v>
      </c>
      <c r="K14" s="1459" t="s">
        <v>14</v>
      </c>
      <c r="L14" s="1459" t="s">
        <v>15</v>
      </c>
      <c r="M14" s="1459" t="s">
        <v>16</v>
      </c>
      <c r="N14" s="1459" t="s">
        <v>17</v>
      </c>
      <c r="O14" s="1459" t="s">
        <v>18</v>
      </c>
      <c r="P14" s="1459" t="s">
        <v>19</v>
      </c>
      <c r="Q14" s="1462" t="s">
        <v>20</v>
      </c>
    </row>
    <row r="15" spans="2:17" x14ac:dyDescent="0.25">
      <c r="B15" s="1458"/>
      <c r="C15" s="1459"/>
      <c r="D15" s="1459"/>
      <c r="E15" s="1459"/>
      <c r="F15" s="1459"/>
      <c r="G15" s="1461"/>
      <c r="H15" s="1459"/>
      <c r="I15" s="52" t="s">
        <v>21</v>
      </c>
      <c r="J15" s="1460"/>
      <c r="K15" s="1459"/>
      <c r="L15" s="1459"/>
      <c r="M15" s="1459"/>
      <c r="N15" s="1459"/>
      <c r="O15" s="1459"/>
      <c r="P15" s="1459"/>
      <c r="Q15" s="1462"/>
    </row>
    <row r="17" spans="2:17" x14ac:dyDescent="0.25">
      <c r="B17" s="53">
        <v>1</v>
      </c>
      <c r="C17" s="54" t="s">
        <v>22</v>
      </c>
      <c r="D17" s="7" t="s">
        <v>23</v>
      </c>
      <c r="E17" s="1449" t="s">
        <v>24</v>
      </c>
      <c r="F17" s="1449"/>
      <c r="G17" s="1449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445" t="s">
        <v>30</v>
      </c>
      <c r="F18" s="1445" t="s">
        <v>31</v>
      </c>
      <c r="G18" s="144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445" t="s">
        <v>36</v>
      </c>
      <c r="F19" s="1445" t="s">
        <v>37</v>
      </c>
      <c r="G19" s="1445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445" t="s">
        <v>40</v>
      </c>
      <c r="F22" s="1445" t="s">
        <v>41</v>
      </c>
      <c r="G22" s="1445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445" t="s">
        <v>44</v>
      </c>
      <c r="F23" s="1445" t="s">
        <v>45</v>
      </c>
      <c r="G23" s="1445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445" t="s">
        <v>49</v>
      </c>
      <c r="F24" s="1445" t="s">
        <v>50</v>
      </c>
      <c r="G24" s="1445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445" t="s">
        <v>53</v>
      </c>
      <c r="F25" s="1445" t="s">
        <v>54</v>
      </c>
      <c r="G25" s="1445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445" t="s">
        <v>427</v>
      </c>
      <c r="F26" s="1445" t="s">
        <v>57</v>
      </c>
      <c r="G26" s="1445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445" t="s">
        <v>53</v>
      </c>
      <c r="F27" s="1445" t="s">
        <v>60</v>
      </c>
      <c r="G27" s="1445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445" t="s">
        <v>63</v>
      </c>
      <c r="F28" s="1445" t="s">
        <v>64</v>
      </c>
      <c r="G28" s="1445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445" t="s">
        <v>67</v>
      </c>
      <c r="F29" s="1445" t="s">
        <v>68</v>
      </c>
      <c r="G29" s="1445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445" t="s">
        <v>71</v>
      </c>
      <c r="F30" s="1445" t="s">
        <v>72</v>
      </c>
      <c r="G30" s="1445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445" t="s">
        <v>75</v>
      </c>
      <c r="F31" s="1445" t="s">
        <v>76</v>
      </c>
      <c r="G31" s="1445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445" t="s">
        <v>78</v>
      </c>
      <c r="F32" s="1445" t="s">
        <v>79</v>
      </c>
      <c r="G32" s="1445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445" t="s">
        <v>82</v>
      </c>
      <c r="F33" s="1445" t="s">
        <v>83</v>
      </c>
      <c r="G33" s="1445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445" t="s">
        <v>85</v>
      </c>
      <c r="F34" s="1445" t="s">
        <v>86</v>
      </c>
      <c r="G34" s="1445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445" t="s">
        <v>89</v>
      </c>
      <c r="F35" s="1445" t="s">
        <v>90</v>
      </c>
      <c r="G35" s="1445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445" t="s">
        <v>92</v>
      </c>
      <c r="F36" s="1445" t="s">
        <v>93</v>
      </c>
      <c r="G36" s="1445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445" t="s">
        <v>71</v>
      </c>
      <c r="F37" s="1445" t="s">
        <v>95</v>
      </c>
      <c r="G37" s="1445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445" t="s">
        <v>97</v>
      </c>
      <c r="F38" s="1445" t="s">
        <v>98</v>
      </c>
      <c r="G38" s="1445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445" t="s">
        <v>92</v>
      </c>
      <c r="F39" s="1445" t="s">
        <v>100</v>
      </c>
      <c r="G39" s="1445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445" t="s">
        <v>102</v>
      </c>
      <c r="F40" s="1445" t="s">
        <v>103</v>
      </c>
      <c r="G40" s="1445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445" t="s">
        <v>105</v>
      </c>
      <c r="F41" s="1445" t="s">
        <v>106</v>
      </c>
      <c r="G41" s="1445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445" t="s">
        <v>105</v>
      </c>
      <c r="F42" s="1445" t="s">
        <v>108</v>
      </c>
      <c r="G42" s="1445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445" t="s">
        <v>78</v>
      </c>
      <c r="F43" s="1445" t="s">
        <v>115</v>
      </c>
      <c r="G43" s="1445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445" t="s">
        <v>117</v>
      </c>
      <c r="F44" s="1445" t="s">
        <v>118</v>
      </c>
      <c r="G44" s="1445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445" t="s">
        <v>120</v>
      </c>
      <c r="F45" s="1445" t="s">
        <v>121</v>
      </c>
      <c r="G45" s="1445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445" t="s">
        <v>49</v>
      </c>
      <c r="F46" s="1445" t="s">
        <v>123</v>
      </c>
      <c r="G46" s="1445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445" t="s">
        <v>125</v>
      </c>
      <c r="F47" s="1445" t="s">
        <v>126</v>
      </c>
      <c r="G47" s="1445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445" t="s">
        <v>105</v>
      </c>
      <c r="F48" s="1445" t="s">
        <v>128</v>
      </c>
      <c r="G48" s="1445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445" t="s">
        <v>102</v>
      </c>
      <c r="F49" s="1445" t="s">
        <v>130</v>
      </c>
      <c r="G49" s="1445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445" t="s">
        <v>132</v>
      </c>
      <c r="F50" s="1445" t="s">
        <v>133</v>
      </c>
      <c r="G50" s="1445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445" t="s">
        <v>117</v>
      </c>
      <c r="F51" s="1445" t="s">
        <v>135</v>
      </c>
      <c r="G51" s="1445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445" t="s">
        <v>85</v>
      </c>
      <c r="F52" s="1445" t="s">
        <v>137</v>
      </c>
      <c r="G52" s="1445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445" t="s">
        <v>139</v>
      </c>
      <c r="F53" s="1445" t="s">
        <v>140</v>
      </c>
      <c r="G53" s="1445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445" t="s">
        <v>148</v>
      </c>
      <c r="F54" s="1445" t="s">
        <v>149</v>
      </c>
      <c r="G54" s="1445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445" t="s">
        <v>151</v>
      </c>
      <c r="F55" s="1445" t="s">
        <v>152</v>
      </c>
      <c r="G55" s="1445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445" t="s">
        <v>157</v>
      </c>
      <c r="F56" s="1445" t="s">
        <v>158</v>
      </c>
      <c r="G56" s="1445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445" t="s">
        <v>160</v>
      </c>
      <c r="F58" s="1445" t="s">
        <v>161</v>
      </c>
      <c r="G58" s="1445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445" t="s">
        <v>163</v>
      </c>
      <c r="F59" s="1445" t="s">
        <v>164</v>
      </c>
      <c r="G59" s="1445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445" t="s">
        <v>92</v>
      </c>
      <c r="F62" s="1445" t="s">
        <v>168</v>
      </c>
      <c r="G62" s="1445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445" t="s">
        <v>276</v>
      </c>
      <c r="F63" s="1445" t="s">
        <v>170</v>
      </c>
      <c r="G63" s="1445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445" t="s">
        <v>40</v>
      </c>
      <c r="F67" s="1445" t="s">
        <v>172</v>
      </c>
      <c r="G67" s="1445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445" t="s">
        <v>92</v>
      </c>
      <c r="F72" s="1445"/>
      <c r="G72" s="1445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445" t="s">
        <v>276</v>
      </c>
      <c r="F76" s="1445"/>
      <c r="G76" s="1445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445" t="s">
        <v>30</v>
      </c>
      <c r="F77" s="1445" t="s">
        <v>31</v>
      </c>
      <c r="G77" s="1445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445" t="s">
        <v>30</v>
      </c>
      <c r="F78" s="1445" t="s">
        <v>31</v>
      </c>
      <c r="G78" s="1445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445" t="s">
        <v>30</v>
      </c>
      <c r="F79" s="1445" t="s">
        <v>31</v>
      </c>
      <c r="G79" s="1445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445" t="s">
        <v>178</v>
      </c>
      <c r="F86" s="1445" t="s">
        <v>179</v>
      </c>
      <c r="G86" s="1445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463" t="s">
        <v>92</v>
      </c>
      <c r="F87" s="1463" t="s">
        <v>193</v>
      </c>
      <c r="G87" s="1463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445" t="s">
        <v>44</v>
      </c>
      <c r="F133" s="1445" t="s">
        <v>45</v>
      </c>
      <c r="G133" s="1445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464" t="s">
        <v>288</v>
      </c>
      <c r="D137" s="1464"/>
      <c r="E137" s="1464"/>
      <c r="F137" s="1464"/>
      <c r="G137" s="1464"/>
      <c r="H137" s="1464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443"/>
      <c r="D149" s="1443"/>
      <c r="E149" s="1443"/>
      <c r="F149" s="1443"/>
      <c r="G149" s="1443"/>
      <c r="H149" s="1443"/>
      <c r="I149" s="1443"/>
      <c r="J149" s="1443"/>
      <c r="K149" s="1443"/>
      <c r="L149" s="1443"/>
      <c r="M149" s="1443"/>
      <c r="N149" s="1443"/>
      <c r="O149" s="1443"/>
      <c r="P149" s="1443"/>
    </row>
    <row r="152" spans="3:16" x14ac:dyDescent="0.25">
      <c r="C152" s="1454"/>
      <c r="D152" s="1454"/>
      <c r="E152" s="1454"/>
      <c r="F152" s="1454"/>
      <c r="G152" s="1454"/>
      <c r="H152" s="1454"/>
      <c r="I152" s="1454"/>
      <c r="J152" s="1454"/>
      <c r="K152" s="1454"/>
      <c r="L152" s="1454"/>
      <c r="M152" s="1454"/>
      <c r="N152" s="1454"/>
      <c r="O152" s="1454"/>
      <c r="P152" s="1454"/>
    </row>
    <row r="153" spans="3:16" x14ac:dyDescent="0.25">
      <c r="C153" s="1443"/>
      <c r="D153" s="1443"/>
      <c r="E153" s="1443"/>
      <c r="F153" s="1443"/>
      <c r="G153" s="1443"/>
      <c r="H153" s="1443"/>
      <c r="I153" s="1443"/>
      <c r="J153" s="1443"/>
      <c r="K153" s="1443"/>
      <c r="L153" s="1443"/>
      <c r="M153" s="1443"/>
      <c r="N153" s="1443"/>
      <c r="O153" s="1443"/>
      <c r="P153" s="1443"/>
    </row>
    <row r="154" spans="3:16" x14ac:dyDescent="0.25">
      <c r="C154" s="1454"/>
      <c r="D154" s="1454"/>
      <c r="E154" s="1454"/>
      <c r="F154" s="1454"/>
      <c r="G154" s="1454"/>
      <c r="H154" s="1454"/>
      <c r="I154" s="1454"/>
      <c r="J154" s="1454"/>
      <c r="K154" s="1454"/>
      <c r="L154" s="1454"/>
      <c r="M154" s="1454"/>
      <c r="N154" s="1454"/>
      <c r="O154" s="1454"/>
      <c r="P154" s="1454"/>
    </row>
  </sheetData>
  <sheetProtection selectLockedCells="1" selectUnlockedCells="1"/>
  <mergeCells count="77">
    <mergeCell ref="C137:H137"/>
    <mergeCell ref="C149:P149"/>
    <mergeCell ref="C152:P152"/>
    <mergeCell ref="C153:P153"/>
    <mergeCell ref="C154:P154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443" t="s">
        <v>0</v>
      </c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  <c r="O6" s="1443"/>
      <c r="P6" s="1443"/>
      <c r="Q6" s="1443"/>
    </row>
    <row r="7" spans="2:17" x14ac:dyDescent="0.25">
      <c r="C7" s="1443" t="s">
        <v>512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4" t="s">
        <v>402</v>
      </c>
      <c r="D8" s="1444"/>
      <c r="E8" s="1444"/>
      <c r="F8" s="1444"/>
      <c r="G8" s="1444"/>
      <c r="H8" s="1444"/>
      <c r="I8" s="1444"/>
      <c r="J8" s="1444"/>
      <c r="K8" s="1444"/>
      <c r="L8" s="1444"/>
      <c r="M8" s="1444"/>
      <c r="N8" s="1444"/>
      <c r="O8" s="1444"/>
      <c r="P8" s="1444"/>
      <c r="Q8" s="144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443" t="s">
        <v>3</v>
      </c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  <c r="P10" s="1443"/>
      <c r="Q10" s="1443"/>
    </row>
    <row r="11" spans="2:17" x14ac:dyDescent="0.25">
      <c r="C11" s="1443" t="s">
        <v>513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2" t="s">
        <v>404</v>
      </c>
      <c r="D12" s="1442"/>
      <c r="E12" s="1442"/>
      <c r="F12" s="1442"/>
      <c r="G12" s="1442"/>
      <c r="H12" s="1442"/>
      <c r="I12" s="1442"/>
      <c r="J12" s="1442"/>
      <c r="K12" s="1442"/>
      <c r="L12" s="1442"/>
      <c r="M12" s="1442"/>
      <c r="N12" s="1442"/>
      <c r="O12" s="1442"/>
      <c r="P12" s="1442"/>
      <c r="Q12" s="1442"/>
    </row>
    <row r="14" spans="2:17" x14ac:dyDescent="0.25">
      <c r="B14" s="1458" t="s">
        <v>6</v>
      </c>
      <c r="C14" s="1459" t="s">
        <v>7</v>
      </c>
      <c r="D14" s="1459" t="s">
        <v>8</v>
      </c>
      <c r="E14" s="1459" t="s">
        <v>9</v>
      </c>
      <c r="F14" s="1459" t="s">
        <v>10</v>
      </c>
      <c r="G14" s="1461" t="s">
        <v>11</v>
      </c>
      <c r="H14" s="1459" t="s">
        <v>11</v>
      </c>
      <c r="I14" s="51" t="s">
        <v>12</v>
      </c>
      <c r="J14" s="1460" t="s">
        <v>13</v>
      </c>
      <c r="K14" s="1459" t="s">
        <v>14</v>
      </c>
      <c r="L14" s="1459" t="s">
        <v>15</v>
      </c>
      <c r="M14" s="1459" t="s">
        <v>16</v>
      </c>
      <c r="N14" s="1459" t="s">
        <v>17</v>
      </c>
      <c r="O14" s="1459" t="s">
        <v>18</v>
      </c>
      <c r="P14" s="1459" t="s">
        <v>19</v>
      </c>
      <c r="Q14" s="1462" t="s">
        <v>20</v>
      </c>
    </row>
    <row r="15" spans="2:17" x14ac:dyDescent="0.25">
      <c r="B15" s="1458"/>
      <c r="C15" s="1459"/>
      <c r="D15" s="1459"/>
      <c r="E15" s="1459"/>
      <c r="F15" s="1459"/>
      <c r="G15" s="1461"/>
      <c r="H15" s="1459"/>
      <c r="I15" s="52" t="s">
        <v>21</v>
      </c>
      <c r="J15" s="1460"/>
      <c r="K15" s="1459"/>
      <c r="L15" s="1459"/>
      <c r="M15" s="1459"/>
      <c r="N15" s="1459"/>
      <c r="O15" s="1459"/>
      <c r="P15" s="1459"/>
      <c r="Q15" s="1462"/>
    </row>
    <row r="17" spans="2:17" x14ac:dyDescent="0.25">
      <c r="B17" s="127">
        <v>1</v>
      </c>
      <c r="C17" s="54" t="s">
        <v>22</v>
      </c>
      <c r="D17" s="7" t="s">
        <v>23</v>
      </c>
      <c r="E17" s="1449" t="s">
        <v>24</v>
      </c>
      <c r="F17" s="1449"/>
      <c r="G17" s="1449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445" t="s">
        <v>30</v>
      </c>
      <c r="F18" s="1445" t="s">
        <v>31</v>
      </c>
      <c r="G18" s="1445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445" t="s">
        <v>36</v>
      </c>
      <c r="F19" s="1445" t="s">
        <v>37</v>
      </c>
      <c r="G19" s="1445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445" t="s">
        <v>40</v>
      </c>
      <c r="F21" s="1445" t="s">
        <v>41</v>
      </c>
      <c r="G21" s="1445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445" t="s">
        <v>44</v>
      </c>
      <c r="F22" s="1445" t="s">
        <v>45</v>
      </c>
      <c r="G22" s="1445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445" t="s">
        <v>49</v>
      </c>
      <c r="F23" s="1445" t="s">
        <v>50</v>
      </c>
      <c r="G23" s="1445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445" t="s">
        <v>53</v>
      </c>
      <c r="F24" s="1445" t="s">
        <v>54</v>
      </c>
      <c r="G24" s="1445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445" t="s">
        <v>427</v>
      </c>
      <c r="F25" s="1445" t="s">
        <v>57</v>
      </c>
      <c r="G25" s="1445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445" t="s">
        <v>53</v>
      </c>
      <c r="F26" s="1445" t="s">
        <v>60</v>
      </c>
      <c r="G26" s="1445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445" t="s">
        <v>514</v>
      </c>
      <c r="F27" s="1445" t="s">
        <v>64</v>
      </c>
      <c r="G27" s="1445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445" t="s">
        <v>67</v>
      </c>
      <c r="F28" s="1445" t="s">
        <v>68</v>
      </c>
      <c r="G28" s="1445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445" t="s">
        <v>71</v>
      </c>
      <c r="F29" s="1445" t="s">
        <v>72</v>
      </c>
      <c r="G29" s="1445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445" t="s">
        <v>515</v>
      </c>
      <c r="F30" s="1445" t="s">
        <v>79</v>
      </c>
      <c r="G30" s="1445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445" t="s">
        <v>78</v>
      </c>
      <c r="F31" s="1445" t="s">
        <v>79</v>
      </c>
      <c r="G31" s="1445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445" t="s">
        <v>82</v>
      </c>
      <c r="F32" s="1445" t="s">
        <v>83</v>
      </c>
      <c r="G32" s="1445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445" t="s">
        <v>85</v>
      </c>
      <c r="F33" s="1445" t="s">
        <v>86</v>
      </c>
      <c r="G33" s="1445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445" t="s">
        <v>89</v>
      </c>
      <c r="F34" s="1445" t="s">
        <v>90</v>
      </c>
      <c r="G34" s="1445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445" t="s">
        <v>92</v>
      </c>
      <c r="F35" s="1445" t="s">
        <v>93</v>
      </c>
      <c r="G35" s="1445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445" t="s">
        <v>71</v>
      </c>
      <c r="F36" s="1445" t="s">
        <v>95</v>
      </c>
      <c r="G36" s="1445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445" t="s">
        <v>97</v>
      </c>
      <c r="F37" s="1445" t="s">
        <v>98</v>
      </c>
      <c r="G37" s="1445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445" t="s">
        <v>92</v>
      </c>
      <c r="F38" s="1445" t="s">
        <v>100</v>
      </c>
      <c r="G38" s="1445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445" t="s">
        <v>102</v>
      </c>
      <c r="F39" s="1445" t="s">
        <v>103</v>
      </c>
      <c r="G39" s="1445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445" t="s">
        <v>105</v>
      </c>
      <c r="F40" s="1445" t="s">
        <v>106</v>
      </c>
      <c r="G40" s="1445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445" t="s">
        <v>105</v>
      </c>
      <c r="F41" s="1445" t="s">
        <v>108</v>
      </c>
      <c r="G41" s="1445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445" t="s">
        <v>515</v>
      </c>
      <c r="F42" s="1445" t="s">
        <v>115</v>
      </c>
      <c r="G42" s="1445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445" t="s">
        <v>489</v>
      </c>
      <c r="F43" s="1445" t="s">
        <v>118</v>
      </c>
      <c r="G43" s="1445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445" t="s">
        <v>120</v>
      </c>
      <c r="F44" s="1445" t="s">
        <v>121</v>
      </c>
      <c r="G44" s="1445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445" t="s">
        <v>49</v>
      </c>
      <c r="F45" s="1445" t="s">
        <v>123</v>
      </c>
      <c r="G45" s="1445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445" t="s">
        <v>125</v>
      </c>
      <c r="F46" s="1445" t="s">
        <v>126</v>
      </c>
      <c r="G46" s="1445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445" t="s">
        <v>105</v>
      </c>
      <c r="F47" s="1445" t="s">
        <v>128</v>
      </c>
      <c r="G47" s="1445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445" t="s">
        <v>102</v>
      </c>
      <c r="F48" s="1445" t="s">
        <v>130</v>
      </c>
      <c r="G48" s="1445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445" t="s">
        <v>132</v>
      </c>
      <c r="F49" s="1445" t="s">
        <v>133</v>
      </c>
      <c r="G49" s="1445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445" t="s">
        <v>489</v>
      </c>
      <c r="F50" s="1445" t="s">
        <v>118</v>
      </c>
      <c r="G50" s="1445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445" t="s">
        <v>85</v>
      </c>
      <c r="F51" s="1445" t="s">
        <v>137</v>
      </c>
      <c r="G51" s="1445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445" t="s">
        <v>516</v>
      </c>
      <c r="F52" s="1445" t="s">
        <v>140</v>
      </c>
      <c r="G52" s="1445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445" t="s">
        <v>148</v>
      </c>
      <c r="F53" s="1445" t="s">
        <v>149</v>
      </c>
      <c r="G53" s="1445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445" t="s">
        <v>151</v>
      </c>
      <c r="F54" s="1445" t="s">
        <v>152</v>
      </c>
      <c r="G54" s="1445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445" t="s">
        <v>157</v>
      </c>
      <c r="F55" s="1445" t="s">
        <v>158</v>
      </c>
      <c r="G55" s="1445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445" t="s">
        <v>160</v>
      </c>
      <c r="F57" s="1445" t="s">
        <v>161</v>
      </c>
      <c r="G57" s="1445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445" t="s">
        <v>163</v>
      </c>
      <c r="F58" s="1445" t="s">
        <v>164</v>
      </c>
      <c r="G58" s="1445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445" t="s">
        <v>92</v>
      </c>
      <c r="F61" s="1445" t="s">
        <v>168</v>
      </c>
      <c r="G61" s="1445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445" t="s">
        <v>248</v>
      </c>
      <c r="F62" s="1445" t="s">
        <v>170</v>
      </c>
      <c r="G62" s="1445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445" t="s">
        <v>40</v>
      </c>
      <c r="F66" s="1445" t="s">
        <v>172</v>
      </c>
      <c r="G66" s="1445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445" t="s">
        <v>518</v>
      </c>
      <c r="F71" s="1445"/>
      <c r="G71" s="1445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445" t="s">
        <v>30</v>
      </c>
      <c r="F72" s="1445" t="s">
        <v>31</v>
      </c>
      <c r="G72" s="1445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445" t="s">
        <v>30</v>
      </c>
      <c r="F73" s="1445" t="s">
        <v>31</v>
      </c>
      <c r="G73" s="1445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445" t="s">
        <v>30</v>
      </c>
      <c r="F74" s="1445" t="s">
        <v>31</v>
      </c>
      <c r="G74" s="1445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445" t="s">
        <v>178</v>
      </c>
      <c r="F80" s="1445" t="s">
        <v>179</v>
      </c>
      <c r="G80" s="1445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463" t="s">
        <v>92</v>
      </c>
      <c r="F81" s="1463" t="s">
        <v>193</v>
      </c>
      <c r="G81" s="1463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445" t="s">
        <v>44</v>
      </c>
      <c r="F105" s="1445" t="s">
        <v>45</v>
      </c>
      <c r="G105" s="1445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464" t="s">
        <v>288</v>
      </c>
      <c r="D109" s="1464"/>
      <c r="E109" s="1464"/>
      <c r="F109" s="1464"/>
      <c r="G109" s="1464"/>
      <c r="H109" s="1464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443"/>
      <c r="D122" s="1443"/>
      <c r="E122" s="1443"/>
      <c r="F122" s="1443"/>
      <c r="G122" s="1443"/>
      <c r="H122" s="1443"/>
      <c r="I122" s="1443"/>
      <c r="J122" s="1443"/>
      <c r="K122" s="1443"/>
      <c r="L122" s="1443"/>
      <c r="M122" s="1443"/>
      <c r="N122" s="1443"/>
      <c r="O122" s="1443"/>
      <c r="P122" s="1443"/>
    </row>
    <row r="125" spans="3:16" x14ac:dyDescent="0.25">
      <c r="C125" s="1454"/>
      <c r="D125" s="1454"/>
      <c r="E125" s="1454"/>
      <c r="F125" s="1454"/>
      <c r="G125" s="1454"/>
      <c r="H125" s="1454"/>
      <c r="I125" s="1454"/>
      <c r="J125" s="1454"/>
      <c r="K125" s="1454"/>
      <c r="L125" s="1454"/>
      <c r="M125" s="1454"/>
      <c r="N125" s="1454"/>
      <c r="O125" s="1454"/>
      <c r="P125" s="1454"/>
    </row>
    <row r="126" spans="3:16" x14ac:dyDescent="0.25">
      <c r="C126" s="1443"/>
      <c r="D126" s="1443"/>
      <c r="E126" s="1443"/>
      <c r="F126" s="1443"/>
      <c r="G126" s="1443"/>
      <c r="H126" s="1443"/>
      <c r="I126" s="1443"/>
      <c r="J126" s="1443"/>
      <c r="K126" s="1443"/>
      <c r="L126" s="1443"/>
      <c r="M126" s="1443"/>
      <c r="N126" s="1443"/>
      <c r="O126" s="1443"/>
      <c r="P126" s="1443"/>
    </row>
    <row r="127" spans="3:16" x14ac:dyDescent="0.25">
      <c r="C127" s="1454"/>
      <c r="D127" s="1454"/>
      <c r="E127" s="1454"/>
      <c r="F127" s="1454"/>
      <c r="G127" s="1454"/>
      <c r="H127" s="1454"/>
      <c r="I127" s="1454"/>
      <c r="J127" s="1454"/>
      <c r="K127" s="1454"/>
      <c r="L127" s="1454"/>
      <c r="M127" s="1454"/>
      <c r="N127" s="1454"/>
      <c r="O127" s="1454"/>
      <c r="P127" s="1454"/>
    </row>
  </sheetData>
  <sheetProtection selectLockedCells="1" selectUnlockedCells="1"/>
  <mergeCells count="76"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1:G21"/>
    <mergeCell ref="E22:G22"/>
    <mergeCell ref="B14:B15"/>
    <mergeCell ref="C14:C15"/>
    <mergeCell ref="D14:D15"/>
    <mergeCell ref="E14:E15"/>
    <mergeCell ref="F14:F15"/>
    <mergeCell ref="E19:G19"/>
    <mergeCell ref="C12:Q12"/>
    <mergeCell ref="C6:Q6"/>
    <mergeCell ref="C7:Q7"/>
    <mergeCell ref="C8:Q8"/>
    <mergeCell ref="C10:Q10"/>
    <mergeCell ref="C11:Q1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524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406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484" t="s">
        <v>194</v>
      </c>
      <c r="D33" s="1484"/>
      <c r="E33" s="1484"/>
      <c r="F33" s="1484"/>
      <c r="G33" s="1484"/>
      <c r="H33" s="1484"/>
      <c r="I33" s="1466">
        <f>SUM(I18:I32)</f>
        <v>645000</v>
      </c>
      <c r="J33" s="1468">
        <f>SUM(J18:J32)</f>
        <v>0</v>
      </c>
      <c r="K33" s="1466">
        <f>SUM(K18:K32)</f>
        <v>645000</v>
      </c>
      <c r="L33" s="1466">
        <v>18511.5</v>
      </c>
      <c r="M33" s="1466">
        <v>28057.91</v>
      </c>
      <c r="N33" s="1466">
        <f>SUM(N18:N32)</f>
        <v>19608</v>
      </c>
      <c r="O33" s="1466">
        <f>SUM(O18:O32)</f>
        <v>375</v>
      </c>
      <c r="P33" s="1466">
        <v>66552.41</v>
      </c>
      <c r="Q33" s="1465">
        <f>SUM(Q18:Q32)</f>
        <v>578447.59</v>
      </c>
    </row>
    <row r="34" spans="3:17" x14ac:dyDescent="0.25">
      <c r="C34" s="1484"/>
      <c r="D34" s="1484"/>
      <c r="E34" s="1484"/>
      <c r="F34" s="1484"/>
      <c r="G34" s="1484"/>
      <c r="H34" s="1484"/>
      <c r="I34" s="1466"/>
      <c r="J34" s="1468"/>
      <c r="K34" s="1466"/>
      <c r="L34" s="1466"/>
      <c r="M34" s="1466"/>
      <c r="N34" s="1466"/>
      <c r="O34" s="1466"/>
      <c r="P34" s="1466"/>
      <c r="Q34" s="1465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443"/>
      <c r="D45" s="1443"/>
      <c r="E45" s="1443"/>
      <c r="F45" s="1443"/>
      <c r="G45" s="1443"/>
      <c r="H45" s="1443"/>
      <c r="I45" s="1443"/>
      <c r="J45" s="1443"/>
      <c r="K45" s="1443"/>
      <c r="L45" s="1443"/>
      <c r="M45" s="1443"/>
      <c r="N45" s="1443"/>
      <c r="O45" s="1443"/>
      <c r="P45" s="1443"/>
    </row>
    <row r="48" spans="3:17" x14ac:dyDescent="0.25">
      <c r="C48" s="1454"/>
      <c r="D48" s="1454"/>
      <c r="E48" s="1454"/>
      <c r="F48" s="1454"/>
      <c r="G48" s="1454"/>
      <c r="H48" s="1454"/>
      <c r="I48" s="1454"/>
      <c r="J48" s="1454"/>
      <c r="K48" s="1454"/>
      <c r="L48" s="1454"/>
      <c r="M48" s="1454"/>
      <c r="N48" s="1454"/>
      <c r="O48" s="1454"/>
      <c r="P48" s="1454"/>
    </row>
    <row r="49" spans="3:16" x14ac:dyDescent="0.25">
      <c r="C49" s="1443"/>
      <c r="D49" s="1443"/>
      <c r="E49" s="1443"/>
      <c r="F49" s="1443"/>
      <c r="G49" s="1443"/>
      <c r="H49" s="1443"/>
      <c r="I49" s="1443"/>
      <c r="J49" s="1443"/>
      <c r="K49" s="1443"/>
      <c r="L49" s="1443"/>
      <c r="M49" s="1443"/>
      <c r="N49" s="1443"/>
      <c r="O49" s="1443"/>
      <c r="P49" s="1443"/>
    </row>
    <row r="50" spans="3:16" x14ac:dyDescent="0.25">
      <c r="C50" s="1454"/>
      <c r="D50" s="1454"/>
      <c r="E50" s="1454"/>
      <c r="F50" s="1454"/>
      <c r="G50" s="1454"/>
      <c r="H50" s="1454"/>
      <c r="I50" s="1454"/>
      <c r="J50" s="1454"/>
      <c r="K50" s="1454"/>
      <c r="L50" s="1454"/>
      <c r="M50" s="1454"/>
      <c r="N50" s="1454"/>
      <c r="O50" s="1454"/>
      <c r="P50" s="1454"/>
    </row>
  </sheetData>
  <sheetProtection selectLockedCells="1" selectUnlockedCells="1"/>
  <mergeCells count="35"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74" t="s">
        <v>0</v>
      </c>
      <c r="C7" s="1474"/>
      <c r="D7" s="1474"/>
      <c r="E7" s="1474"/>
      <c r="F7" s="1474"/>
      <c r="G7" s="1474"/>
      <c r="H7" s="1474"/>
      <c r="I7" s="1474"/>
      <c r="J7" s="1474"/>
      <c r="K7" s="1474"/>
      <c r="L7" s="1474"/>
      <c r="M7" s="1474"/>
      <c r="N7" s="1474"/>
    </row>
    <row r="8" spans="1:14" x14ac:dyDescent="0.25">
      <c r="B8" s="1474" t="s">
        <v>1</v>
      </c>
      <c r="C8" s="1474"/>
      <c r="D8" s="1474"/>
      <c r="E8" s="1474"/>
      <c r="F8" s="1474"/>
      <c r="G8" s="1474"/>
      <c r="H8" s="1474"/>
      <c r="I8" s="1474"/>
      <c r="J8" s="1474"/>
      <c r="K8" s="1474"/>
      <c r="L8" s="1474"/>
      <c r="M8" s="1474"/>
      <c r="N8" s="1474"/>
    </row>
    <row r="9" spans="1:14" x14ac:dyDescent="0.25">
      <c r="B9" s="1475" t="s">
        <v>402</v>
      </c>
      <c r="C9" s="1475"/>
      <c r="D9" s="1475"/>
      <c r="E9" s="1475"/>
      <c r="F9" s="1475"/>
      <c r="G9" s="1475"/>
      <c r="H9" s="1475"/>
      <c r="I9" s="1475"/>
      <c r="J9" s="1475"/>
      <c r="K9" s="1475"/>
      <c r="L9" s="1475"/>
      <c r="M9" s="1475"/>
      <c r="N9" s="1475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474" t="s">
        <v>3</v>
      </c>
      <c r="C11" s="1474"/>
      <c r="D11" s="1474"/>
      <c r="E11" s="1474"/>
      <c r="F11" s="1474"/>
      <c r="G11" s="1474"/>
      <c r="H11" s="1474"/>
      <c r="I11" s="1474"/>
      <c r="J11" s="1474"/>
      <c r="K11" s="1474"/>
      <c r="L11" s="1474"/>
      <c r="M11" s="1474"/>
      <c r="N11" s="1474"/>
    </row>
    <row r="12" spans="1:14" x14ac:dyDescent="0.25">
      <c r="B12" s="1474" t="s">
        <v>536</v>
      </c>
      <c r="C12" s="1474"/>
      <c r="D12" s="1474"/>
      <c r="E12" s="1474"/>
      <c r="F12" s="1474"/>
      <c r="G12" s="1474"/>
      <c r="H12" s="1474"/>
      <c r="I12" s="1474"/>
      <c r="J12" s="1474"/>
      <c r="K12" s="1474"/>
      <c r="L12" s="1474"/>
      <c r="M12" s="1474"/>
      <c r="N12" s="1474"/>
    </row>
    <row r="13" spans="1:14" x14ac:dyDescent="0.25">
      <c r="B13" s="1473" t="s">
        <v>5</v>
      </c>
      <c r="C13" s="1473"/>
      <c r="D13" s="1473"/>
      <c r="E13" s="1473"/>
      <c r="F13" s="1473"/>
      <c r="G13" s="1473"/>
      <c r="H13" s="1473"/>
      <c r="I13" s="1473"/>
      <c r="J13" s="1473"/>
      <c r="K13" s="1473"/>
      <c r="L13" s="1473"/>
      <c r="M13" s="1473"/>
      <c r="N13" s="147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77" t="s">
        <v>6</v>
      </c>
      <c r="B15" s="1476" t="s">
        <v>7</v>
      </c>
      <c r="C15" s="1476" t="s">
        <v>8</v>
      </c>
      <c r="D15" s="1476" t="s">
        <v>10</v>
      </c>
      <c r="E15" s="1478" t="s">
        <v>11</v>
      </c>
      <c r="F15" s="97" t="s">
        <v>12</v>
      </c>
      <c r="G15" s="1479" t="s">
        <v>13</v>
      </c>
      <c r="H15" s="1476" t="s">
        <v>14</v>
      </c>
      <c r="I15" s="1476" t="s">
        <v>15</v>
      </c>
      <c r="J15" s="1476" t="s">
        <v>16</v>
      </c>
      <c r="K15" s="1476" t="s">
        <v>17</v>
      </c>
      <c r="L15" s="1476" t="s">
        <v>18</v>
      </c>
      <c r="M15" s="1476" t="s">
        <v>19</v>
      </c>
      <c r="N15" s="1480" t="s">
        <v>20</v>
      </c>
    </row>
    <row r="16" spans="1:14" x14ac:dyDescent="0.25">
      <c r="A16" s="1477"/>
      <c r="B16" s="1476"/>
      <c r="C16" s="1476"/>
      <c r="D16" s="1476"/>
      <c r="E16" s="1478"/>
      <c r="F16" s="98" t="s">
        <v>21</v>
      </c>
      <c r="G16" s="1479"/>
      <c r="H16" s="1476"/>
      <c r="I16" s="1476"/>
      <c r="J16" s="1476"/>
      <c r="K16" s="1476"/>
      <c r="L16" s="1476"/>
      <c r="M16" s="1476"/>
      <c r="N16" s="1480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481" t="s">
        <v>194</v>
      </c>
      <c r="C29" s="1481"/>
      <c r="D29" s="1481"/>
      <c r="E29" s="1481"/>
      <c r="F29" s="1482">
        <v>147000</v>
      </c>
      <c r="G29" s="1483">
        <v>0</v>
      </c>
      <c r="H29" s="1482">
        <v>147000</v>
      </c>
      <c r="I29" s="1483">
        <v>0</v>
      </c>
      <c r="J29" s="1483">
        <v>47.25</v>
      </c>
      <c r="K29" s="1483">
        <v>0</v>
      </c>
      <c r="L29" s="1483">
        <v>0</v>
      </c>
      <c r="M29" s="1483">
        <v>0</v>
      </c>
      <c r="N29" s="1482">
        <v>146952.75</v>
      </c>
    </row>
    <row r="30" spans="1:14" x14ac:dyDescent="0.25">
      <c r="A30" s="99"/>
      <c r="B30" s="1481"/>
      <c r="C30" s="1481"/>
      <c r="D30" s="1481"/>
      <c r="E30" s="1481"/>
      <c r="F30" s="1482"/>
      <c r="G30" s="1483"/>
      <c r="H30" s="1482"/>
      <c r="I30" s="1483"/>
      <c r="J30" s="1483"/>
      <c r="K30" s="1483"/>
      <c r="L30" s="1483"/>
      <c r="M30" s="1483"/>
      <c r="N30" s="1482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454"/>
      <c r="B43" s="1454"/>
      <c r="C43" s="1454"/>
      <c r="D43" s="1454"/>
      <c r="E43" s="1454"/>
      <c r="F43" s="1454"/>
      <c r="G43" s="1454"/>
      <c r="H43" s="1454"/>
      <c r="I43" s="1454"/>
      <c r="J43" s="1454"/>
      <c r="K43" s="1454"/>
      <c r="L43" s="1454"/>
      <c r="M43" s="1454"/>
      <c r="N43" s="1454"/>
    </row>
    <row r="44" spans="1:14" x14ac:dyDescent="0.25">
      <c r="A44" s="1443"/>
      <c r="B44" s="1443"/>
      <c r="C44" s="1443"/>
      <c r="D44" s="1443"/>
      <c r="E44" s="1443"/>
      <c r="F44" s="1443"/>
      <c r="G44" s="1443"/>
      <c r="H44" s="1443"/>
      <c r="I44" s="1443"/>
      <c r="J44" s="1443"/>
      <c r="K44" s="1443"/>
      <c r="L44" s="1443"/>
      <c r="M44" s="1443"/>
      <c r="N44" s="1443"/>
    </row>
    <row r="45" spans="1:14" x14ac:dyDescent="0.25">
      <c r="A45" s="1454"/>
      <c r="B45" s="1454"/>
      <c r="C45" s="1454"/>
      <c r="D45" s="1454"/>
      <c r="E45" s="1454"/>
      <c r="F45" s="1454"/>
      <c r="G45" s="1454"/>
      <c r="H45" s="1454"/>
      <c r="I45" s="1454"/>
      <c r="J45" s="1454"/>
      <c r="K45" s="1454"/>
      <c r="L45" s="1454"/>
      <c r="M45" s="1454"/>
      <c r="N45" s="1454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4" t="s">
        <v>402</v>
      </c>
      <c r="D9" s="1444"/>
      <c r="E9" s="1444"/>
      <c r="F9" s="1444"/>
      <c r="G9" s="1444"/>
      <c r="H9" s="1444"/>
      <c r="I9" s="1444"/>
      <c r="J9" s="1444"/>
      <c r="K9" s="1444"/>
      <c r="L9" s="1444"/>
      <c r="M9" s="1444"/>
      <c r="N9" s="1444"/>
      <c r="O9" s="1444"/>
      <c r="P9" s="1444"/>
      <c r="Q9" s="1444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443" t="s">
        <v>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3" t="s">
        <v>538</v>
      </c>
      <c r="D12" s="1443"/>
      <c r="E12" s="1443"/>
      <c r="F12" s="1443"/>
      <c r="G12" s="1443"/>
      <c r="H12" s="1443"/>
      <c r="I12" s="1443"/>
      <c r="J12" s="1443"/>
      <c r="K12" s="1443"/>
      <c r="L12" s="1443"/>
      <c r="M12" s="1443"/>
      <c r="N12" s="1443"/>
      <c r="O12" s="1443"/>
      <c r="P12" s="1443"/>
      <c r="Q12" s="1443"/>
    </row>
    <row r="13" spans="2:17" x14ac:dyDescent="0.25">
      <c r="C13" s="1442" t="s">
        <v>441</v>
      </c>
      <c r="D13" s="1442"/>
      <c r="E13" s="1442"/>
      <c r="F13" s="1442"/>
      <c r="G13" s="1442"/>
      <c r="H13" s="1442"/>
      <c r="I13" s="1442"/>
      <c r="J13" s="1442"/>
      <c r="K13" s="1442"/>
      <c r="L13" s="1442"/>
      <c r="M13" s="1442"/>
      <c r="N13" s="1442"/>
      <c r="O13" s="1442"/>
      <c r="P13" s="1442"/>
      <c r="Q13" s="1442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446" t="s">
        <v>6</v>
      </c>
      <c r="C15" s="1447" t="s">
        <v>7</v>
      </c>
      <c r="D15" s="1447" t="s">
        <v>8</v>
      </c>
      <c r="E15" s="1447" t="s">
        <v>10</v>
      </c>
      <c r="F15" s="1451" t="s">
        <v>11</v>
      </c>
      <c r="G15" s="1447" t="s">
        <v>208</v>
      </c>
      <c r="H15" s="1447" t="s">
        <v>209</v>
      </c>
      <c r="I15" s="3" t="s">
        <v>12</v>
      </c>
      <c r="J15" s="1450" t="s">
        <v>13</v>
      </c>
      <c r="K15" s="1447" t="s">
        <v>14</v>
      </c>
      <c r="L15" s="1447" t="s">
        <v>15</v>
      </c>
      <c r="M15" s="1447" t="s">
        <v>16</v>
      </c>
      <c r="N15" s="1447" t="s">
        <v>17</v>
      </c>
      <c r="O15" s="1447" t="s">
        <v>18</v>
      </c>
      <c r="P15" s="1447" t="s">
        <v>19</v>
      </c>
      <c r="Q15" s="1448" t="s">
        <v>20</v>
      </c>
    </row>
    <row r="16" spans="2:17" x14ac:dyDescent="0.25">
      <c r="B16" s="1446"/>
      <c r="C16" s="1447"/>
      <c r="D16" s="1447"/>
      <c r="E16" s="1447"/>
      <c r="F16" s="1451"/>
      <c r="G16" s="1447"/>
      <c r="H16" s="1447"/>
      <c r="I16" s="4" t="s">
        <v>21</v>
      </c>
      <c r="J16" s="1450"/>
      <c r="K16" s="1447"/>
      <c r="L16" s="1447"/>
      <c r="M16" s="1447"/>
      <c r="N16" s="1447"/>
      <c r="O16" s="1447"/>
      <c r="P16" s="1447"/>
      <c r="Q16" s="1448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472" t="s">
        <v>194</v>
      </c>
      <c r="D19" s="1472"/>
      <c r="E19" s="1472"/>
      <c r="F19" s="1472"/>
      <c r="G19" s="1472"/>
      <c r="H19" s="1472"/>
      <c r="I19" s="1466">
        <f>SUM(I18:I18)</f>
        <v>80000</v>
      </c>
      <c r="J19" s="1468">
        <f>SUM(J18:J18)</f>
        <v>0</v>
      </c>
      <c r="K19" s="1466">
        <v>80000</v>
      </c>
      <c r="L19" s="1466">
        <v>2296</v>
      </c>
      <c r="M19" s="1466">
        <v>7400.87</v>
      </c>
      <c r="N19" s="1466">
        <v>2432</v>
      </c>
      <c r="O19" s="1466">
        <f>SUM(O18:O18)</f>
        <v>25</v>
      </c>
      <c r="P19" s="1466">
        <v>12153.87</v>
      </c>
      <c r="Q19" s="1465">
        <f>SUM(Q18:Q18)</f>
        <v>67846.13</v>
      </c>
    </row>
    <row r="20" spans="2:17" x14ac:dyDescent="0.25">
      <c r="C20" s="1472"/>
      <c r="D20" s="1472"/>
      <c r="E20" s="1472"/>
      <c r="F20" s="1472"/>
      <c r="G20" s="1472"/>
      <c r="H20" s="1472"/>
      <c r="I20" s="1466"/>
      <c r="J20" s="1468"/>
      <c r="K20" s="1466"/>
      <c r="L20" s="1466"/>
      <c r="M20" s="1466"/>
      <c r="N20" s="1466"/>
      <c r="O20" s="1466"/>
      <c r="P20" s="1466"/>
      <c r="Q20" s="1465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443" t="s">
        <v>196</v>
      </c>
      <c r="O30" s="1443"/>
      <c r="P30" s="1443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454" t="s">
        <v>198</v>
      </c>
      <c r="O33" s="1454"/>
      <c r="P33" s="1454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443"/>
      <c r="D38" s="1443"/>
      <c r="E38" s="1443"/>
      <c r="F38" s="1443"/>
      <c r="G38" s="1443"/>
      <c r="H38" s="1443"/>
      <c r="I38" s="1443"/>
      <c r="J38" s="1443"/>
      <c r="K38" s="1443"/>
      <c r="L38" s="1443"/>
      <c r="M38" s="1443"/>
      <c r="N38" s="1443"/>
      <c r="O38" s="1443"/>
      <c r="P38" s="1443"/>
    </row>
    <row r="41" spans="3:16" x14ac:dyDescent="0.25">
      <c r="C41" s="1454"/>
      <c r="D41" s="1454"/>
      <c r="E41" s="1454"/>
      <c r="F41" s="1454"/>
      <c r="G41" s="1454"/>
      <c r="H41" s="1454"/>
      <c r="I41" s="1454"/>
      <c r="J41" s="1454"/>
      <c r="K41" s="1454"/>
      <c r="L41" s="1454"/>
      <c r="M41" s="1454"/>
      <c r="N41" s="1454"/>
      <c r="O41" s="1454"/>
      <c r="P41" s="1454"/>
    </row>
    <row r="42" spans="3:16" x14ac:dyDescent="0.25">
      <c r="C42" s="1443"/>
      <c r="D42" s="1443"/>
      <c r="E42" s="1443"/>
      <c r="F42" s="1443"/>
      <c r="G42" s="1443"/>
      <c r="H42" s="1443"/>
      <c r="I42" s="1443"/>
      <c r="J42" s="1443"/>
      <c r="K42" s="1443"/>
      <c r="L42" s="1443"/>
      <c r="M42" s="1443"/>
      <c r="N42" s="1443"/>
      <c r="O42" s="1443"/>
      <c r="P42" s="1443"/>
    </row>
    <row r="43" spans="3:16" x14ac:dyDescent="0.25">
      <c r="C43" s="1454"/>
      <c r="D43" s="1454"/>
      <c r="E43" s="1454"/>
      <c r="F43" s="1454"/>
      <c r="G43" s="1454"/>
      <c r="H43" s="1454"/>
      <c r="I43" s="1454"/>
      <c r="J43" s="1454"/>
      <c r="K43" s="1454"/>
      <c r="L43" s="1454"/>
      <c r="M43" s="1454"/>
      <c r="N43" s="1454"/>
      <c r="O43" s="1454"/>
      <c r="P43" s="1454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443" t="s">
        <v>0</v>
      </c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  <c r="O6" s="1443"/>
      <c r="P6" s="1443"/>
      <c r="Q6" s="1443"/>
    </row>
    <row r="7" spans="2:17" x14ac:dyDescent="0.25"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3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3" t="s">
        <v>539</v>
      </c>
      <c r="D9" s="1443"/>
      <c r="E9" s="1443"/>
      <c r="F9" s="1443"/>
      <c r="G9" s="1443"/>
      <c r="H9" s="1443"/>
      <c r="I9" s="1443"/>
      <c r="J9" s="1443"/>
      <c r="K9" s="1443"/>
      <c r="L9" s="1443"/>
      <c r="M9" s="1443"/>
      <c r="N9" s="1443"/>
      <c r="O9" s="1443"/>
      <c r="P9" s="1443"/>
      <c r="Q9" s="1443"/>
    </row>
    <row r="10" spans="2:17" x14ac:dyDescent="0.25">
      <c r="C10" s="1442" t="s">
        <v>404</v>
      </c>
      <c r="D10" s="1442"/>
      <c r="E10" s="1442"/>
      <c r="F10" s="1442"/>
      <c r="G10" s="1442"/>
      <c r="H10" s="1442"/>
      <c r="I10" s="1442"/>
      <c r="J10" s="1442"/>
      <c r="K10" s="1442"/>
      <c r="L10" s="1442"/>
      <c r="M10" s="1442"/>
      <c r="N10" s="1442"/>
      <c r="O10" s="1442"/>
      <c r="P10" s="1442"/>
      <c r="Q10" s="1442"/>
    </row>
    <row r="12" spans="2:17" x14ac:dyDescent="0.25">
      <c r="B12" s="1458" t="s">
        <v>6</v>
      </c>
      <c r="C12" s="1459" t="s">
        <v>7</v>
      </c>
      <c r="D12" s="1459" t="s">
        <v>8</v>
      </c>
      <c r="E12" s="1459" t="s">
        <v>9</v>
      </c>
      <c r="F12" s="1459" t="s">
        <v>10</v>
      </c>
      <c r="G12" s="1461" t="s">
        <v>11</v>
      </c>
      <c r="H12" s="1459" t="s">
        <v>11</v>
      </c>
      <c r="I12" s="51" t="s">
        <v>12</v>
      </c>
      <c r="J12" s="1460" t="s">
        <v>13</v>
      </c>
      <c r="K12" s="1459" t="s">
        <v>14</v>
      </c>
      <c r="L12" s="1459" t="s">
        <v>15</v>
      </c>
      <c r="M12" s="1459" t="s">
        <v>16</v>
      </c>
      <c r="N12" s="1459" t="s">
        <v>17</v>
      </c>
      <c r="O12" s="1459" t="s">
        <v>18</v>
      </c>
      <c r="P12" s="1459" t="s">
        <v>19</v>
      </c>
      <c r="Q12" s="1462" t="s">
        <v>20</v>
      </c>
    </row>
    <row r="13" spans="2:17" x14ac:dyDescent="0.25">
      <c r="B13" s="1458"/>
      <c r="C13" s="1459"/>
      <c r="D13" s="1459"/>
      <c r="E13" s="1459"/>
      <c r="F13" s="1459"/>
      <c r="G13" s="1461"/>
      <c r="H13" s="1459"/>
      <c r="I13" s="52" t="s">
        <v>21</v>
      </c>
      <c r="J13" s="1460"/>
      <c r="K13" s="1459"/>
      <c r="L13" s="1459"/>
      <c r="M13" s="1459"/>
      <c r="N13" s="1459"/>
      <c r="O13" s="1459"/>
      <c r="P13" s="1459"/>
      <c r="Q13" s="1462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449" t="s">
        <v>24</v>
      </c>
      <c r="F15" s="1449"/>
      <c r="G15" s="1449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445" t="s">
        <v>30</v>
      </c>
      <c r="F16" s="1445" t="s">
        <v>31</v>
      </c>
      <c r="G16" s="1445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445" t="s">
        <v>36</v>
      </c>
      <c r="F17" s="1445" t="s">
        <v>37</v>
      </c>
      <c r="G17" s="1445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445" t="s">
        <v>40</v>
      </c>
      <c r="F19" s="1445" t="s">
        <v>41</v>
      </c>
      <c r="G19" s="1445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445" t="s">
        <v>44</v>
      </c>
      <c r="F20" s="1445" t="s">
        <v>45</v>
      </c>
      <c r="G20" s="1445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445" t="s">
        <v>49</v>
      </c>
      <c r="F21" s="1445" t="s">
        <v>50</v>
      </c>
      <c r="G21" s="1445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445" t="s">
        <v>53</v>
      </c>
      <c r="F22" s="1445" t="s">
        <v>54</v>
      </c>
      <c r="G22" s="1445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445" t="s">
        <v>427</v>
      </c>
      <c r="F23" s="1445" t="s">
        <v>57</v>
      </c>
      <c r="G23" s="1445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445" t="s">
        <v>53</v>
      </c>
      <c r="F24" s="1445" t="s">
        <v>60</v>
      </c>
      <c r="G24" s="1445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445" t="s">
        <v>514</v>
      </c>
      <c r="F25" s="1445" t="s">
        <v>64</v>
      </c>
      <c r="G25" s="1445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445" t="s">
        <v>67</v>
      </c>
      <c r="F26" s="1445" t="s">
        <v>68</v>
      </c>
      <c r="G26" s="1445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445" t="s">
        <v>71</v>
      </c>
      <c r="F27" s="1445" t="s">
        <v>72</v>
      </c>
      <c r="G27" s="1445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445" t="s">
        <v>515</v>
      </c>
      <c r="F28" s="1445" t="s">
        <v>79</v>
      </c>
      <c r="G28" s="1445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445" t="s">
        <v>78</v>
      </c>
      <c r="F29" s="1445" t="s">
        <v>79</v>
      </c>
      <c r="G29" s="1445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445" t="s">
        <v>82</v>
      </c>
      <c r="F30" s="1445" t="s">
        <v>83</v>
      </c>
      <c r="G30" s="1445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445" t="s">
        <v>85</v>
      </c>
      <c r="F31" s="1445" t="s">
        <v>86</v>
      </c>
      <c r="G31" s="1445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445" t="s">
        <v>89</v>
      </c>
      <c r="F32" s="1445" t="s">
        <v>90</v>
      </c>
      <c r="G32" s="1445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445" t="s">
        <v>92</v>
      </c>
      <c r="F33" s="1445" t="s">
        <v>93</v>
      </c>
      <c r="G33" s="1445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445" t="s">
        <v>71</v>
      </c>
      <c r="F34" s="1445" t="s">
        <v>95</v>
      </c>
      <c r="G34" s="1445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445" t="s">
        <v>97</v>
      </c>
      <c r="F35" s="1445" t="s">
        <v>98</v>
      </c>
      <c r="G35" s="1445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445" t="s">
        <v>92</v>
      </c>
      <c r="F36" s="1445" t="s">
        <v>100</v>
      </c>
      <c r="G36" s="1445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445" t="s">
        <v>102</v>
      </c>
      <c r="F37" s="1445" t="s">
        <v>103</v>
      </c>
      <c r="G37" s="1445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445" t="s">
        <v>105</v>
      </c>
      <c r="F38" s="1445" t="s">
        <v>106</v>
      </c>
      <c r="G38" s="1445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445" t="s">
        <v>105</v>
      </c>
      <c r="F39" s="1445" t="s">
        <v>108</v>
      </c>
      <c r="G39" s="1445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445" t="s">
        <v>515</v>
      </c>
      <c r="F40" s="1445" t="s">
        <v>115</v>
      </c>
      <c r="G40" s="1445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445" t="s">
        <v>489</v>
      </c>
      <c r="F41" s="1445" t="s">
        <v>118</v>
      </c>
      <c r="G41" s="1445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445" t="s">
        <v>120</v>
      </c>
      <c r="F42" s="1445" t="s">
        <v>121</v>
      </c>
      <c r="G42" s="1445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445" t="s">
        <v>49</v>
      </c>
      <c r="F43" s="1445" t="s">
        <v>123</v>
      </c>
      <c r="G43" s="1445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445" t="s">
        <v>125</v>
      </c>
      <c r="F44" s="1445" t="s">
        <v>126</v>
      </c>
      <c r="G44" s="1445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445" t="s">
        <v>105</v>
      </c>
      <c r="F45" s="1445" t="s">
        <v>128</v>
      </c>
      <c r="G45" s="1445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445" t="s">
        <v>102</v>
      </c>
      <c r="F46" s="1445" t="s">
        <v>130</v>
      </c>
      <c r="G46" s="1445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445" t="s">
        <v>132</v>
      </c>
      <c r="F47" s="1445" t="s">
        <v>133</v>
      </c>
      <c r="G47" s="1445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445" t="s">
        <v>489</v>
      </c>
      <c r="F48" s="1445" t="s">
        <v>118</v>
      </c>
      <c r="G48" s="1445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445" t="s">
        <v>85</v>
      </c>
      <c r="F49" s="1445" t="s">
        <v>137</v>
      </c>
      <c r="G49" s="1445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445" t="s">
        <v>516</v>
      </c>
      <c r="F50" s="1445" t="s">
        <v>140</v>
      </c>
      <c r="G50" s="1445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445" t="s">
        <v>148</v>
      </c>
      <c r="F51" s="1445" t="s">
        <v>149</v>
      </c>
      <c r="G51" s="1445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445" t="s">
        <v>151</v>
      </c>
      <c r="F52" s="1445" t="s">
        <v>152</v>
      </c>
      <c r="G52" s="1445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445" t="s">
        <v>157</v>
      </c>
      <c r="F53" s="1445" t="s">
        <v>158</v>
      </c>
      <c r="G53" s="1445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445" t="s">
        <v>160</v>
      </c>
      <c r="F55" s="1445" t="s">
        <v>161</v>
      </c>
      <c r="G55" s="1445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445" t="s">
        <v>163</v>
      </c>
      <c r="F56" s="1445" t="s">
        <v>164</v>
      </c>
      <c r="G56" s="1445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445" t="s">
        <v>92</v>
      </c>
      <c r="F59" s="1445" t="s">
        <v>168</v>
      </c>
      <c r="G59" s="1445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445" t="s">
        <v>248</v>
      </c>
      <c r="F60" s="1445" t="s">
        <v>170</v>
      </c>
      <c r="G60" s="1445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445" t="s">
        <v>40</v>
      </c>
      <c r="F64" s="1445" t="s">
        <v>172</v>
      </c>
      <c r="G64" s="1445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445" t="s">
        <v>518</v>
      </c>
      <c r="F69" s="1445"/>
      <c r="G69" s="1445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445" t="s">
        <v>30</v>
      </c>
      <c r="F70" s="1445" t="s">
        <v>31</v>
      </c>
      <c r="G70" s="1445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445" t="s">
        <v>30</v>
      </c>
      <c r="F71" s="1445" t="s">
        <v>31</v>
      </c>
      <c r="G71" s="1445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445" t="s">
        <v>30</v>
      </c>
      <c r="F72" s="1445" t="s">
        <v>31</v>
      </c>
      <c r="G72" s="1445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445" t="s">
        <v>178</v>
      </c>
      <c r="F78" s="1445" t="s">
        <v>179</v>
      </c>
      <c r="G78" s="1445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463" t="s">
        <v>92</v>
      </c>
      <c r="F79" s="1463" t="s">
        <v>193</v>
      </c>
      <c r="G79" s="1463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445" t="s">
        <v>44</v>
      </c>
      <c r="F100" s="1445" t="s">
        <v>45</v>
      </c>
      <c r="G100" s="1445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464" t="s">
        <v>288</v>
      </c>
      <c r="D117" s="1464"/>
      <c r="E117" s="1464"/>
      <c r="F117" s="1464"/>
      <c r="G117" s="1464"/>
      <c r="H117" s="1464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443"/>
      <c r="D126" s="1443"/>
      <c r="E126" s="1443"/>
      <c r="F126" s="1443"/>
      <c r="G126" s="1443"/>
      <c r="H126" s="1443"/>
      <c r="I126" s="1443"/>
      <c r="J126" s="1443"/>
      <c r="K126" s="1443"/>
      <c r="L126" s="1443"/>
      <c r="M126" s="1443"/>
      <c r="N126" s="1443"/>
      <c r="O126" s="1443"/>
      <c r="P126" s="1443"/>
    </row>
    <row r="129" spans="3:16" x14ac:dyDescent="0.25">
      <c r="C129" s="1454"/>
      <c r="D129" s="1454"/>
      <c r="E129" s="1454"/>
      <c r="F129" s="1454"/>
      <c r="G129" s="1454"/>
      <c r="H129" s="1454"/>
      <c r="I129" s="1454"/>
      <c r="J129" s="1454"/>
      <c r="K129" s="1454"/>
      <c r="L129" s="1454"/>
      <c r="M129" s="1454"/>
      <c r="N129" s="1454"/>
      <c r="O129" s="1454"/>
      <c r="P129" s="1454"/>
    </row>
    <row r="130" spans="3:16" x14ac:dyDescent="0.25">
      <c r="C130" s="1443"/>
      <c r="D130" s="1443"/>
      <c r="E130" s="1443"/>
      <c r="F130" s="1443"/>
      <c r="G130" s="1443"/>
      <c r="H130" s="1443"/>
      <c r="I130" s="1443"/>
      <c r="J130" s="1443"/>
      <c r="K130" s="1443"/>
      <c r="L130" s="1443"/>
      <c r="M130" s="1443"/>
      <c r="N130" s="1443"/>
      <c r="O130" s="1443"/>
      <c r="P130" s="1443"/>
    </row>
    <row r="131" spans="3:16" x14ac:dyDescent="0.25">
      <c r="C131" s="1454"/>
      <c r="D131" s="1454"/>
      <c r="E131" s="1454"/>
      <c r="F131" s="1454"/>
      <c r="G131" s="1454"/>
      <c r="H131" s="1454"/>
      <c r="I131" s="1454"/>
      <c r="J131" s="1454"/>
      <c r="K131" s="1454"/>
      <c r="L131" s="1454"/>
      <c r="M131" s="1454"/>
      <c r="N131" s="1454"/>
      <c r="O131" s="1454"/>
      <c r="P131" s="1454"/>
    </row>
  </sheetData>
  <sheetProtection selectLockedCells="1" selectUnlockedCells="1"/>
  <mergeCells count="75">
    <mergeCell ref="C117:H117"/>
    <mergeCell ref="C126:P126"/>
    <mergeCell ref="C129:P129"/>
    <mergeCell ref="C130:P130"/>
    <mergeCell ref="C131:P131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15:G15"/>
    <mergeCell ref="E16:G16"/>
    <mergeCell ref="G12:G13"/>
    <mergeCell ref="H12:H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474" t="s">
        <v>0</v>
      </c>
      <c r="C7" s="1474"/>
      <c r="D7" s="1474"/>
      <c r="E7" s="1474"/>
      <c r="F7" s="1474"/>
      <c r="G7" s="1474"/>
      <c r="H7" s="1474"/>
      <c r="I7" s="1474"/>
      <c r="J7" s="1474"/>
      <c r="K7" s="1474"/>
      <c r="L7" s="1474"/>
      <c r="M7" s="1474"/>
      <c r="N7" s="1474"/>
    </row>
    <row r="8" spans="1:14" x14ac:dyDescent="0.25">
      <c r="B8" s="1474" t="s">
        <v>1</v>
      </c>
      <c r="C8" s="1474"/>
      <c r="D8" s="1474"/>
      <c r="E8" s="1474"/>
      <c r="F8" s="1474"/>
      <c r="G8" s="1474"/>
      <c r="H8" s="1474"/>
      <c r="I8" s="1474"/>
      <c r="J8" s="1474"/>
      <c r="K8" s="1474"/>
      <c r="L8" s="1474"/>
      <c r="M8" s="1474"/>
      <c r="N8" s="1474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74" t="s">
        <v>3</v>
      </c>
      <c r="C10" s="1474"/>
      <c r="D10" s="1474"/>
      <c r="E10" s="1474"/>
      <c r="F10" s="1474"/>
      <c r="G10" s="1474"/>
      <c r="H10" s="1474"/>
      <c r="I10" s="1474"/>
      <c r="J10" s="1474"/>
      <c r="K10" s="1474"/>
      <c r="L10" s="1474"/>
      <c r="M10" s="1474"/>
      <c r="N10" s="1474"/>
    </row>
    <row r="11" spans="1:14" x14ac:dyDescent="0.25">
      <c r="B11" s="1474" t="s">
        <v>556</v>
      </c>
      <c r="C11" s="1474"/>
      <c r="D11" s="1474"/>
      <c r="E11" s="1474"/>
      <c r="F11" s="1474"/>
      <c r="G11" s="1474"/>
      <c r="H11" s="1474"/>
      <c r="I11" s="1474"/>
      <c r="J11" s="1474"/>
      <c r="K11" s="1474"/>
      <c r="L11" s="1474"/>
      <c r="M11" s="1474"/>
      <c r="N11" s="1474"/>
    </row>
    <row r="12" spans="1:14" x14ac:dyDescent="0.25">
      <c r="B12" s="1473" t="s">
        <v>5</v>
      </c>
      <c r="C12" s="1473"/>
      <c r="D12" s="1473"/>
      <c r="E12" s="1473"/>
      <c r="F12" s="1473"/>
      <c r="G12" s="1473"/>
      <c r="H12" s="1473"/>
      <c r="I12" s="1473"/>
      <c r="J12" s="1473"/>
      <c r="K12" s="1473"/>
      <c r="L12" s="1473"/>
      <c r="M12" s="1473"/>
      <c r="N12" s="1473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85" t="s">
        <v>6</v>
      </c>
      <c r="B14" s="1485" t="s">
        <v>7</v>
      </c>
      <c r="C14" s="1485" t="s">
        <v>8</v>
      </c>
      <c r="D14" s="1485" t="s">
        <v>10</v>
      </c>
      <c r="E14" s="1485" t="s">
        <v>11</v>
      </c>
      <c r="F14" s="132" t="s">
        <v>12</v>
      </c>
      <c r="G14" s="1485" t="s">
        <v>13</v>
      </c>
      <c r="H14" s="1485" t="s">
        <v>14</v>
      </c>
      <c r="I14" s="1485" t="s">
        <v>15</v>
      </c>
      <c r="J14" s="1485" t="s">
        <v>16</v>
      </c>
      <c r="K14" s="1485" t="s">
        <v>17</v>
      </c>
      <c r="L14" s="1485" t="s">
        <v>18</v>
      </c>
      <c r="M14" s="1485" t="s">
        <v>19</v>
      </c>
      <c r="N14" s="1485" t="s">
        <v>20</v>
      </c>
    </row>
    <row r="15" spans="1:14" x14ac:dyDescent="0.25">
      <c r="A15" s="1485"/>
      <c r="B15" s="1485"/>
      <c r="C15" s="1485"/>
      <c r="D15" s="1485"/>
      <c r="E15" s="1485"/>
      <c r="F15" s="133" t="s">
        <v>21</v>
      </c>
      <c r="G15" s="1485"/>
      <c r="H15" s="1485"/>
      <c r="I15" s="1485"/>
      <c r="J15" s="1485"/>
      <c r="K15" s="1485"/>
      <c r="L15" s="1485"/>
      <c r="M15" s="1485"/>
      <c r="N15" s="1485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481" t="s">
        <v>194</v>
      </c>
      <c r="C28" s="1481"/>
      <c r="D28" s="1481"/>
      <c r="E28" s="1481"/>
      <c r="F28" s="1482">
        <v>171000</v>
      </c>
      <c r="G28" s="1483">
        <v>0</v>
      </c>
      <c r="H28" s="1482">
        <v>171000</v>
      </c>
      <c r="I28" s="1483">
        <v>0</v>
      </c>
      <c r="J28" s="1483">
        <v>94.5</v>
      </c>
      <c r="K28" s="1483">
        <v>0</v>
      </c>
      <c r="L28" s="1483">
        <v>0</v>
      </c>
      <c r="M28" s="1483">
        <v>94.5</v>
      </c>
      <c r="N28" s="1482">
        <v>170905.5</v>
      </c>
    </row>
    <row r="29" spans="1:14" x14ac:dyDescent="0.25">
      <c r="A29" s="110"/>
      <c r="B29" s="1481"/>
      <c r="C29" s="1481"/>
      <c r="D29" s="1481"/>
      <c r="E29" s="1481"/>
      <c r="F29" s="1482"/>
      <c r="G29" s="1483"/>
      <c r="H29" s="1482"/>
      <c r="I29" s="1483"/>
      <c r="J29" s="1483"/>
      <c r="K29" s="1483"/>
      <c r="L29" s="1483"/>
      <c r="M29" s="1483"/>
      <c r="N29" s="1482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454"/>
      <c r="B42" s="1454"/>
      <c r="C42" s="1454"/>
      <c r="D42" s="1454"/>
      <c r="E42" s="1454"/>
      <c r="F42" s="1454"/>
      <c r="G42" s="1454"/>
      <c r="H42" s="1454"/>
      <c r="I42" s="1454"/>
      <c r="J42" s="1454"/>
      <c r="K42" s="1454"/>
      <c r="L42" s="1454"/>
      <c r="M42" s="1454"/>
      <c r="N42" s="1454"/>
    </row>
    <row r="43" spans="1:14" x14ac:dyDescent="0.25">
      <c r="A43" s="1443"/>
      <c r="B43" s="1443"/>
      <c r="C43" s="1443"/>
      <c r="D43" s="1443"/>
      <c r="E43" s="1443"/>
      <c r="F43" s="1443"/>
      <c r="G43" s="1443"/>
      <c r="H43" s="1443"/>
      <c r="I43" s="1443"/>
      <c r="J43" s="1443"/>
      <c r="K43" s="1443"/>
      <c r="L43" s="1443"/>
      <c r="M43" s="1443"/>
      <c r="N43" s="1443"/>
    </row>
    <row r="44" spans="1:14" x14ac:dyDescent="0.25">
      <c r="A44" s="1454"/>
      <c r="B44" s="1454"/>
      <c r="C44" s="1454"/>
      <c r="D44" s="1454"/>
      <c r="E44" s="1454"/>
      <c r="F44" s="1454"/>
      <c r="G44" s="1454"/>
      <c r="H44" s="1454"/>
      <c r="I44" s="1454"/>
      <c r="J44" s="1454"/>
      <c r="K44" s="1454"/>
      <c r="L44" s="1454"/>
      <c r="M44" s="1454"/>
      <c r="N44" s="1454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443" t="s">
        <v>3</v>
      </c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  <c r="P10" s="1443"/>
      <c r="Q10" s="1443"/>
    </row>
    <row r="11" spans="2:17" x14ac:dyDescent="0.25">
      <c r="C11" s="1443" t="s">
        <v>561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2" t="s">
        <v>406</v>
      </c>
      <c r="D12" s="1442"/>
      <c r="E12" s="1442"/>
      <c r="F12" s="1442"/>
      <c r="G12" s="1442"/>
      <c r="H12" s="1442"/>
      <c r="I12" s="1442"/>
      <c r="J12" s="1442"/>
      <c r="K12" s="1442"/>
      <c r="L12" s="1442"/>
      <c r="M12" s="1442"/>
      <c r="N12" s="1442"/>
      <c r="O12" s="1442"/>
      <c r="P12" s="1442"/>
      <c r="Q12" s="1442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446" t="s">
        <v>6</v>
      </c>
      <c r="C14" s="1447" t="s">
        <v>7</v>
      </c>
      <c r="D14" s="1447" t="s">
        <v>8</v>
      </c>
      <c r="E14" s="1447" t="s">
        <v>10</v>
      </c>
      <c r="F14" s="1451" t="s">
        <v>11</v>
      </c>
      <c r="G14" s="1447" t="s">
        <v>208</v>
      </c>
      <c r="H14" s="1447" t="s">
        <v>209</v>
      </c>
      <c r="I14" s="3" t="s">
        <v>12</v>
      </c>
      <c r="J14" s="1450" t="s">
        <v>13</v>
      </c>
      <c r="K14" s="1447" t="s">
        <v>14</v>
      </c>
      <c r="L14" s="1447" t="s">
        <v>15</v>
      </c>
      <c r="M14" s="1447" t="s">
        <v>16</v>
      </c>
      <c r="N14" s="1447" t="s">
        <v>17</v>
      </c>
      <c r="O14" s="1447" t="s">
        <v>18</v>
      </c>
      <c r="P14" s="1447" t="s">
        <v>19</v>
      </c>
      <c r="Q14" s="1448" t="s">
        <v>20</v>
      </c>
    </row>
    <row r="15" spans="2:17" x14ac:dyDescent="0.25">
      <c r="B15" s="1446"/>
      <c r="C15" s="1447"/>
      <c r="D15" s="1447"/>
      <c r="E15" s="1447"/>
      <c r="F15" s="1451"/>
      <c r="G15" s="1447"/>
      <c r="H15" s="1447"/>
      <c r="I15" s="4" t="s">
        <v>21</v>
      </c>
      <c r="J15" s="1450"/>
      <c r="K15" s="1447"/>
      <c r="L15" s="1447"/>
      <c r="M15" s="1447"/>
      <c r="N15" s="1447"/>
      <c r="O15" s="1447"/>
      <c r="P15" s="1447"/>
      <c r="Q15" s="1448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484" t="s">
        <v>194</v>
      </c>
      <c r="D29" s="1484"/>
      <c r="E29" s="1484"/>
      <c r="F29" s="1484"/>
      <c r="G29" s="1484"/>
      <c r="H29" s="1484"/>
      <c r="I29" s="1466">
        <v>705000</v>
      </c>
      <c r="J29" s="1468">
        <f>SUM(J17:J28)</f>
        <v>0</v>
      </c>
      <c r="K29" s="1466">
        <v>705000</v>
      </c>
      <c r="L29" s="1466">
        <v>18511.5</v>
      </c>
      <c r="M29" s="1466">
        <v>38042.74</v>
      </c>
      <c r="N29" s="1466">
        <v>19608</v>
      </c>
      <c r="O29" s="1466">
        <v>1520</v>
      </c>
      <c r="P29" s="1466">
        <v>78689.240000000005</v>
      </c>
      <c r="Q29" s="1465">
        <v>566317.76</v>
      </c>
    </row>
    <row r="30" spans="2:17" x14ac:dyDescent="0.25">
      <c r="C30" s="1484"/>
      <c r="D30" s="1484"/>
      <c r="E30" s="1484"/>
      <c r="F30" s="1484"/>
      <c r="G30" s="1484"/>
      <c r="H30" s="1484"/>
      <c r="I30" s="1466"/>
      <c r="J30" s="1468"/>
      <c r="K30" s="1466"/>
      <c r="L30" s="1466"/>
      <c r="M30" s="1466"/>
      <c r="N30" s="1466"/>
      <c r="O30" s="1466"/>
      <c r="P30" s="1466"/>
      <c r="Q30" s="1465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443"/>
      <c r="D41" s="1443"/>
      <c r="E41" s="1443"/>
      <c r="F41" s="1443"/>
      <c r="G41" s="1443"/>
      <c r="H41" s="1443"/>
      <c r="I41" s="1443"/>
      <c r="J41" s="1443"/>
      <c r="K41" s="1443"/>
      <c r="L41" s="1443"/>
      <c r="M41" s="1443"/>
      <c r="N41" s="1443"/>
      <c r="O41" s="1443"/>
      <c r="P41" s="1443"/>
    </row>
    <row r="44" spans="3:16" x14ac:dyDescent="0.25">
      <c r="C44" s="1454"/>
      <c r="D44" s="1454"/>
      <c r="E44" s="1454"/>
      <c r="F44" s="1454"/>
      <c r="G44" s="1454"/>
      <c r="H44" s="1454"/>
      <c r="I44" s="1454"/>
      <c r="J44" s="1454"/>
      <c r="K44" s="1454"/>
      <c r="L44" s="1454"/>
      <c r="M44" s="1454"/>
      <c r="N44" s="1454"/>
      <c r="O44" s="1454"/>
      <c r="P44" s="1454"/>
    </row>
    <row r="45" spans="3:16" x14ac:dyDescent="0.25">
      <c r="C45" s="1443"/>
      <c r="D45" s="1443"/>
      <c r="E45" s="1443"/>
      <c r="F45" s="1443"/>
      <c r="G45" s="1443"/>
      <c r="H45" s="1443"/>
      <c r="I45" s="1443"/>
      <c r="J45" s="1443"/>
      <c r="K45" s="1443"/>
      <c r="L45" s="1443"/>
      <c r="M45" s="1443"/>
      <c r="N45" s="1443"/>
      <c r="O45" s="1443"/>
      <c r="P45" s="1443"/>
    </row>
    <row r="46" spans="3:16" x14ac:dyDescent="0.25">
      <c r="C46" s="1454"/>
      <c r="D46" s="1454"/>
      <c r="E46" s="1454"/>
      <c r="F46" s="1454"/>
      <c r="G46" s="1454"/>
      <c r="H46" s="1454"/>
      <c r="I46" s="1454"/>
      <c r="J46" s="1454"/>
      <c r="K46" s="1454"/>
      <c r="L46" s="1454"/>
      <c r="M46" s="1454"/>
      <c r="N46" s="1454"/>
      <c r="O46" s="1454"/>
      <c r="P46" s="1454"/>
    </row>
  </sheetData>
  <sheetProtection selectLockedCells="1" selectUnlockedCells="1"/>
  <mergeCells count="34">
    <mergeCell ref="C45:P45"/>
    <mergeCell ref="C46:P46"/>
    <mergeCell ref="N29:N30"/>
    <mergeCell ref="O29:O30"/>
    <mergeCell ref="P29:P30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443" t="s">
        <v>3</v>
      </c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  <c r="P10" s="1443"/>
      <c r="Q10" s="1443"/>
    </row>
    <row r="11" spans="2:17" x14ac:dyDescent="0.25">
      <c r="C11" s="1443" t="s">
        <v>575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2" t="s">
        <v>406</v>
      </c>
      <c r="D12" s="1442"/>
      <c r="E12" s="1442"/>
      <c r="F12" s="1442"/>
      <c r="G12" s="1442"/>
      <c r="H12" s="1442"/>
      <c r="I12" s="1442"/>
      <c r="J12" s="1442"/>
      <c r="K12" s="1442"/>
      <c r="L12" s="1442"/>
      <c r="M12" s="1442"/>
      <c r="N12" s="1442"/>
      <c r="O12" s="1442"/>
      <c r="P12" s="1442"/>
      <c r="Q12" s="1442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446" t="s">
        <v>6</v>
      </c>
      <c r="C14" s="1447" t="s">
        <v>7</v>
      </c>
      <c r="D14" s="1447" t="s">
        <v>8</v>
      </c>
      <c r="E14" s="1447" t="s">
        <v>10</v>
      </c>
      <c r="F14" s="1451" t="s">
        <v>11</v>
      </c>
      <c r="G14" s="1447" t="s">
        <v>208</v>
      </c>
      <c r="H14" s="1447" t="s">
        <v>209</v>
      </c>
      <c r="I14" s="3" t="s">
        <v>12</v>
      </c>
      <c r="J14" s="1450" t="s">
        <v>13</v>
      </c>
      <c r="K14" s="1447" t="s">
        <v>14</v>
      </c>
      <c r="L14" s="1447" t="s">
        <v>15</v>
      </c>
      <c r="M14" s="1447" t="s">
        <v>16</v>
      </c>
      <c r="N14" s="1447" t="s">
        <v>17</v>
      </c>
      <c r="O14" s="1447" t="s">
        <v>18</v>
      </c>
      <c r="P14" s="1447" t="s">
        <v>19</v>
      </c>
      <c r="Q14" s="1448" t="s">
        <v>20</v>
      </c>
    </row>
    <row r="15" spans="2:17" x14ac:dyDescent="0.25">
      <c r="B15" s="1446"/>
      <c r="C15" s="1447"/>
      <c r="D15" s="1447"/>
      <c r="E15" s="1447"/>
      <c r="F15" s="1451"/>
      <c r="G15" s="1447"/>
      <c r="H15" s="1447"/>
      <c r="I15" s="4" t="s">
        <v>21</v>
      </c>
      <c r="J15" s="1450"/>
      <c r="K15" s="1447"/>
      <c r="L15" s="1447"/>
      <c r="M15" s="1447"/>
      <c r="N15" s="1447"/>
      <c r="O15" s="1447"/>
      <c r="P15" s="1447"/>
      <c r="Q15" s="1448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484" t="s">
        <v>194</v>
      </c>
      <c r="D27" s="1484"/>
      <c r="E27" s="1484"/>
      <c r="F27" s="1484"/>
      <c r="G27" s="1484"/>
      <c r="H27" s="1484"/>
      <c r="I27" s="1466" t="s">
        <v>579</v>
      </c>
      <c r="J27" s="1468">
        <f>SUM(J17:J26)</f>
        <v>0</v>
      </c>
      <c r="K27" s="1466" t="s">
        <v>579</v>
      </c>
      <c r="L27" s="1466">
        <v>17507</v>
      </c>
      <c r="M27" s="1466">
        <v>42086.77</v>
      </c>
      <c r="N27" s="1466">
        <v>18544</v>
      </c>
      <c r="O27" s="1466">
        <v>1470</v>
      </c>
      <c r="P27" s="1466">
        <v>79607.77</v>
      </c>
      <c r="Q27" s="1465">
        <v>530392.23</v>
      </c>
    </row>
    <row r="28" spans="2:17" x14ac:dyDescent="0.25">
      <c r="C28" s="1484"/>
      <c r="D28" s="1484"/>
      <c r="E28" s="1484"/>
      <c r="F28" s="1484"/>
      <c r="G28" s="1484"/>
      <c r="H28" s="1484"/>
      <c r="I28" s="1466"/>
      <c r="J28" s="1468"/>
      <c r="K28" s="1466"/>
      <c r="L28" s="1466"/>
      <c r="M28" s="1466"/>
      <c r="N28" s="1466"/>
      <c r="O28" s="1466"/>
      <c r="P28" s="1466"/>
      <c r="Q28" s="1465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443"/>
      <c r="D39" s="1443"/>
      <c r="E39" s="1443"/>
      <c r="F39" s="1443"/>
      <c r="G39" s="1443"/>
      <c r="H39" s="1443"/>
      <c r="I39" s="1443"/>
      <c r="J39" s="1443"/>
      <c r="K39" s="1443"/>
      <c r="L39" s="1443"/>
      <c r="M39" s="1443"/>
      <c r="N39" s="1443"/>
      <c r="O39" s="1443"/>
      <c r="P39" s="1443"/>
    </row>
    <row r="42" spans="3:16" x14ac:dyDescent="0.25">
      <c r="C42" s="1454"/>
      <c r="D42" s="1454"/>
      <c r="E42" s="1454"/>
      <c r="F42" s="1454"/>
      <c r="G42" s="1454"/>
      <c r="H42" s="1454"/>
      <c r="I42" s="1454"/>
      <c r="J42" s="1454"/>
      <c r="K42" s="1454"/>
      <c r="L42" s="1454"/>
      <c r="M42" s="1454"/>
      <c r="N42" s="1454"/>
      <c r="O42" s="1454"/>
      <c r="P42" s="1454"/>
    </row>
    <row r="43" spans="3:16" x14ac:dyDescent="0.25">
      <c r="C43" s="1443"/>
      <c r="D43" s="1443"/>
      <c r="E43" s="1443"/>
      <c r="F43" s="1443"/>
      <c r="G43" s="1443"/>
      <c r="H43" s="1443"/>
      <c r="I43" s="1443"/>
      <c r="J43" s="1443"/>
      <c r="K43" s="1443"/>
      <c r="L43" s="1443"/>
      <c r="M43" s="1443"/>
      <c r="N43" s="1443"/>
      <c r="O43" s="1443"/>
      <c r="P43" s="1443"/>
    </row>
    <row r="44" spans="3:16" x14ac:dyDescent="0.25">
      <c r="C44" s="1454"/>
      <c r="D44" s="1454"/>
      <c r="E44" s="1454"/>
      <c r="F44" s="1454"/>
      <c r="G44" s="1454"/>
      <c r="H44" s="1454"/>
      <c r="I44" s="1454"/>
      <c r="J44" s="1454"/>
      <c r="K44" s="1454"/>
      <c r="L44" s="1454"/>
      <c r="M44" s="1454"/>
      <c r="N44" s="1454"/>
      <c r="O44" s="1454"/>
      <c r="P44" s="1454"/>
    </row>
  </sheetData>
  <sheetProtection selectLockedCells="1" selectUnlockedCells="1"/>
  <mergeCells count="34">
    <mergeCell ref="C43:P43"/>
    <mergeCell ref="C44:P44"/>
    <mergeCell ref="N27:N28"/>
    <mergeCell ref="O27:O28"/>
    <mergeCell ref="P27:P28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443" t="s">
        <v>0</v>
      </c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  <c r="O6" s="1443"/>
      <c r="P6" s="1443"/>
      <c r="Q6" s="1443"/>
    </row>
    <row r="7" spans="2:17" x14ac:dyDescent="0.25"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3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3" t="s">
        <v>580</v>
      </c>
      <c r="D9" s="1443"/>
      <c r="E9" s="1443"/>
      <c r="F9" s="1443"/>
      <c r="G9" s="1443"/>
      <c r="H9" s="1443"/>
      <c r="I9" s="1443"/>
      <c r="J9" s="1443"/>
      <c r="K9" s="1443"/>
      <c r="L9" s="1443"/>
      <c r="M9" s="1443"/>
      <c r="N9" s="1443"/>
      <c r="O9" s="1443"/>
      <c r="P9" s="1443"/>
      <c r="Q9" s="1443"/>
    </row>
    <row r="10" spans="2:17" x14ac:dyDescent="0.25">
      <c r="C10" s="1442" t="s">
        <v>404</v>
      </c>
      <c r="D10" s="1442"/>
      <c r="E10" s="1442"/>
      <c r="F10" s="1442"/>
      <c r="G10" s="1442"/>
      <c r="H10" s="1442"/>
      <c r="I10" s="1442"/>
      <c r="J10" s="1442"/>
      <c r="K10" s="1442"/>
      <c r="L10" s="1442"/>
      <c r="M10" s="1442"/>
      <c r="N10" s="1442"/>
      <c r="O10" s="1442"/>
      <c r="P10" s="1442"/>
      <c r="Q10" s="1442"/>
    </row>
    <row r="12" spans="2:17" x14ac:dyDescent="0.25">
      <c r="B12" s="1458" t="s">
        <v>6</v>
      </c>
      <c r="C12" s="1459" t="s">
        <v>7</v>
      </c>
      <c r="D12" s="1459" t="s">
        <v>8</v>
      </c>
      <c r="E12" s="1459" t="s">
        <v>9</v>
      </c>
      <c r="F12" s="1459" t="s">
        <v>10</v>
      </c>
      <c r="G12" s="1461" t="s">
        <v>11</v>
      </c>
      <c r="H12" s="1459" t="s">
        <v>11</v>
      </c>
      <c r="I12" s="51" t="s">
        <v>12</v>
      </c>
      <c r="J12" s="1460" t="s">
        <v>13</v>
      </c>
      <c r="K12" s="1459" t="s">
        <v>14</v>
      </c>
      <c r="L12" s="1459" t="s">
        <v>15</v>
      </c>
      <c r="M12" s="1459" t="s">
        <v>16</v>
      </c>
      <c r="N12" s="1459" t="s">
        <v>17</v>
      </c>
      <c r="O12" s="1459" t="s">
        <v>18</v>
      </c>
      <c r="P12" s="1459" t="s">
        <v>19</v>
      </c>
      <c r="Q12" s="1462" t="s">
        <v>20</v>
      </c>
    </row>
    <row r="13" spans="2:17" x14ac:dyDescent="0.25">
      <c r="B13" s="1458"/>
      <c r="C13" s="1459"/>
      <c r="D13" s="1459"/>
      <c r="E13" s="1459"/>
      <c r="F13" s="1459"/>
      <c r="G13" s="1461"/>
      <c r="H13" s="1459"/>
      <c r="I13" s="52" t="s">
        <v>21</v>
      </c>
      <c r="J13" s="1460"/>
      <c r="K13" s="1459"/>
      <c r="L13" s="1459"/>
      <c r="M13" s="1459"/>
      <c r="N13" s="1459"/>
      <c r="O13" s="1459"/>
      <c r="P13" s="1459"/>
      <c r="Q13" s="1462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449" t="s">
        <v>24</v>
      </c>
      <c r="F15" s="1449"/>
      <c r="G15" s="1449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445" t="s">
        <v>36</v>
      </c>
      <c r="F16" s="1445" t="s">
        <v>37</v>
      </c>
      <c r="G16" s="1445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445" t="s">
        <v>40</v>
      </c>
      <c r="F18" s="1445" t="s">
        <v>41</v>
      </c>
      <c r="G18" s="1445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445" t="s">
        <v>44</v>
      </c>
      <c r="F19" s="1445" t="s">
        <v>45</v>
      </c>
      <c r="G19" s="1445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445" t="s">
        <v>49</v>
      </c>
      <c r="F20" s="1445" t="s">
        <v>50</v>
      </c>
      <c r="G20" s="1445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445" t="s">
        <v>53</v>
      </c>
      <c r="F21" s="1445" t="s">
        <v>54</v>
      </c>
      <c r="G21" s="1445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445" t="s">
        <v>427</v>
      </c>
      <c r="F22" s="1445" t="s">
        <v>57</v>
      </c>
      <c r="G22" s="1445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445" t="s">
        <v>53</v>
      </c>
      <c r="F23" s="1445" t="s">
        <v>60</v>
      </c>
      <c r="G23" s="1445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445" t="s">
        <v>514</v>
      </c>
      <c r="F24" s="1445" t="s">
        <v>64</v>
      </c>
      <c r="G24" s="1445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445" t="s">
        <v>67</v>
      </c>
      <c r="F25" s="1445" t="s">
        <v>68</v>
      </c>
      <c r="G25" s="1445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445" t="s">
        <v>71</v>
      </c>
      <c r="F26" s="1445" t="s">
        <v>72</v>
      </c>
      <c r="G26" s="1445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445" t="s">
        <v>515</v>
      </c>
      <c r="F27" s="1445" t="s">
        <v>79</v>
      </c>
      <c r="G27" s="1445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445" t="s">
        <v>78</v>
      </c>
      <c r="F28" s="1445" t="s">
        <v>79</v>
      </c>
      <c r="G28" s="1445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445" t="s">
        <v>82</v>
      </c>
      <c r="F29" s="1445" t="s">
        <v>83</v>
      </c>
      <c r="G29" s="1445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445" t="s">
        <v>85</v>
      </c>
      <c r="F30" s="1445" t="s">
        <v>86</v>
      </c>
      <c r="G30" s="1445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445" t="s">
        <v>89</v>
      </c>
      <c r="F31" s="1445" t="s">
        <v>90</v>
      </c>
      <c r="G31" s="1445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445" t="s">
        <v>92</v>
      </c>
      <c r="F32" s="1445" t="s">
        <v>93</v>
      </c>
      <c r="G32" s="1445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445" t="s">
        <v>71</v>
      </c>
      <c r="F33" s="1445" t="s">
        <v>95</v>
      </c>
      <c r="G33" s="1445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445" t="s">
        <v>97</v>
      </c>
      <c r="F34" s="1445" t="s">
        <v>98</v>
      </c>
      <c r="G34" s="1445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445" t="s">
        <v>92</v>
      </c>
      <c r="F35" s="1445" t="s">
        <v>100</v>
      </c>
      <c r="G35" s="1445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445" t="s">
        <v>102</v>
      </c>
      <c r="F36" s="1445" t="s">
        <v>103</v>
      </c>
      <c r="G36" s="1445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445" t="s">
        <v>105</v>
      </c>
      <c r="F37" s="1445" t="s">
        <v>106</v>
      </c>
      <c r="G37" s="1445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445" t="s">
        <v>105</v>
      </c>
      <c r="F38" s="1445" t="s">
        <v>108</v>
      </c>
      <c r="G38" s="1445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445" t="s">
        <v>515</v>
      </c>
      <c r="F39" s="1445" t="s">
        <v>115</v>
      </c>
      <c r="G39" s="1445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445" t="s">
        <v>489</v>
      </c>
      <c r="F40" s="1445" t="s">
        <v>118</v>
      </c>
      <c r="G40" s="1445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445" t="s">
        <v>120</v>
      </c>
      <c r="F41" s="1445" t="s">
        <v>121</v>
      </c>
      <c r="G41" s="1445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445" t="s">
        <v>49</v>
      </c>
      <c r="F42" s="1445" t="s">
        <v>123</v>
      </c>
      <c r="G42" s="1445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445" t="s">
        <v>125</v>
      </c>
      <c r="F43" s="1445" t="s">
        <v>126</v>
      </c>
      <c r="G43" s="1445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445" t="s">
        <v>105</v>
      </c>
      <c r="F44" s="1445" t="s">
        <v>128</v>
      </c>
      <c r="G44" s="1445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445" t="s">
        <v>102</v>
      </c>
      <c r="F45" s="1445" t="s">
        <v>130</v>
      </c>
      <c r="G45" s="1445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445" t="s">
        <v>132</v>
      </c>
      <c r="F46" s="1445" t="s">
        <v>133</v>
      </c>
      <c r="G46" s="1445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445" t="s">
        <v>489</v>
      </c>
      <c r="F47" s="1445" t="s">
        <v>118</v>
      </c>
      <c r="G47" s="1445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445" t="s">
        <v>85</v>
      </c>
      <c r="F48" s="1445" t="s">
        <v>137</v>
      </c>
      <c r="G48" s="1445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445" t="s">
        <v>516</v>
      </c>
      <c r="F49" s="1445" t="s">
        <v>140</v>
      </c>
      <c r="G49" s="1445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445" t="s">
        <v>148</v>
      </c>
      <c r="F50" s="1445" t="s">
        <v>149</v>
      </c>
      <c r="G50" s="1445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445" t="s">
        <v>151</v>
      </c>
      <c r="F51" s="1445" t="s">
        <v>152</v>
      </c>
      <c r="G51" s="1445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445" t="s">
        <v>157</v>
      </c>
      <c r="F52" s="1445" t="s">
        <v>158</v>
      </c>
      <c r="G52" s="1445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445" t="s">
        <v>160</v>
      </c>
      <c r="F54" s="1445" t="s">
        <v>161</v>
      </c>
      <c r="G54" s="1445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445" t="s">
        <v>163</v>
      </c>
      <c r="F55" s="1445" t="s">
        <v>164</v>
      </c>
      <c r="G55" s="1445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445" t="s">
        <v>92</v>
      </c>
      <c r="F58" s="1445" t="s">
        <v>168</v>
      </c>
      <c r="G58" s="1445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445" t="s">
        <v>248</v>
      </c>
      <c r="F59" s="1445" t="s">
        <v>170</v>
      </c>
      <c r="G59" s="1445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445" t="s">
        <v>40</v>
      </c>
      <c r="F63" s="1445" t="s">
        <v>172</v>
      </c>
      <c r="G63" s="1445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445" t="s">
        <v>518</v>
      </c>
      <c r="F67" s="1445"/>
      <c r="G67" s="1445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445" t="s">
        <v>178</v>
      </c>
      <c r="F73" s="1445" t="s">
        <v>179</v>
      </c>
      <c r="G73" s="1445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463" t="s">
        <v>92</v>
      </c>
      <c r="F74" s="1463" t="s">
        <v>193</v>
      </c>
      <c r="G74" s="1463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445" t="s">
        <v>44</v>
      </c>
      <c r="F94" s="1445" t="s">
        <v>45</v>
      </c>
      <c r="G94" s="1445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464" t="s">
        <v>288</v>
      </c>
      <c r="D110" s="1464"/>
      <c r="E110" s="1464"/>
      <c r="F110" s="1464"/>
      <c r="G110" s="1464"/>
      <c r="H110" s="1464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443"/>
      <c r="D119" s="1443"/>
      <c r="E119" s="1443"/>
      <c r="F119" s="1443"/>
      <c r="G119" s="1443"/>
      <c r="H119" s="1443"/>
      <c r="I119" s="1443"/>
      <c r="J119" s="1443"/>
      <c r="K119" s="1443"/>
      <c r="L119" s="1443"/>
      <c r="M119" s="1443"/>
      <c r="N119" s="1443"/>
      <c r="O119" s="1443"/>
      <c r="P119" s="1443"/>
    </row>
    <row r="122" spans="3:16" x14ac:dyDescent="0.25">
      <c r="C122" s="1454"/>
      <c r="D122" s="1454"/>
      <c r="E122" s="1454"/>
      <c r="F122" s="1454"/>
      <c r="G122" s="1454"/>
      <c r="H122" s="1454"/>
      <c r="I122" s="1454"/>
      <c r="J122" s="1454"/>
      <c r="K122" s="1454"/>
      <c r="L122" s="1454"/>
      <c r="M122" s="1454"/>
      <c r="N122" s="1454"/>
      <c r="O122" s="1454"/>
      <c r="P122" s="1454"/>
    </row>
    <row r="123" spans="3:16" x14ac:dyDescent="0.25">
      <c r="C123" s="1443"/>
      <c r="D123" s="1443"/>
      <c r="E123" s="1443"/>
      <c r="F123" s="1443"/>
      <c r="G123" s="1443"/>
      <c r="H123" s="1443"/>
      <c r="I123" s="1443"/>
      <c r="J123" s="1443"/>
      <c r="K123" s="1443"/>
      <c r="L123" s="1443"/>
      <c r="M123" s="1443"/>
      <c r="N123" s="1443"/>
      <c r="O123" s="1443"/>
      <c r="P123" s="1443"/>
    </row>
    <row r="124" spans="3:16" x14ac:dyDescent="0.25">
      <c r="C124" s="1454"/>
      <c r="D124" s="1454"/>
      <c r="E124" s="1454"/>
      <c r="F124" s="1454"/>
      <c r="G124" s="1454"/>
      <c r="H124" s="1454"/>
      <c r="I124" s="1454"/>
      <c r="J124" s="1454"/>
      <c r="K124" s="1454"/>
      <c r="L124" s="1454"/>
      <c r="M124" s="1454"/>
      <c r="N124" s="1454"/>
      <c r="O124" s="1454"/>
      <c r="P124" s="1454"/>
    </row>
  </sheetData>
  <sheetProtection selectLockedCells="1" selectUnlockedCells="1"/>
  <mergeCells count="71">
    <mergeCell ref="C124:P124"/>
    <mergeCell ref="E74:G74"/>
    <mergeCell ref="E94:G94"/>
    <mergeCell ref="C110:H110"/>
    <mergeCell ref="C119:P119"/>
    <mergeCell ref="C122:P122"/>
    <mergeCell ref="C123:P123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474" t="s">
        <v>0</v>
      </c>
      <c r="C7" s="1474"/>
      <c r="D7" s="1474"/>
      <c r="E7" s="1474"/>
      <c r="F7" s="1474"/>
      <c r="G7" s="1474"/>
      <c r="H7" s="1474"/>
      <c r="I7" s="1474"/>
      <c r="J7" s="1474"/>
      <c r="K7" s="1474"/>
      <c r="L7" s="1474"/>
      <c r="M7" s="1474"/>
      <c r="N7" s="1474"/>
    </row>
    <row r="8" spans="1:14" x14ac:dyDescent="0.25">
      <c r="B8" s="1474" t="s">
        <v>1</v>
      </c>
      <c r="C8" s="1474"/>
      <c r="D8" s="1474"/>
      <c r="E8" s="1474"/>
      <c r="F8" s="1474"/>
      <c r="G8" s="1474"/>
      <c r="H8" s="1474"/>
      <c r="I8" s="1474"/>
      <c r="J8" s="1474"/>
      <c r="K8" s="1474"/>
      <c r="L8" s="1474"/>
      <c r="M8" s="1474"/>
      <c r="N8" s="1474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74" t="s">
        <v>3</v>
      </c>
      <c r="C10" s="1474"/>
      <c r="D10" s="1474"/>
      <c r="E10" s="1474"/>
      <c r="F10" s="1474"/>
      <c r="G10" s="1474"/>
      <c r="H10" s="1474"/>
      <c r="I10" s="1474"/>
      <c r="J10" s="1474"/>
      <c r="K10" s="1474"/>
      <c r="L10" s="1474"/>
      <c r="M10" s="1474"/>
      <c r="N10" s="1474"/>
    </row>
    <row r="11" spans="1:14" x14ac:dyDescent="0.25">
      <c r="B11" s="1474" t="s">
        <v>581</v>
      </c>
      <c r="C11" s="1474"/>
      <c r="D11" s="1474"/>
      <c r="E11" s="1474"/>
      <c r="F11" s="1474"/>
      <c r="G11" s="1474"/>
      <c r="H11" s="1474"/>
      <c r="I11" s="1474"/>
      <c r="J11" s="1474"/>
      <c r="K11" s="1474"/>
      <c r="L11" s="1474"/>
      <c r="M11" s="1474"/>
      <c r="N11" s="1474"/>
    </row>
    <row r="12" spans="1:14" x14ac:dyDescent="0.25">
      <c r="B12" s="1473" t="s">
        <v>5</v>
      </c>
      <c r="C12" s="1473"/>
      <c r="D12" s="1473"/>
      <c r="E12" s="1473"/>
      <c r="F12" s="1473"/>
      <c r="G12" s="1473"/>
      <c r="H12" s="1473"/>
      <c r="I12" s="1473"/>
      <c r="J12" s="1473"/>
      <c r="K12" s="1473"/>
      <c r="L12" s="1473"/>
      <c r="M12" s="1473"/>
      <c r="N12" s="1473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85" t="s">
        <v>6</v>
      </c>
      <c r="B14" s="1485" t="s">
        <v>7</v>
      </c>
      <c r="C14" s="1485" t="s">
        <v>8</v>
      </c>
      <c r="D14" s="1485" t="s">
        <v>10</v>
      </c>
      <c r="E14" s="1485" t="s">
        <v>11</v>
      </c>
      <c r="F14" s="132" t="s">
        <v>12</v>
      </c>
      <c r="G14" s="1485" t="s">
        <v>13</v>
      </c>
      <c r="H14" s="1485" t="s">
        <v>14</v>
      </c>
      <c r="I14" s="1485" t="s">
        <v>15</v>
      </c>
      <c r="J14" s="1485" t="s">
        <v>16</v>
      </c>
      <c r="K14" s="1485" t="s">
        <v>17</v>
      </c>
      <c r="L14" s="1485" t="s">
        <v>18</v>
      </c>
      <c r="M14" s="1485" t="s">
        <v>19</v>
      </c>
      <c r="N14" s="1485" t="s">
        <v>20</v>
      </c>
    </row>
    <row r="15" spans="1:14" x14ac:dyDescent="0.25">
      <c r="A15" s="1485"/>
      <c r="B15" s="1485"/>
      <c r="C15" s="1485"/>
      <c r="D15" s="1485"/>
      <c r="E15" s="1485"/>
      <c r="F15" s="133" t="s">
        <v>21</v>
      </c>
      <c r="G15" s="1485"/>
      <c r="H15" s="1485"/>
      <c r="I15" s="1485"/>
      <c r="J15" s="1485"/>
      <c r="K15" s="1485"/>
      <c r="L15" s="1485"/>
      <c r="M15" s="1485"/>
      <c r="N15" s="1485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481" t="s">
        <v>194</v>
      </c>
      <c r="C27" s="1481"/>
      <c r="D27" s="1481"/>
      <c r="E27" s="1481"/>
      <c r="F27" s="1482">
        <v>181500</v>
      </c>
      <c r="G27" s="1483">
        <v>0</v>
      </c>
      <c r="H27" s="1482">
        <v>181500</v>
      </c>
      <c r="I27" s="1483">
        <v>0</v>
      </c>
      <c r="J27" s="1486">
        <v>1641.75</v>
      </c>
      <c r="K27" s="1483">
        <v>0</v>
      </c>
      <c r="L27" s="1483">
        <v>0</v>
      </c>
      <c r="M27" s="1486">
        <v>1641.75</v>
      </c>
      <c r="N27" s="1482">
        <v>179858.25</v>
      </c>
    </row>
    <row r="28" spans="1:14" x14ac:dyDescent="0.25">
      <c r="A28" s="110"/>
      <c r="B28" s="1481"/>
      <c r="C28" s="1481"/>
      <c r="D28" s="1481"/>
      <c r="E28" s="1481"/>
      <c r="F28" s="1482"/>
      <c r="G28" s="1483"/>
      <c r="H28" s="1482"/>
      <c r="I28" s="1483"/>
      <c r="J28" s="1486"/>
      <c r="K28" s="1483"/>
      <c r="L28" s="1483"/>
      <c r="M28" s="1486"/>
      <c r="N28" s="1482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454"/>
      <c r="B41" s="1454"/>
      <c r="C41" s="1454"/>
      <c r="D41" s="1454"/>
      <c r="E41" s="1454"/>
      <c r="F41" s="1454"/>
      <c r="G41" s="1454"/>
      <c r="H41" s="1454"/>
      <c r="I41" s="1454"/>
      <c r="J41" s="1454"/>
      <c r="K41" s="1454"/>
      <c r="L41" s="1454"/>
      <c r="M41" s="1454"/>
      <c r="N41" s="1454"/>
    </row>
    <row r="42" spans="1:14" x14ac:dyDescent="0.25">
      <c r="A42" s="1443"/>
      <c r="B42" s="1443"/>
      <c r="C42" s="1443"/>
      <c r="D42" s="1443"/>
      <c r="E42" s="1443"/>
      <c r="F42" s="1443"/>
      <c r="G42" s="1443"/>
      <c r="H42" s="1443"/>
      <c r="I42" s="1443"/>
      <c r="J42" s="1443"/>
      <c r="K42" s="1443"/>
      <c r="L42" s="1443"/>
      <c r="M42" s="1443"/>
      <c r="N42" s="1443"/>
    </row>
    <row r="43" spans="1:14" x14ac:dyDescent="0.25">
      <c r="A43" s="1454"/>
      <c r="B43" s="1454"/>
      <c r="C43" s="1454"/>
      <c r="D43" s="1454"/>
      <c r="E43" s="1454"/>
      <c r="F43" s="1454"/>
      <c r="G43" s="1454"/>
      <c r="H43" s="1454"/>
      <c r="I43" s="1454"/>
      <c r="J43" s="1454"/>
      <c r="K43" s="1454"/>
      <c r="L43" s="1454"/>
      <c r="M43" s="1454"/>
      <c r="N43" s="1454"/>
    </row>
  </sheetData>
  <sheetProtection selectLockedCells="1" selectUnlockedCells="1"/>
  <mergeCells count="31"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443" t="s">
        <v>0</v>
      </c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  <c r="O6" s="1443"/>
      <c r="P6" s="1443"/>
      <c r="Q6" s="1443"/>
    </row>
    <row r="7" spans="2:17" x14ac:dyDescent="0.25"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3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3" t="s">
        <v>584</v>
      </c>
      <c r="D9" s="1443"/>
      <c r="E9" s="1443"/>
      <c r="F9" s="1443"/>
      <c r="G9" s="1443"/>
      <c r="H9" s="1443"/>
      <c r="I9" s="1443"/>
      <c r="J9" s="1443"/>
      <c r="K9" s="1443"/>
      <c r="L9" s="1443"/>
      <c r="M9" s="1443"/>
      <c r="N9" s="1443"/>
      <c r="O9" s="1443"/>
      <c r="P9" s="1443"/>
      <c r="Q9" s="1443"/>
    </row>
    <row r="10" spans="2:17" x14ac:dyDescent="0.25">
      <c r="C10" s="1442" t="s">
        <v>404</v>
      </c>
      <c r="D10" s="1442"/>
      <c r="E10" s="1442"/>
      <c r="F10" s="1442"/>
      <c r="G10" s="1442"/>
      <c r="H10" s="1442"/>
      <c r="I10" s="1442"/>
      <c r="J10" s="1442"/>
      <c r="K10" s="1442"/>
      <c r="L10" s="1442"/>
      <c r="M10" s="1442"/>
      <c r="N10" s="1442"/>
      <c r="O10" s="1442"/>
      <c r="P10" s="1442"/>
      <c r="Q10" s="1442"/>
    </row>
    <row r="11" spans="2:17" ht="15.75" thickBot="1" x14ac:dyDescent="0.3"/>
    <row r="12" spans="2:17" ht="15.75" thickBot="1" x14ac:dyDescent="0.3">
      <c r="B12" s="1458" t="s">
        <v>6</v>
      </c>
      <c r="C12" s="1459" t="s">
        <v>7</v>
      </c>
      <c r="D12" s="1459" t="s">
        <v>8</v>
      </c>
      <c r="E12" s="1459" t="s">
        <v>9</v>
      </c>
      <c r="F12" s="1459" t="s">
        <v>10</v>
      </c>
      <c r="G12" s="1461" t="s">
        <v>11</v>
      </c>
      <c r="H12" s="1459" t="s">
        <v>11</v>
      </c>
      <c r="I12" s="51" t="s">
        <v>12</v>
      </c>
      <c r="J12" s="1460" t="s">
        <v>13</v>
      </c>
      <c r="K12" s="1459" t="s">
        <v>14</v>
      </c>
      <c r="L12" s="1459" t="s">
        <v>15</v>
      </c>
      <c r="M12" s="1459" t="s">
        <v>16</v>
      </c>
      <c r="N12" s="1459" t="s">
        <v>17</v>
      </c>
      <c r="O12" s="1459" t="s">
        <v>18</v>
      </c>
      <c r="P12" s="1459" t="s">
        <v>19</v>
      </c>
      <c r="Q12" s="1462" t="s">
        <v>20</v>
      </c>
    </row>
    <row r="13" spans="2:17" ht="15.75" thickBot="1" x14ac:dyDescent="0.3">
      <c r="B13" s="1458"/>
      <c r="C13" s="1459"/>
      <c r="D13" s="1459"/>
      <c r="E13" s="1459"/>
      <c r="F13" s="1459"/>
      <c r="G13" s="1461"/>
      <c r="H13" s="1459"/>
      <c r="I13" s="52" t="s">
        <v>21</v>
      </c>
      <c r="J13" s="1460"/>
      <c r="K13" s="1459"/>
      <c r="L13" s="1459"/>
      <c r="M13" s="1459"/>
      <c r="N13" s="1459"/>
      <c r="O13" s="1459"/>
      <c r="P13" s="1459"/>
      <c r="Q13" s="1462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449" t="s">
        <v>24</v>
      </c>
      <c r="F15" s="1449"/>
      <c r="G15" s="1449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445" t="s">
        <v>36</v>
      </c>
      <c r="F16" s="1445" t="s">
        <v>37</v>
      </c>
      <c r="G16" s="1445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445" t="s">
        <v>40</v>
      </c>
      <c r="F17" s="1445" t="s">
        <v>41</v>
      </c>
      <c r="G17" s="1445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445" t="s">
        <v>44</v>
      </c>
      <c r="F18" s="1445" t="s">
        <v>45</v>
      </c>
      <c r="G18" s="1445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445" t="s">
        <v>49</v>
      </c>
      <c r="F19" s="1445" t="s">
        <v>50</v>
      </c>
      <c r="G19" s="1445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445" t="s">
        <v>53</v>
      </c>
      <c r="F20" s="1445" t="s">
        <v>54</v>
      </c>
      <c r="G20" s="1445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445" t="s">
        <v>427</v>
      </c>
      <c r="F21" s="1445" t="s">
        <v>57</v>
      </c>
      <c r="G21" s="1445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445" t="s">
        <v>53</v>
      </c>
      <c r="F22" s="1445" t="s">
        <v>60</v>
      </c>
      <c r="G22" s="1445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445" t="s">
        <v>514</v>
      </c>
      <c r="F23" s="1445" t="s">
        <v>64</v>
      </c>
      <c r="G23" s="1445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445" t="s">
        <v>67</v>
      </c>
      <c r="F24" s="1445" t="s">
        <v>68</v>
      </c>
      <c r="G24" s="1445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445" t="s">
        <v>71</v>
      </c>
      <c r="F25" s="1445" t="s">
        <v>72</v>
      </c>
      <c r="G25" s="1445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445" t="s">
        <v>515</v>
      </c>
      <c r="F26" s="1445" t="s">
        <v>79</v>
      </c>
      <c r="G26" s="1445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445" t="s">
        <v>78</v>
      </c>
      <c r="F27" s="1445" t="s">
        <v>79</v>
      </c>
      <c r="G27" s="1445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445" t="s">
        <v>82</v>
      </c>
      <c r="F28" s="1445" t="s">
        <v>83</v>
      </c>
      <c r="G28" s="1445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445" t="s">
        <v>85</v>
      </c>
      <c r="F29" s="1445" t="s">
        <v>86</v>
      </c>
      <c r="G29" s="1445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445" t="s">
        <v>89</v>
      </c>
      <c r="F30" s="1445" t="s">
        <v>90</v>
      </c>
      <c r="G30" s="1445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445" t="s">
        <v>92</v>
      </c>
      <c r="F31" s="1445" t="s">
        <v>93</v>
      </c>
      <c r="G31" s="1445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445" t="s">
        <v>71</v>
      </c>
      <c r="F32" s="1445" t="s">
        <v>95</v>
      </c>
      <c r="G32" s="1445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445" t="s">
        <v>97</v>
      </c>
      <c r="F33" s="1445" t="s">
        <v>98</v>
      </c>
      <c r="G33" s="1445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445" t="s">
        <v>92</v>
      </c>
      <c r="F34" s="1445" t="s">
        <v>100</v>
      </c>
      <c r="G34" s="1445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445" t="s">
        <v>102</v>
      </c>
      <c r="F35" s="1445" t="s">
        <v>103</v>
      </c>
      <c r="G35" s="1445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445" t="s">
        <v>105</v>
      </c>
      <c r="F36" s="1445" t="s">
        <v>106</v>
      </c>
      <c r="G36" s="1445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445" t="s">
        <v>105</v>
      </c>
      <c r="F37" s="1445" t="s">
        <v>108</v>
      </c>
      <c r="G37" s="1445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445" t="s">
        <v>515</v>
      </c>
      <c r="F38" s="1445" t="s">
        <v>115</v>
      </c>
      <c r="G38" s="1445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445" t="s">
        <v>489</v>
      </c>
      <c r="F39" s="1445" t="s">
        <v>118</v>
      </c>
      <c r="G39" s="1445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445" t="s">
        <v>120</v>
      </c>
      <c r="F40" s="1445" t="s">
        <v>121</v>
      </c>
      <c r="G40" s="1445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445" t="s">
        <v>49</v>
      </c>
      <c r="F41" s="1445" t="s">
        <v>123</v>
      </c>
      <c r="G41" s="1445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445" t="s">
        <v>125</v>
      </c>
      <c r="F42" s="1445" t="s">
        <v>126</v>
      </c>
      <c r="G42" s="1445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445" t="s">
        <v>105</v>
      </c>
      <c r="F43" s="1445" t="s">
        <v>128</v>
      </c>
      <c r="G43" s="1445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445" t="s">
        <v>102</v>
      </c>
      <c r="F44" s="1445" t="s">
        <v>130</v>
      </c>
      <c r="G44" s="1445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445" t="s">
        <v>132</v>
      </c>
      <c r="F45" s="1445" t="s">
        <v>133</v>
      </c>
      <c r="G45" s="1445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445" t="s">
        <v>489</v>
      </c>
      <c r="F46" s="1445" t="s">
        <v>118</v>
      </c>
      <c r="G46" s="1445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445" t="s">
        <v>85</v>
      </c>
      <c r="F47" s="1445" t="s">
        <v>137</v>
      </c>
      <c r="G47" s="1445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445" t="s">
        <v>516</v>
      </c>
      <c r="F48" s="1445" t="s">
        <v>140</v>
      </c>
      <c r="G48" s="1445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445" t="s">
        <v>148</v>
      </c>
      <c r="F49" s="1445" t="s">
        <v>149</v>
      </c>
      <c r="G49" s="1445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445" t="s">
        <v>151</v>
      </c>
      <c r="F50" s="1445" t="s">
        <v>152</v>
      </c>
      <c r="G50" s="1445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445" t="s">
        <v>157</v>
      </c>
      <c r="F51" s="1445" t="s">
        <v>158</v>
      </c>
      <c r="G51" s="1445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445" t="s">
        <v>160</v>
      </c>
      <c r="F53" s="1445" t="s">
        <v>161</v>
      </c>
      <c r="G53" s="1445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445" t="s">
        <v>163</v>
      </c>
      <c r="F54" s="1445" t="s">
        <v>164</v>
      </c>
      <c r="G54" s="1445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445" t="s">
        <v>92</v>
      </c>
      <c r="F57" s="1445" t="s">
        <v>168</v>
      </c>
      <c r="G57" s="1445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445" t="s">
        <v>248</v>
      </c>
      <c r="F58" s="1445" t="s">
        <v>170</v>
      </c>
      <c r="G58" s="1445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445" t="s">
        <v>40</v>
      </c>
      <c r="F62" s="1445" t="s">
        <v>172</v>
      </c>
      <c r="G62" s="1445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445" t="s">
        <v>518</v>
      </c>
      <c r="F66" s="1445"/>
      <c r="G66" s="1445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445" t="s">
        <v>178</v>
      </c>
      <c r="F72" s="1445" t="s">
        <v>179</v>
      </c>
      <c r="G72" s="1445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463" t="s">
        <v>92</v>
      </c>
      <c r="F73" s="1463" t="s">
        <v>193</v>
      </c>
      <c r="G73" s="1463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445" t="s">
        <v>44</v>
      </c>
      <c r="F90" s="1445" t="s">
        <v>45</v>
      </c>
      <c r="G90" s="1445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464" t="s">
        <v>288</v>
      </c>
      <c r="D110" s="1464"/>
      <c r="E110" s="1464"/>
      <c r="F110" s="1464"/>
      <c r="G110" s="1464"/>
      <c r="H110" s="1464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443" t="s">
        <v>196</v>
      </c>
      <c r="E116" s="1443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454" t="s">
        <v>197</v>
      </c>
      <c r="E118" s="1454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443" t="s">
        <v>199</v>
      </c>
      <c r="E119" s="1443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454" t="s">
        <v>201</v>
      </c>
      <c r="E120" s="1454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443"/>
      <c r="D123" s="1443"/>
      <c r="E123" s="1443"/>
      <c r="F123" s="1443"/>
      <c r="G123" s="1443"/>
      <c r="H123" s="1443"/>
      <c r="I123" s="1443"/>
      <c r="J123" s="1443"/>
      <c r="K123" s="1443"/>
      <c r="L123" s="1443"/>
      <c r="M123" s="1443"/>
      <c r="N123" s="1443"/>
      <c r="O123" s="1443"/>
      <c r="P123" s="1443"/>
    </row>
    <row r="126" spans="3:16" x14ac:dyDescent="0.25">
      <c r="C126" s="1454"/>
      <c r="D126" s="1454"/>
      <c r="E126" s="1454"/>
      <c r="F126" s="1454"/>
      <c r="G126" s="1454"/>
      <c r="H126" s="1454"/>
      <c r="I126" s="1454"/>
      <c r="J126" s="1454"/>
      <c r="K126" s="1454"/>
      <c r="L126" s="1454"/>
      <c r="M126" s="1454"/>
      <c r="N126" s="1454"/>
      <c r="O126" s="1454"/>
      <c r="P126" s="1454"/>
    </row>
    <row r="127" spans="3:16" x14ac:dyDescent="0.25">
      <c r="C127" s="1443"/>
      <c r="D127" s="1443"/>
      <c r="E127" s="1443"/>
      <c r="F127" s="1443"/>
      <c r="G127" s="1443"/>
      <c r="H127" s="1443"/>
      <c r="I127" s="1443"/>
      <c r="J127" s="1443"/>
      <c r="K127" s="1443"/>
      <c r="L127" s="1443"/>
      <c r="M127" s="1443"/>
      <c r="N127" s="1443"/>
      <c r="O127" s="1443"/>
      <c r="P127" s="1443"/>
    </row>
    <row r="128" spans="3:16" x14ac:dyDescent="0.25">
      <c r="C128" s="1454"/>
      <c r="D128" s="1454"/>
      <c r="E128" s="1454"/>
      <c r="F128" s="1454"/>
      <c r="G128" s="1454"/>
      <c r="H128" s="1454"/>
      <c r="I128" s="1454"/>
      <c r="J128" s="1454"/>
      <c r="K128" s="1454"/>
      <c r="L128" s="1454"/>
      <c r="M128" s="1454"/>
      <c r="N128" s="1454"/>
      <c r="O128" s="1454"/>
      <c r="P128" s="1454"/>
    </row>
  </sheetData>
  <sheetProtection selectLockedCells="1" selectUnlockedCells="1"/>
  <mergeCells count="75">
    <mergeCell ref="C128:P128"/>
    <mergeCell ref="D116:E116"/>
    <mergeCell ref="D118:E118"/>
    <mergeCell ref="D119:E119"/>
    <mergeCell ref="D120:E120"/>
    <mergeCell ref="C127:P127"/>
    <mergeCell ref="E73:G73"/>
    <mergeCell ref="E90:G90"/>
    <mergeCell ref="C110:H110"/>
    <mergeCell ref="C123:P123"/>
    <mergeCell ref="C126:P126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443" t="s">
        <v>3</v>
      </c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  <c r="P10" s="1443"/>
      <c r="Q10" s="1443"/>
    </row>
    <row r="11" spans="2:17" x14ac:dyDescent="0.25">
      <c r="C11" s="1443" t="s">
        <v>592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2" t="s">
        <v>406</v>
      </c>
      <c r="D12" s="1442"/>
      <c r="E12" s="1442"/>
      <c r="F12" s="1442"/>
      <c r="G12" s="1442"/>
      <c r="H12" s="1442"/>
      <c r="I12" s="1442"/>
      <c r="J12" s="1442"/>
      <c r="K12" s="1442"/>
      <c r="L12" s="1442"/>
      <c r="M12" s="1442"/>
      <c r="N12" s="1442"/>
      <c r="O12" s="1442"/>
      <c r="P12" s="1442"/>
      <c r="Q12" s="1442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446" t="s">
        <v>6</v>
      </c>
      <c r="C14" s="1447" t="s">
        <v>7</v>
      </c>
      <c r="D14" s="1447" t="s">
        <v>8</v>
      </c>
      <c r="E14" s="1447" t="s">
        <v>10</v>
      </c>
      <c r="F14" s="1451" t="s">
        <v>11</v>
      </c>
      <c r="G14" s="1447" t="s">
        <v>208</v>
      </c>
      <c r="H14" s="1447" t="s">
        <v>209</v>
      </c>
      <c r="I14" s="3" t="s">
        <v>12</v>
      </c>
      <c r="J14" s="1450" t="s">
        <v>13</v>
      </c>
      <c r="K14" s="1447" t="s">
        <v>14</v>
      </c>
      <c r="L14" s="1447" t="s">
        <v>15</v>
      </c>
      <c r="M14" s="1447" t="s">
        <v>16</v>
      </c>
      <c r="N14" s="1447" t="s">
        <v>17</v>
      </c>
      <c r="O14" s="1447" t="s">
        <v>18</v>
      </c>
      <c r="P14" s="1447" t="s">
        <v>19</v>
      </c>
      <c r="Q14" s="1448" t="s">
        <v>20</v>
      </c>
    </row>
    <row r="15" spans="2:17" ht="15.75" thickBot="1" x14ac:dyDescent="0.3">
      <c r="B15" s="1446"/>
      <c r="C15" s="1447"/>
      <c r="D15" s="1447"/>
      <c r="E15" s="1447"/>
      <c r="F15" s="1451"/>
      <c r="G15" s="1447"/>
      <c r="H15" s="1447"/>
      <c r="I15" s="4" t="s">
        <v>21</v>
      </c>
      <c r="J15" s="1450"/>
      <c r="K15" s="1447"/>
      <c r="L15" s="1447"/>
      <c r="M15" s="1447"/>
      <c r="N15" s="1447"/>
      <c r="O15" s="1447"/>
      <c r="P15" s="1447"/>
      <c r="Q15" s="1448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484" t="s">
        <v>194</v>
      </c>
      <c r="D36" s="1484"/>
      <c r="E36" s="1484"/>
      <c r="F36" s="1484"/>
      <c r="G36" s="1484"/>
      <c r="H36" s="1484"/>
      <c r="I36" s="1466">
        <v>1070000</v>
      </c>
      <c r="J36" s="1468">
        <f>SUM(J17:J35)</f>
        <v>0</v>
      </c>
      <c r="K36" s="1466">
        <v>1070000</v>
      </c>
      <c r="L36" s="1466">
        <v>30709</v>
      </c>
      <c r="M36" s="1466">
        <v>63242.07</v>
      </c>
      <c r="N36" s="1466">
        <v>32528</v>
      </c>
      <c r="O36" s="1466">
        <v>1695</v>
      </c>
      <c r="P36" s="1466">
        <v>128174.07</v>
      </c>
      <c r="Q36" s="1465">
        <v>941825.93</v>
      </c>
    </row>
    <row r="37" spans="2:17" ht="15.75" thickBot="1" x14ac:dyDescent="0.3">
      <c r="C37" s="1484"/>
      <c r="D37" s="1484"/>
      <c r="E37" s="1484"/>
      <c r="F37" s="1484"/>
      <c r="G37" s="1484"/>
      <c r="H37" s="1484"/>
      <c r="I37" s="1466"/>
      <c r="J37" s="1468"/>
      <c r="K37" s="1466"/>
      <c r="L37" s="1466"/>
      <c r="M37" s="1466"/>
      <c r="N37" s="1466"/>
      <c r="O37" s="1466"/>
      <c r="P37" s="1466"/>
      <c r="Q37" s="1465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443" t="s">
        <v>196</v>
      </c>
      <c r="E43" s="1443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454" t="s">
        <v>197</v>
      </c>
      <c r="E45" s="1454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443" t="s">
        <v>199</v>
      </c>
      <c r="E46" s="1443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454" t="s">
        <v>201</v>
      </c>
      <c r="E47" s="1454"/>
      <c r="F47" t="s">
        <v>254</v>
      </c>
      <c r="N47" s="25" t="s">
        <v>493</v>
      </c>
      <c r="O47" s="25"/>
      <c r="P47" s="25"/>
    </row>
    <row r="50" spans="3:16" x14ac:dyDescent="0.25">
      <c r="C50" s="1443"/>
      <c r="D50" s="1443"/>
      <c r="E50" s="1443"/>
      <c r="F50" s="1443"/>
      <c r="G50" s="1443"/>
      <c r="H50" s="1443"/>
      <c r="I50" s="1443"/>
      <c r="J50" s="1443"/>
      <c r="K50" s="1443"/>
      <c r="L50" s="1443"/>
      <c r="M50" s="1443"/>
      <c r="N50" s="1443"/>
      <c r="O50" s="1443"/>
      <c r="P50" s="1443"/>
    </row>
    <row r="53" spans="3:16" x14ac:dyDescent="0.25">
      <c r="C53" s="1454"/>
      <c r="D53" s="1454"/>
      <c r="E53" s="1454"/>
      <c r="F53" s="1454"/>
      <c r="G53" s="1454"/>
      <c r="H53" s="1454"/>
      <c r="I53" s="1454"/>
      <c r="J53" s="1454"/>
      <c r="K53" s="1454"/>
      <c r="L53" s="1454"/>
      <c r="M53" s="1454"/>
      <c r="N53" s="1454"/>
      <c r="O53" s="1454"/>
      <c r="P53" s="1454"/>
    </row>
    <row r="54" spans="3:16" x14ac:dyDescent="0.25">
      <c r="C54" s="1443"/>
      <c r="D54" s="1443"/>
      <c r="E54" s="1443"/>
      <c r="F54" s="1443"/>
      <c r="G54" s="1443"/>
      <c r="H54" s="1443"/>
      <c r="I54" s="1443"/>
      <c r="J54" s="1443"/>
      <c r="K54" s="1443"/>
      <c r="L54" s="1443"/>
      <c r="M54" s="1443"/>
      <c r="N54" s="1443"/>
      <c r="O54" s="1443"/>
      <c r="P54" s="1443"/>
    </row>
    <row r="55" spans="3:16" x14ac:dyDescent="0.25">
      <c r="C55" s="1454"/>
      <c r="D55" s="1454"/>
      <c r="E55" s="1454"/>
      <c r="F55" s="1454"/>
      <c r="G55" s="1454"/>
      <c r="H55" s="1454"/>
      <c r="I55" s="1454"/>
      <c r="J55" s="1454"/>
      <c r="K55" s="1454"/>
      <c r="L55" s="1454"/>
      <c r="M55" s="1454"/>
      <c r="N55" s="1454"/>
      <c r="O55" s="1454"/>
      <c r="P55" s="1454"/>
    </row>
  </sheetData>
  <sheetProtection selectLockedCells="1" selectUnlockedCells="1"/>
  <mergeCells count="38">
    <mergeCell ref="C54:P54"/>
    <mergeCell ref="C55:P55"/>
    <mergeCell ref="D43:E43"/>
    <mergeCell ref="D45:E45"/>
    <mergeCell ref="D46:E46"/>
    <mergeCell ref="D47:E47"/>
    <mergeCell ref="C53:P53"/>
    <mergeCell ref="N36:N37"/>
    <mergeCell ref="O36:O37"/>
    <mergeCell ref="P36:P37"/>
    <mergeCell ref="Q36:Q37"/>
    <mergeCell ref="C50:P50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474" t="s">
        <v>0</v>
      </c>
      <c r="C7" s="1474"/>
      <c r="D7" s="1474"/>
      <c r="E7" s="1474"/>
      <c r="F7" s="1474"/>
      <c r="G7" s="1474"/>
      <c r="H7" s="1474"/>
      <c r="I7" s="1474"/>
      <c r="J7" s="1474"/>
      <c r="K7" s="1474"/>
      <c r="L7" s="1474"/>
      <c r="M7" s="1474"/>
      <c r="N7" s="1474"/>
    </row>
    <row r="8" spans="1:14" x14ac:dyDescent="0.25">
      <c r="B8" s="1474" t="s">
        <v>1</v>
      </c>
      <c r="C8" s="1474"/>
      <c r="D8" s="1474"/>
      <c r="E8" s="1474"/>
      <c r="F8" s="1474"/>
      <c r="G8" s="1474"/>
      <c r="H8" s="1474"/>
      <c r="I8" s="1474"/>
      <c r="J8" s="1474"/>
      <c r="K8" s="1474"/>
      <c r="L8" s="1474"/>
      <c r="M8" s="1474"/>
      <c r="N8" s="1474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74" t="s">
        <v>3</v>
      </c>
      <c r="C10" s="1474"/>
      <c r="D10" s="1474"/>
      <c r="E10" s="1474"/>
      <c r="F10" s="1474"/>
      <c r="G10" s="1474"/>
      <c r="H10" s="1474"/>
      <c r="I10" s="1474"/>
      <c r="J10" s="1474"/>
      <c r="K10" s="1474"/>
      <c r="L10" s="1474"/>
      <c r="M10" s="1474"/>
      <c r="N10" s="1474"/>
    </row>
    <row r="11" spans="1:14" x14ac:dyDescent="0.25">
      <c r="B11" s="1474" t="s">
        <v>612</v>
      </c>
      <c r="C11" s="1474"/>
      <c r="D11" s="1474"/>
      <c r="E11" s="1474"/>
      <c r="F11" s="1474"/>
      <c r="G11" s="1474"/>
      <c r="H11" s="1474"/>
      <c r="I11" s="1474"/>
      <c r="J11" s="1474"/>
      <c r="K11" s="1474"/>
      <c r="L11" s="1474"/>
      <c r="M11" s="1474"/>
      <c r="N11" s="1474"/>
    </row>
    <row r="12" spans="1:14" x14ac:dyDescent="0.25">
      <c r="B12" s="1473" t="s">
        <v>5</v>
      </c>
      <c r="C12" s="1473"/>
      <c r="D12" s="1473"/>
      <c r="E12" s="1473"/>
      <c r="F12" s="1473"/>
      <c r="G12" s="1473"/>
      <c r="H12" s="1473"/>
      <c r="I12" s="1473"/>
      <c r="J12" s="1473"/>
      <c r="K12" s="1473"/>
      <c r="L12" s="1473"/>
      <c r="M12" s="1473"/>
      <c r="N12" s="1473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85" t="s">
        <v>6</v>
      </c>
      <c r="B14" s="1485" t="s">
        <v>7</v>
      </c>
      <c r="C14" s="1485" t="s">
        <v>8</v>
      </c>
      <c r="D14" s="1485" t="s">
        <v>10</v>
      </c>
      <c r="E14" s="1485" t="s">
        <v>11</v>
      </c>
      <c r="F14" s="132" t="s">
        <v>12</v>
      </c>
      <c r="G14" s="1485" t="s">
        <v>13</v>
      </c>
      <c r="H14" s="1485" t="s">
        <v>14</v>
      </c>
      <c r="I14" s="1485" t="s">
        <v>15</v>
      </c>
      <c r="J14" s="1485" t="s">
        <v>16</v>
      </c>
      <c r="K14" s="1485" t="s">
        <v>17</v>
      </c>
      <c r="L14" s="1485" t="s">
        <v>18</v>
      </c>
      <c r="M14" s="1485" t="s">
        <v>19</v>
      </c>
      <c r="N14" s="1485" t="s">
        <v>20</v>
      </c>
    </row>
    <row r="15" spans="1:14" x14ac:dyDescent="0.25">
      <c r="A15" s="1485"/>
      <c r="B15" s="1485"/>
      <c r="C15" s="1485"/>
      <c r="D15" s="1485"/>
      <c r="E15" s="1485"/>
      <c r="F15" s="133" t="s">
        <v>21</v>
      </c>
      <c r="G15" s="1485"/>
      <c r="H15" s="1485"/>
      <c r="I15" s="1485"/>
      <c r="J15" s="1485"/>
      <c r="K15" s="1485"/>
      <c r="L15" s="1485"/>
      <c r="M15" s="1485"/>
      <c r="N15" s="1485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481" t="s">
        <v>194</v>
      </c>
      <c r="C28" s="1481"/>
      <c r="D28" s="1481"/>
      <c r="E28" s="1481"/>
      <c r="F28" s="1482">
        <v>191000</v>
      </c>
      <c r="G28" s="1483">
        <v>0</v>
      </c>
      <c r="H28" s="1482">
        <v>191000</v>
      </c>
      <c r="I28" s="1483">
        <v>0</v>
      </c>
      <c r="J28" s="1486">
        <v>1641.75</v>
      </c>
      <c r="K28" s="1483">
        <v>0</v>
      </c>
      <c r="L28" s="1483">
        <v>0</v>
      </c>
      <c r="M28" s="1486">
        <v>1641.75</v>
      </c>
      <c r="N28" s="1482">
        <v>189358.25</v>
      </c>
    </row>
    <row r="29" spans="1:14" x14ac:dyDescent="0.25">
      <c r="A29" s="110"/>
      <c r="B29" s="1481"/>
      <c r="C29" s="1481"/>
      <c r="D29" s="1481"/>
      <c r="E29" s="1481"/>
      <c r="F29" s="1482"/>
      <c r="G29" s="1483"/>
      <c r="H29" s="1482"/>
      <c r="I29" s="1483"/>
      <c r="J29" s="1486"/>
      <c r="K29" s="1483"/>
      <c r="L29" s="1483"/>
      <c r="M29" s="1486"/>
      <c r="N29" s="1482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454"/>
      <c r="B42" s="1454"/>
      <c r="C42" s="1454"/>
      <c r="D42" s="1454"/>
      <c r="E42" s="1454"/>
      <c r="F42" s="1454"/>
      <c r="G42" s="1454"/>
      <c r="H42" s="1454"/>
      <c r="I42" s="1454"/>
      <c r="J42" s="1454"/>
      <c r="K42" s="1454"/>
      <c r="L42" s="1454"/>
      <c r="M42" s="1454"/>
      <c r="N42" s="1454"/>
    </row>
    <row r="43" spans="1:14" x14ac:dyDescent="0.25">
      <c r="A43" s="1443"/>
      <c r="B43" s="1443"/>
      <c r="C43" s="1443"/>
      <c r="D43" s="1443"/>
      <c r="E43" s="1443"/>
      <c r="F43" s="1443"/>
      <c r="G43" s="1443"/>
      <c r="H43" s="1443"/>
      <c r="I43" s="1443"/>
      <c r="J43" s="1443"/>
      <c r="K43" s="1443"/>
      <c r="L43" s="1443"/>
      <c r="M43" s="1443"/>
      <c r="N43" s="1443"/>
    </row>
    <row r="44" spans="1:14" x14ac:dyDescent="0.25">
      <c r="A44" s="1454"/>
      <c r="B44" s="1454"/>
      <c r="C44" s="1454"/>
      <c r="D44" s="1454"/>
      <c r="E44" s="1454"/>
      <c r="F44" s="1454"/>
      <c r="G44" s="1454"/>
      <c r="H44" s="1454"/>
      <c r="I44" s="1454"/>
      <c r="J44" s="1454"/>
      <c r="K44" s="1454"/>
      <c r="L44" s="1454"/>
      <c r="M44" s="1454"/>
      <c r="N44" s="1454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474" t="s">
        <v>0</v>
      </c>
      <c r="C7" s="1474"/>
      <c r="D7" s="1474"/>
      <c r="E7" s="1474"/>
      <c r="F7" s="1474"/>
      <c r="G7" s="1474"/>
      <c r="H7" s="1474"/>
      <c r="I7" s="1474"/>
      <c r="J7" s="1474"/>
      <c r="K7" s="1474"/>
      <c r="L7" s="1474"/>
      <c r="M7" s="1474"/>
      <c r="N7" s="1474"/>
    </row>
    <row r="8" spans="1:14" x14ac:dyDescent="0.25">
      <c r="B8" s="1474" t="s">
        <v>1</v>
      </c>
      <c r="C8" s="1474"/>
      <c r="D8" s="1474"/>
      <c r="E8" s="1474"/>
      <c r="F8" s="1474"/>
      <c r="G8" s="1474"/>
      <c r="H8" s="1474"/>
      <c r="I8" s="1474"/>
      <c r="J8" s="1474"/>
      <c r="K8" s="1474"/>
      <c r="L8" s="1474"/>
      <c r="M8" s="1474"/>
      <c r="N8" s="1474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74" t="s">
        <v>3</v>
      </c>
      <c r="C10" s="1474"/>
      <c r="D10" s="1474"/>
      <c r="E10" s="1474"/>
      <c r="F10" s="1474"/>
      <c r="G10" s="1474"/>
      <c r="H10" s="1474"/>
      <c r="I10" s="1474"/>
      <c r="J10" s="1474"/>
      <c r="K10" s="1474"/>
      <c r="L10" s="1474"/>
      <c r="M10" s="1474"/>
      <c r="N10" s="1474"/>
    </row>
    <row r="11" spans="1:14" x14ac:dyDescent="0.25">
      <c r="B11" s="1474" t="s">
        <v>620</v>
      </c>
      <c r="C11" s="1474"/>
      <c r="D11" s="1474"/>
      <c r="E11" s="1474"/>
      <c r="F11" s="1474"/>
      <c r="G11" s="1474"/>
      <c r="H11" s="1474"/>
      <c r="I11" s="1474"/>
      <c r="J11" s="1474"/>
      <c r="K11" s="1474"/>
      <c r="L11" s="1474"/>
      <c r="M11" s="1474"/>
      <c r="N11" s="1474"/>
    </row>
    <row r="12" spans="1:14" x14ac:dyDescent="0.25">
      <c r="B12" s="1473" t="s">
        <v>5</v>
      </c>
      <c r="C12" s="1473"/>
      <c r="D12" s="1473"/>
      <c r="E12" s="1473"/>
      <c r="F12" s="1473"/>
      <c r="G12" s="1473"/>
      <c r="H12" s="1473"/>
      <c r="I12" s="1473"/>
      <c r="J12" s="1473"/>
      <c r="K12" s="1473"/>
      <c r="L12" s="1473"/>
      <c r="M12" s="1473"/>
      <c r="N12" s="1473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85" t="s">
        <v>6</v>
      </c>
      <c r="B14" s="1485" t="s">
        <v>7</v>
      </c>
      <c r="C14" s="1485" t="s">
        <v>8</v>
      </c>
      <c r="D14" s="1485" t="s">
        <v>10</v>
      </c>
      <c r="E14" s="1485" t="s">
        <v>11</v>
      </c>
      <c r="F14" s="132" t="s">
        <v>12</v>
      </c>
      <c r="G14" s="1485" t="s">
        <v>13</v>
      </c>
      <c r="H14" s="1485" t="s">
        <v>14</v>
      </c>
      <c r="I14" s="1485" t="s">
        <v>15</v>
      </c>
      <c r="J14" s="1485" t="s">
        <v>16</v>
      </c>
      <c r="K14" s="1485" t="s">
        <v>17</v>
      </c>
      <c r="L14" s="1485" t="s">
        <v>18</v>
      </c>
      <c r="M14" s="1485" t="s">
        <v>19</v>
      </c>
      <c r="N14" s="1485" t="s">
        <v>20</v>
      </c>
    </row>
    <row r="15" spans="1:14" x14ac:dyDescent="0.25">
      <c r="A15" s="1485"/>
      <c r="B15" s="1485"/>
      <c r="C15" s="1485"/>
      <c r="D15" s="1485"/>
      <c r="E15" s="1485"/>
      <c r="F15" s="133" t="s">
        <v>21</v>
      </c>
      <c r="G15" s="1485"/>
      <c r="H15" s="1485"/>
      <c r="I15" s="1485"/>
      <c r="J15" s="1485"/>
      <c r="K15" s="1485"/>
      <c r="L15" s="1485"/>
      <c r="M15" s="1485"/>
      <c r="N15" s="1485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490" t="s">
        <v>194</v>
      </c>
      <c r="C29" s="1490"/>
      <c r="D29" s="1490"/>
      <c r="E29" s="1490"/>
      <c r="F29" s="1487">
        <v>175000</v>
      </c>
      <c r="G29" s="1488">
        <v>0</v>
      </c>
      <c r="H29" s="1487">
        <v>175000</v>
      </c>
      <c r="I29" s="1488">
        <v>0</v>
      </c>
      <c r="J29" s="1489">
        <v>1594.5</v>
      </c>
      <c r="K29" s="1488">
        <v>0</v>
      </c>
      <c r="L29" s="1488">
        <v>0</v>
      </c>
      <c r="M29" s="1489">
        <v>1594.5</v>
      </c>
      <c r="N29" s="1487">
        <v>173405.5</v>
      </c>
    </row>
    <row r="30" spans="1:14" x14ac:dyDescent="0.25">
      <c r="A30" s="151"/>
      <c r="B30" s="1490"/>
      <c r="C30" s="1490"/>
      <c r="D30" s="1490"/>
      <c r="E30" s="1490"/>
      <c r="F30" s="1487"/>
      <c r="G30" s="1488"/>
      <c r="H30" s="1487"/>
      <c r="I30" s="1488"/>
      <c r="J30" s="1489"/>
      <c r="K30" s="1488"/>
      <c r="L30" s="1488"/>
      <c r="M30" s="1489"/>
      <c r="N30" s="1487"/>
    </row>
    <row r="34" spans="1:14" x14ac:dyDescent="0.25">
      <c r="A34" s="125" t="s">
        <v>257</v>
      </c>
      <c r="B34" s="1443" t="s">
        <v>195</v>
      </c>
      <c r="C34" s="1443"/>
      <c r="D34" s="24"/>
      <c r="E34" s="1443" t="s">
        <v>680</v>
      </c>
      <c r="F34" s="1443"/>
      <c r="G34" s="1443"/>
      <c r="J34" s="1443" t="s">
        <v>196</v>
      </c>
      <c r="K34" s="1443"/>
      <c r="L34" s="1443"/>
      <c r="M34" s="1443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454" t="s">
        <v>197</v>
      </c>
      <c r="C37" s="1454"/>
      <c r="D37" s="25"/>
      <c r="E37" s="1454" t="s">
        <v>684</v>
      </c>
      <c r="F37" s="1454"/>
      <c r="G37" s="1454"/>
      <c r="J37" s="1454" t="s">
        <v>683</v>
      </c>
      <c r="K37" s="1454"/>
      <c r="L37" s="1454"/>
      <c r="M37" s="1454"/>
      <c r="N37" s="25"/>
    </row>
    <row r="38" spans="1:14" x14ac:dyDescent="0.25">
      <c r="A38" s="96"/>
      <c r="B38" s="1443" t="s">
        <v>497</v>
      </c>
      <c r="C38" s="1443"/>
      <c r="D38" s="24"/>
      <c r="E38" s="1474" t="s">
        <v>687</v>
      </c>
      <c r="F38" s="1474"/>
      <c r="G38" s="1474"/>
      <c r="J38" s="1443" t="s">
        <v>537</v>
      </c>
      <c r="K38" s="1443"/>
      <c r="L38" s="1443"/>
      <c r="M38" s="1443"/>
      <c r="N38" s="24"/>
    </row>
    <row r="39" spans="1:14" x14ac:dyDescent="0.25">
      <c r="A39" s="99"/>
      <c r="B39" s="1454" t="s">
        <v>499</v>
      </c>
      <c r="C39" s="1454"/>
      <c r="D39" s="25"/>
      <c r="E39" s="1454" t="s">
        <v>685</v>
      </c>
      <c r="F39" s="1454"/>
      <c r="G39" s="1454"/>
      <c r="J39" s="1454" t="s">
        <v>493</v>
      </c>
      <c r="K39" s="1454"/>
      <c r="L39" s="1454"/>
      <c r="M39" s="1454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454"/>
      <c r="B43" s="1454"/>
      <c r="C43" s="1454"/>
      <c r="D43" s="1454"/>
      <c r="E43" s="1454"/>
      <c r="F43" s="1454"/>
      <c r="G43" s="1454"/>
      <c r="H43" s="1454"/>
      <c r="I43" s="1454"/>
      <c r="J43" s="1454"/>
      <c r="K43" s="1454"/>
      <c r="L43" s="1454"/>
      <c r="M43" s="1454"/>
      <c r="N43" s="1454"/>
    </row>
    <row r="44" spans="1:14" x14ac:dyDescent="0.25">
      <c r="A44" s="1443"/>
      <c r="B44" s="1443"/>
      <c r="C44" s="1443"/>
      <c r="D44" s="1443"/>
      <c r="E44" s="1443"/>
      <c r="F44" s="1443"/>
      <c r="G44" s="1443"/>
      <c r="H44" s="1443"/>
      <c r="I44" s="1443"/>
      <c r="J44" s="1443"/>
      <c r="K44" s="1443"/>
      <c r="L44" s="1443"/>
      <c r="M44" s="1443"/>
      <c r="N44" s="1443"/>
    </row>
    <row r="45" spans="1:14" x14ac:dyDescent="0.25">
      <c r="A45" s="1454"/>
      <c r="B45" s="1454"/>
      <c r="C45" s="1454"/>
      <c r="D45" s="1454"/>
      <c r="E45" s="1454"/>
      <c r="F45" s="1454"/>
      <c r="G45" s="1454"/>
      <c r="H45" s="1454"/>
      <c r="I45" s="1454"/>
      <c r="J45" s="1454"/>
      <c r="K45" s="1454"/>
      <c r="L45" s="1454"/>
      <c r="M45" s="1454"/>
      <c r="N45" s="1454"/>
    </row>
  </sheetData>
  <sheetProtection selectLockedCells="1" selectUnlockedCells="1"/>
  <mergeCells count="43"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  <mergeCell ref="L29:L30"/>
    <mergeCell ref="L14:L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443" t="s">
        <v>3</v>
      </c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  <c r="P10" s="1443"/>
      <c r="Q10" s="1443"/>
    </row>
    <row r="11" spans="2:17" x14ac:dyDescent="0.25">
      <c r="C11" s="1443" t="s">
        <v>623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2" t="s">
        <v>406</v>
      </c>
      <c r="D12" s="1442"/>
      <c r="E12" s="1442"/>
      <c r="F12" s="1442"/>
      <c r="G12" s="1442"/>
      <c r="H12" s="1442"/>
      <c r="I12" s="1442"/>
      <c r="J12" s="1442"/>
      <c r="K12" s="1442"/>
      <c r="L12" s="1442"/>
      <c r="M12" s="1442"/>
      <c r="N12" s="1442"/>
      <c r="O12" s="1442"/>
      <c r="P12" s="1442"/>
      <c r="Q12" s="1442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446" t="s">
        <v>6</v>
      </c>
      <c r="C14" s="1447" t="s">
        <v>7</v>
      </c>
      <c r="D14" s="1447" t="s">
        <v>8</v>
      </c>
      <c r="E14" s="1447" t="s">
        <v>10</v>
      </c>
      <c r="F14" s="1451" t="s">
        <v>11</v>
      </c>
      <c r="G14" s="1447" t="s">
        <v>208</v>
      </c>
      <c r="H14" s="1447" t="s">
        <v>209</v>
      </c>
      <c r="I14" s="3" t="s">
        <v>12</v>
      </c>
      <c r="J14" s="1450" t="s">
        <v>13</v>
      </c>
      <c r="K14" s="1447" t="s">
        <v>14</v>
      </c>
      <c r="L14" s="1447" t="s">
        <v>15</v>
      </c>
      <c r="M14" s="1447" t="s">
        <v>16</v>
      </c>
      <c r="N14" s="1447" t="s">
        <v>17</v>
      </c>
      <c r="O14" s="1447" t="s">
        <v>18</v>
      </c>
      <c r="P14" s="1447" t="s">
        <v>19</v>
      </c>
      <c r="Q14" s="1448" t="s">
        <v>20</v>
      </c>
    </row>
    <row r="15" spans="2:17" ht="15.75" thickBot="1" x14ac:dyDescent="0.3">
      <c r="B15" s="1446"/>
      <c r="C15" s="1447"/>
      <c r="D15" s="1447"/>
      <c r="E15" s="1447"/>
      <c r="F15" s="1451"/>
      <c r="G15" s="1447"/>
      <c r="H15" s="1447"/>
      <c r="I15" s="4" t="s">
        <v>21</v>
      </c>
      <c r="J15" s="1450"/>
      <c r="K15" s="1447"/>
      <c r="L15" s="1447"/>
      <c r="M15" s="1447"/>
      <c r="N15" s="1447"/>
      <c r="O15" s="1447"/>
      <c r="P15" s="1447"/>
      <c r="Q15" s="1448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484" t="s">
        <v>194</v>
      </c>
      <c r="D36" s="1484"/>
      <c r="E36" s="1484"/>
      <c r="F36" s="1484"/>
      <c r="G36" s="1484"/>
      <c r="H36" s="1484"/>
      <c r="I36" s="1466" t="s">
        <v>689</v>
      </c>
      <c r="J36" s="1468">
        <f>SUM(J17:J35)</f>
        <v>0</v>
      </c>
      <c r="K36" s="1466">
        <v>1145000</v>
      </c>
      <c r="L36" s="1466">
        <v>32861.5</v>
      </c>
      <c r="M36" s="1466">
        <v>69302.33</v>
      </c>
      <c r="N36" s="1466" t="s">
        <v>690</v>
      </c>
      <c r="O36" s="1466">
        <v>1720</v>
      </c>
      <c r="P36" s="1466">
        <v>138691.82999999999</v>
      </c>
      <c r="Q36" s="1465">
        <v>1006308.17</v>
      </c>
    </row>
    <row r="37" spans="2:17" ht="15.75" thickBot="1" x14ac:dyDescent="0.3">
      <c r="C37" s="1484"/>
      <c r="D37" s="1484"/>
      <c r="E37" s="1484"/>
      <c r="F37" s="1484"/>
      <c r="G37" s="1484"/>
      <c r="H37" s="1484"/>
      <c r="I37" s="1466"/>
      <c r="J37" s="1468"/>
      <c r="K37" s="1466"/>
      <c r="L37" s="1466"/>
      <c r="M37" s="1466"/>
      <c r="N37" s="1466"/>
      <c r="O37" s="1466"/>
      <c r="P37" s="1466"/>
      <c r="Q37" s="1465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443" t="s">
        <v>195</v>
      </c>
      <c r="D43" s="1443"/>
      <c r="E43" s="1443" t="s">
        <v>680</v>
      </c>
      <c r="F43" s="1443"/>
      <c r="G43" s="1443"/>
      <c r="H43" s="1443"/>
      <c r="I43" s="1443"/>
      <c r="L43" s="1443" t="s">
        <v>196</v>
      </c>
      <c r="M43" s="1443"/>
      <c r="N43" s="1443"/>
      <c r="O43" s="1443"/>
      <c r="P43" s="1443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454" t="s">
        <v>679</v>
      </c>
      <c r="D45" s="1454"/>
      <c r="E45" s="1454" t="s">
        <v>682</v>
      </c>
      <c r="F45" s="1454"/>
      <c r="G45" s="1454"/>
      <c r="H45" s="1454"/>
      <c r="I45" s="1454"/>
      <c r="L45" s="1454" t="s">
        <v>683</v>
      </c>
      <c r="M45" s="1454"/>
      <c r="N45" s="1454"/>
      <c r="O45" s="1454"/>
      <c r="P45" s="1454"/>
    </row>
    <row r="46" spans="2:17" x14ac:dyDescent="0.25">
      <c r="C46" s="1443" t="s">
        <v>497</v>
      </c>
      <c r="D46" s="1443"/>
      <c r="E46" s="1474" t="s">
        <v>686</v>
      </c>
      <c r="F46" s="1474"/>
      <c r="G46" s="1474"/>
      <c r="H46" s="1474"/>
      <c r="I46" s="1474"/>
      <c r="L46" s="1443" t="s">
        <v>523</v>
      </c>
      <c r="M46" s="1443"/>
      <c r="N46" s="1443"/>
      <c r="O46" s="1443"/>
      <c r="P46" s="1443"/>
    </row>
    <row r="47" spans="2:17" x14ac:dyDescent="0.25">
      <c r="C47" s="1454" t="s">
        <v>499</v>
      </c>
      <c r="D47" s="1454"/>
      <c r="E47" s="1454" t="s">
        <v>681</v>
      </c>
      <c r="F47" s="1454"/>
      <c r="G47" s="1454"/>
      <c r="H47" s="1454"/>
      <c r="I47" s="1454"/>
      <c r="L47" s="1454" t="s">
        <v>493</v>
      </c>
      <c r="M47" s="1454"/>
      <c r="N47" s="1454"/>
      <c r="O47" s="1454"/>
      <c r="P47" s="1454"/>
    </row>
    <row r="50" spans="3:16" x14ac:dyDescent="0.25">
      <c r="C50" s="1443"/>
      <c r="D50" s="1443"/>
      <c r="E50" s="1443"/>
      <c r="F50" s="1443"/>
      <c r="G50" s="1443"/>
      <c r="H50" s="1443"/>
      <c r="I50" s="1443"/>
      <c r="J50" s="1443"/>
      <c r="K50" s="1443"/>
      <c r="L50" s="1443"/>
      <c r="M50" s="1443"/>
      <c r="N50" s="1443"/>
      <c r="O50" s="1443"/>
      <c r="P50" s="1443"/>
    </row>
    <row r="53" spans="3:16" x14ac:dyDescent="0.25">
      <c r="C53" s="1454"/>
      <c r="D53" s="1454"/>
      <c r="E53" s="1454"/>
      <c r="F53" s="1454"/>
      <c r="G53" s="1454"/>
      <c r="H53" s="1454"/>
      <c r="I53" s="1454"/>
      <c r="J53" s="1454"/>
      <c r="K53" s="1454"/>
      <c r="L53" s="1454"/>
      <c r="M53" s="1454"/>
      <c r="N53" s="1454"/>
      <c r="O53" s="1454"/>
      <c r="P53" s="1454"/>
    </row>
    <row r="54" spans="3:16" x14ac:dyDescent="0.25">
      <c r="C54" s="1443"/>
      <c r="D54" s="1443"/>
      <c r="E54" s="1443"/>
      <c r="F54" s="1443"/>
      <c r="G54" s="1443"/>
      <c r="H54" s="1443"/>
      <c r="I54" s="1443"/>
      <c r="J54" s="1443"/>
      <c r="K54" s="1443"/>
      <c r="L54" s="1443"/>
      <c r="M54" s="1443"/>
      <c r="N54" s="1443"/>
      <c r="O54" s="1443"/>
      <c r="P54" s="1443"/>
    </row>
    <row r="55" spans="3:16" x14ac:dyDescent="0.25">
      <c r="C55" s="1454"/>
      <c r="D55" s="1454"/>
      <c r="E55" s="1454"/>
      <c r="F55" s="1454"/>
      <c r="G55" s="1454"/>
      <c r="H55" s="1454"/>
      <c r="I55" s="1454"/>
      <c r="J55" s="1454"/>
      <c r="K55" s="1454"/>
      <c r="L55" s="1454"/>
      <c r="M55" s="1454"/>
      <c r="N55" s="1454"/>
      <c r="O55" s="1454"/>
      <c r="P55" s="1454"/>
    </row>
  </sheetData>
  <sheetProtection selectLockedCells="1" selectUnlockedCells="1"/>
  <mergeCells count="46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N36:N37"/>
    <mergeCell ref="O36:O37"/>
    <mergeCell ref="P36:P37"/>
    <mergeCell ref="Q36:Q37"/>
    <mergeCell ref="C43:D43"/>
    <mergeCell ref="C45:D45"/>
    <mergeCell ref="E43:I43"/>
    <mergeCell ref="E45:I45"/>
    <mergeCell ref="L43:P43"/>
    <mergeCell ref="L45:P45"/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443" t="s">
        <v>0</v>
      </c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  <c r="O6" s="1443"/>
      <c r="P6" s="1443"/>
      <c r="Q6" s="1443"/>
    </row>
    <row r="7" spans="2:17" x14ac:dyDescent="0.25"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3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3" t="s">
        <v>640</v>
      </c>
      <c r="D9" s="1443"/>
      <c r="E9" s="1443"/>
      <c r="F9" s="1443"/>
      <c r="G9" s="1443"/>
      <c r="H9" s="1443"/>
      <c r="I9" s="1443"/>
      <c r="J9" s="1443"/>
      <c r="K9" s="1443"/>
      <c r="L9" s="1443"/>
      <c r="M9" s="1443"/>
      <c r="N9" s="1443"/>
      <c r="O9" s="1443"/>
      <c r="P9" s="1443"/>
      <c r="Q9" s="1443"/>
    </row>
    <row r="10" spans="2:17" x14ac:dyDescent="0.25">
      <c r="C10" s="1442" t="s">
        <v>404</v>
      </c>
      <c r="D10" s="1442"/>
      <c r="E10" s="1442"/>
      <c r="F10" s="1442"/>
      <c r="G10" s="1442"/>
      <c r="H10" s="1442"/>
      <c r="I10" s="1442"/>
      <c r="J10" s="1442"/>
      <c r="K10" s="1442"/>
      <c r="L10" s="1442"/>
      <c r="M10" s="1442"/>
      <c r="N10" s="1442"/>
      <c r="O10" s="1442"/>
      <c r="P10" s="1442"/>
      <c r="Q10" s="1442"/>
    </row>
    <row r="11" spans="2:17" ht="15.75" thickBot="1" x14ac:dyDescent="0.3">
      <c r="D11" t="s">
        <v>641</v>
      </c>
    </row>
    <row r="12" spans="2:17" ht="15.75" thickBot="1" x14ac:dyDescent="0.3">
      <c r="B12" s="1458" t="s">
        <v>6</v>
      </c>
      <c r="C12" s="1459" t="s">
        <v>7</v>
      </c>
      <c r="D12" s="1459" t="s">
        <v>8</v>
      </c>
      <c r="E12" s="1459" t="s">
        <v>9</v>
      </c>
      <c r="F12" s="1459" t="s">
        <v>10</v>
      </c>
      <c r="G12" s="1461" t="s">
        <v>11</v>
      </c>
      <c r="H12" s="1459" t="s">
        <v>11</v>
      </c>
      <c r="I12" s="51" t="s">
        <v>12</v>
      </c>
      <c r="J12" s="1460" t="s">
        <v>13</v>
      </c>
      <c r="K12" s="1459" t="s">
        <v>14</v>
      </c>
      <c r="L12" s="1459" t="s">
        <v>15</v>
      </c>
      <c r="M12" s="1459" t="s">
        <v>16</v>
      </c>
      <c r="N12" s="1459" t="s">
        <v>17</v>
      </c>
      <c r="O12" s="1459" t="s">
        <v>18</v>
      </c>
      <c r="P12" s="1459" t="s">
        <v>19</v>
      </c>
      <c r="Q12" s="1462" t="s">
        <v>20</v>
      </c>
    </row>
    <row r="13" spans="2:17" ht="15.75" thickBot="1" x14ac:dyDescent="0.3">
      <c r="B13" s="1458"/>
      <c r="C13" s="1459"/>
      <c r="D13" s="1459"/>
      <c r="E13" s="1459"/>
      <c r="F13" s="1459"/>
      <c r="G13" s="1461"/>
      <c r="H13" s="1459"/>
      <c r="I13" s="52" t="s">
        <v>21</v>
      </c>
      <c r="J13" s="1460"/>
      <c r="K13" s="1459"/>
      <c r="L13" s="1459"/>
      <c r="M13" s="1459"/>
      <c r="N13" s="1459"/>
      <c r="O13" s="1459"/>
      <c r="P13" s="1459"/>
      <c r="Q13" s="1462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449" t="s">
        <v>24</v>
      </c>
      <c r="F15" s="1449"/>
      <c r="G15" s="1449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445" t="s">
        <v>36</v>
      </c>
      <c r="F16" s="1445" t="s">
        <v>37</v>
      </c>
      <c r="G16" s="1445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445" t="s">
        <v>40</v>
      </c>
      <c r="F17" s="1445" t="s">
        <v>41</v>
      </c>
      <c r="G17" s="1445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445" t="s">
        <v>44</v>
      </c>
      <c r="F18" s="1445" t="s">
        <v>45</v>
      </c>
      <c r="G18" s="1445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445" t="s">
        <v>49</v>
      </c>
      <c r="F19" s="1445" t="s">
        <v>50</v>
      </c>
      <c r="G19" s="1445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445" t="s">
        <v>53</v>
      </c>
      <c r="F20" s="1445" t="s">
        <v>54</v>
      </c>
      <c r="G20" s="1445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445" t="s">
        <v>427</v>
      </c>
      <c r="F21" s="1445" t="s">
        <v>57</v>
      </c>
      <c r="G21" s="1445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445" t="s">
        <v>53</v>
      </c>
      <c r="F22" s="1445" t="s">
        <v>60</v>
      </c>
      <c r="G22" s="1445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445" t="s">
        <v>514</v>
      </c>
      <c r="F23" s="1445" t="s">
        <v>64</v>
      </c>
      <c r="G23" s="1445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445" t="s">
        <v>643</v>
      </c>
      <c r="F24" s="1445" t="s">
        <v>68</v>
      </c>
      <c r="G24" s="1445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445" t="s">
        <v>71</v>
      </c>
      <c r="F25" s="1445" t="s">
        <v>72</v>
      </c>
      <c r="G25" s="1445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445" t="s">
        <v>515</v>
      </c>
      <c r="F26" s="1445" t="s">
        <v>79</v>
      </c>
      <c r="G26" s="1445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445" t="s">
        <v>78</v>
      </c>
      <c r="F27" s="1445" t="s">
        <v>79</v>
      </c>
      <c r="G27" s="1445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445" t="s">
        <v>82</v>
      </c>
      <c r="F28" s="1445" t="s">
        <v>83</v>
      </c>
      <c r="G28" s="1445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445" t="s">
        <v>85</v>
      </c>
      <c r="F29" s="1445" t="s">
        <v>86</v>
      </c>
      <c r="G29" s="1445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445" t="s">
        <v>89</v>
      </c>
      <c r="F30" s="1445" t="s">
        <v>90</v>
      </c>
      <c r="G30" s="1445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445" t="s">
        <v>92</v>
      </c>
      <c r="F31" s="1445" t="s">
        <v>93</v>
      </c>
      <c r="G31" s="1445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445" t="s">
        <v>71</v>
      </c>
      <c r="F32" s="1445" t="s">
        <v>95</v>
      </c>
      <c r="G32" s="1445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445" t="s">
        <v>97</v>
      </c>
      <c r="F33" s="1445" t="s">
        <v>98</v>
      </c>
      <c r="G33" s="1445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445" t="s">
        <v>92</v>
      </c>
      <c r="F34" s="1445" t="s">
        <v>100</v>
      </c>
      <c r="G34" s="1445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445" t="s">
        <v>102</v>
      </c>
      <c r="F35" s="1445" t="s">
        <v>103</v>
      </c>
      <c r="G35" s="1445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445" t="s">
        <v>105</v>
      </c>
      <c r="F36" s="1445" t="s">
        <v>106</v>
      </c>
      <c r="G36" s="1445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445" t="s">
        <v>105</v>
      </c>
      <c r="F37" s="1445" t="s">
        <v>108</v>
      </c>
      <c r="G37" s="1445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445" t="s">
        <v>515</v>
      </c>
      <c r="F38" s="1445" t="s">
        <v>115</v>
      </c>
      <c r="G38" s="1445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445" t="s">
        <v>489</v>
      </c>
      <c r="F39" s="1445" t="s">
        <v>118</v>
      </c>
      <c r="G39" s="1445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445" t="s">
        <v>120</v>
      </c>
      <c r="F40" s="1445" t="s">
        <v>121</v>
      </c>
      <c r="G40" s="1445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445" t="s">
        <v>49</v>
      </c>
      <c r="F41" s="1445" t="s">
        <v>123</v>
      </c>
      <c r="G41" s="1445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445" t="s">
        <v>125</v>
      </c>
      <c r="F42" s="1445" t="s">
        <v>126</v>
      </c>
      <c r="G42" s="1445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445" t="s">
        <v>105</v>
      </c>
      <c r="F43" s="1445" t="s">
        <v>128</v>
      </c>
      <c r="G43" s="1445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445" t="s">
        <v>102</v>
      </c>
      <c r="F44" s="1445" t="s">
        <v>130</v>
      </c>
      <c r="G44" s="1445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445" t="s">
        <v>132</v>
      </c>
      <c r="F45" s="1445" t="s">
        <v>133</v>
      </c>
      <c r="G45" s="1445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445" t="s">
        <v>489</v>
      </c>
      <c r="F46" s="1445" t="s">
        <v>118</v>
      </c>
      <c r="G46" s="1445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445" t="s">
        <v>85</v>
      </c>
      <c r="F47" s="1445" t="s">
        <v>137</v>
      </c>
      <c r="G47" s="1445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445" t="s">
        <v>516</v>
      </c>
      <c r="F48" s="1445" t="s">
        <v>140</v>
      </c>
      <c r="G48" s="1445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445" t="s">
        <v>658</v>
      </c>
      <c r="F49" s="1445" t="s">
        <v>149</v>
      </c>
      <c r="G49" s="1445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445" t="s">
        <v>151</v>
      </c>
      <c r="F50" s="1445" t="s">
        <v>152</v>
      </c>
      <c r="G50" s="1445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445" t="s">
        <v>157</v>
      </c>
      <c r="F51" s="1445" t="s">
        <v>158</v>
      </c>
      <c r="G51" s="1445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445" t="s">
        <v>160</v>
      </c>
      <c r="F53" s="1445" t="s">
        <v>161</v>
      </c>
      <c r="G53" s="1445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445" t="s">
        <v>163</v>
      </c>
      <c r="F54" s="1445" t="s">
        <v>164</v>
      </c>
      <c r="G54" s="1445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445" t="s">
        <v>248</v>
      </c>
      <c r="F57" s="1445" t="s">
        <v>170</v>
      </c>
      <c r="G57" s="1445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445" t="s">
        <v>40</v>
      </c>
      <c r="F61" s="1445" t="s">
        <v>172</v>
      </c>
      <c r="G61" s="1445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445" t="s">
        <v>518</v>
      </c>
      <c r="F65" s="1445"/>
      <c r="G65" s="1445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445" t="s">
        <v>178</v>
      </c>
      <c r="F70" s="1445" t="s">
        <v>179</v>
      </c>
      <c r="G70" s="1445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463" t="s">
        <v>92</v>
      </c>
      <c r="F71" s="1463" t="s">
        <v>193</v>
      </c>
      <c r="G71" s="1463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445" t="s">
        <v>44</v>
      </c>
      <c r="F88" s="1445" t="s">
        <v>45</v>
      </c>
      <c r="G88" s="1445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464" t="s">
        <v>288</v>
      </c>
      <c r="D110" s="1464"/>
      <c r="E110" s="1464"/>
      <c r="F110" s="1464"/>
      <c r="G110" s="1464"/>
      <c r="H110" s="1464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443" t="s">
        <v>195</v>
      </c>
      <c r="D116" s="1443"/>
      <c r="E116" s="1443" t="s">
        <v>616</v>
      </c>
      <c r="F116" s="1443"/>
      <c r="G116" s="1443"/>
      <c r="H116" s="1443"/>
      <c r="I116" s="1443"/>
      <c r="J116" s="25"/>
      <c r="K116" s="25"/>
      <c r="L116" s="1443" t="s">
        <v>196</v>
      </c>
      <c r="M116" s="1443"/>
      <c r="N116" s="1443"/>
      <c r="O116" s="1443"/>
      <c r="P116" s="1443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454" t="s">
        <v>678</v>
      </c>
      <c r="D118" s="1454"/>
      <c r="E118" s="1454" t="s">
        <v>677</v>
      </c>
      <c r="F118" s="1454"/>
      <c r="G118" s="1454"/>
      <c r="H118" s="1454"/>
      <c r="I118" s="1454"/>
      <c r="J118" s="25"/>
      <c r="K118" s="25"/>
      <c r="L118" s="1454" t="s">
        <v>678</v>
      </c>
      <c r="M118" s="1454"/>
      <c r="N118" s="1454"/>
      <c r="O118" s="1454"/>
      <c r="P118" s="1454"/>
    </row>
    <row r="119" spans="3:16" x14ac:dyDescent="0.25">
      <c r="C119" s="1443" t="s">
        <v>497</v>
      </c>
      <c r="D119" s="1443"/>
      <c r="E119" s="1474" t="s">
        <v>688</v>
      </c>
      <c r="F119" s="1474"/>
      <c r="G119" s="1474"/>
      <c r="H119" s="1474"/>
      <c r="I119" s="1474"/>
      <c r="J119" s="125"/>
      <c r="K119" s="125"/>
      <c r="L119" s="1443" t="s">
        <v>523</v>
      </c>
      <c r="M119" s="1443"/>
      <c r="N119" s="1443"/>
      <c r="O119" s="1443"/>
      <c r="P119" s="1443"/>
    </row>
    <row r="120" spans="3:16" x14ac:dyDescent="0.25">
      <c r="C120" s="1454" t="s">
        <v>499</v>
      </c>
      <c r="D120" s="1454"/>
      <c r="E120" s="1454" t="s">
        <v>618</v>
      </c>
      <c r="F120" s="1454"/>
      <c r="G120" s="1454"/>
      <c r="H120" s="1454"/>
      <c r="I120" s="1454"/>
      <c r="J120" s="25"/>
      <c r="K120" s="25"/>
      <c r="L120" s="1454" t="s">
        <v>493</v>
      </c>
      <c r="M120" s="1454"/>
      <c r="N120" s="1454"/>
      <c r="O120" s="1454"/>
      <c r="P120" s="1454"/>
    </row>
    <row r="123" spans="3:16" x14ac:dyDescent="0.25">
      <c r="C123" s="1443"/>
      <c r="D123" s="1443"/>
      <c r="E123" s="1443"/>
      <c r="F123" s="1443"/>
      <c r="G123" s="1443"/>
      <c r="H123" s="1443"/>
      <c r="I123" s="1443"/>
      <c r="J123" s="1443"/>
      <c r="K123" s="1443"/>
      <c r="L123" s="1443"/>
      <c r="M123" s="1443"/>
      <c r="N123" s="1443"/>
      <c r="O123" s="1443"/>
      <c r="P123" s="1443"/>
    </row>
    <row r="126" spans="3:16" x14ac:dyDescent="0.25">
      <c r="C126" s="1454"/>
      <c r="D126" s="1454"/>
      <c r="E126" s="1454"/>
      <c r="F126" s="1454"/>
      <c r="G126" s="1454"/>
      <c r="H126" s="1454"/>
      <c r="I126" s="1454"/>
      <c r="J126" s="1454"/>
      <c r="K126" s="1454"/>
      <c r="L126" s="1454"/>
      <c r="M126" s="1454"/>
      <c r="N126" s="1454"/>
      <c r="O126" s="1454"/>
      <c r="P126" s="1454"/>
    </row>
    <row r="127" spans="3:16" x14ac:dyDescent="0.25">
      <c r="C127" s="1443"/>
      <c r="D127" s="1443"/>
      <c r="E127" s="1443"/>
      <c r="F127" s="1443"/>
      <c r="G127" s="1443"/>
      <c r="H127" s="1443"/>
      <c r="I127" s="1443"/>
      <c r="J127" s="1443"/>
      <c r="K127" s="1443"/>
      <c r="L127" s="1443"/>
      <c r="M127" s="1443"/>
      <c r="N127" s="1443"/>
      <c r="O127" s="1443"/>
      <c r="P127" s="1443"/>
    </row>
    <row r="128" spans="3:16" x14ac:dyDescent="0.25">
      <c r="C128" s="1454"/>
      <c r="D128" s="1454"/>
      <c r="E128" s="1454"/>
      <c r="F128" s="1454"/>
      <c r="G128" s="1454"/>
      <c r="H128" s="1454"/>
      <c r="I128" s="1454"/>
      <c r="J128" s="1454"/>
      <c r="K128" s="1454"/>
      <c r="L128" s="1454"/>
      <c r="M128" s="1454"/>
      <c r="N128" s="1454"/>
      <c r="O128" s="1454"/>
      <c r="P128" s="1454"/>
    </row>
  </sheetData>
  <sheetProtection selectLockedCells="1" selectUnlockedCells="1"/>
  <mergeCells count="82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5:G15"/>
    <mergeCell ref="E16:G16"/>
    <mergeCell ref="G12:G13"/>
    <mergeCell ref="H12:H13"/>
    <mergeCell ref="J12:J13"/>
    <mergeCell ref="E17:G17"/>
    <mergeCell ref="E18:G18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3:G53"/>
    <mergeCell ref="E54:G54"/>
    <mergeCell ref="E57:G57"/>
    <mergeCell ref="E61:G61"/>
    <mergeCell ref="E65:G65"/>
    <mergeCell ref="E70:G70"/>
    <mergeCell ref="C116:D116"/>
    <mergeCell ref="C123:P123"/>
    <mergeCell ref="C126:P126"/>
    <mergeCell ref="C127:P127"/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443" t="s">
        <v>0</v>
      </c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  <c r="O6" s="1443"/>
      <c r="P6" s="1443"/>
      <c r="Q6" s="1443"/>
    </row>
    <row r="7" spans="2:17" x14ac:dyDescent="0.25"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3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443" t="s">
        <v>691</v>
      </c>
      <c r="D9" s="1443"/>
      <c r="E9" s="1443"/>
      <c r="F9" s="1443"/>
      <c r="G9" s="1443"/>
      <c r="H9" s="1443"/>
      <c r="I9" s="1443"/>
      <c r="J9" s="1443"/>
      <c r="K9" s="1443"/>
      <c r="L9" s="1443"/>
      <c r="M9" s="1443"/>
      <c r="N9" s="1443"/>
      <c r="O9" s="1443"/>
      <c r="P9" s="1443"/>
      <c r="Q9" s="1443"/>
    </row>
    <row r="10" spans="2:17" x14ac:dyDescent="0.25">
      <c r="C10" s="1442" t="s">
        <v>404</v>
      </c>
      <c r="D10" s="1442"/>
      <c r="E10" s="1442"/>
      <c r="F10" s="1442"/>
      <c r="G10" s="1442"/>
      <c r="H10" s="1442"/>
      <c r="I10" s="1442"/>
      <c r="J10" s="1442"/>
      <c r="K10" s="1442"/>
      <c r="L10" s="1442"/>
      <c r="M10" s="1442"/>
      <c r="N10" s="1442"/>
      <c r="O10" s="1442"/>
      <c r="P10" s="1442"/>
      <c r="Q10" s="1442"/>
    </row>
    <row r="11" spans="2:17" ht="15.75" thickBot="1" x14ac:dyDescent="0.3">
      <c r="D11" t="s">
        <v>641</v>
      </c>
    </row>
    <row r="12" spans="2:17" ht="15.75" thickBot="1" x14ac:dyDescent="0.3">
      <c r="B12" s="1458" t="s">
        <v>6</v>
      </c>
      <c r="C12" s="1459" t="s">
        <v>7</v>
      </c>
      <c r="D12" s="1459" t="s">
        <v>8</v>
      </c>
      <c r="E12" s="1459" t="s">
        <v>9</v>
      </c>
      <c r="F12" s="1459" t="s">
        <v>10</v>
      </c>
      <c r="G12" s="1461" t="s">
        <v>11</v>
      </c>
      <c r="H12" s="1459" t="s">
        <v>11</v>
      </c>
      <c r="I12" s="51" t="s">
        <v>12</v>
      </c>
      <c r="J12" s="1460" t="s">
        <v>13</v>
      </c>
      <c r="K12" s="1459" t="s">
        <v>14</v>
      </c>
      <c r="L12" s="1459" t="s">
        <v>15</v>
      </c>
      <c r="M12" s="1459" t="s">
        <v>16</v>
      </c>
      <c r="N12" s="1459" t="s">
        <v>17</v>
      </c>
      <c r="O12" s="1459" t="s">
        <v>18</v>
      </c>
      <c r="P12" s="1459" t="s">
        <v>19</v>
      </c>
      <c r="Q12" s="1462" t="s">
        <v>20</v>
      </c>
    </row>
    <row r="13" spans="2:17" ht="15.75" thickBot="1" x14ac:dyDescent="0.3">
      <c r="B13" s="1458"/>
      <c r="C13" s="1459"/>
      <c r="D13" s="1459"/>
      <c r="E13" s="1459"/>
      <c r="F13" s="1459"/>
      <c r="G13" s="1461"/>
      <c r="H13" s="1459"/>
      <c r="I13" s="52" t="s">
        <v>21</v>
      </c>
      <c r="J13" s="1460"/>
      <c r="K13" s="1459"/>
      <c r="L13" s="1459"/>
      <c r="M13" s="1459"/>
      <c r="N13" s="1459"/>
      <c r="O13" s="1459"/>
      <c r="P13" s="1459"/>
      <c r="Q13" s="1462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492" t="s">
        <v>24</v>
      </c>
      <c r="F18" s="1492"/>
      <c r="G18" s="1492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492" t="s">
        <v>36</v>
      </c>
      <c r="F19" s="1492" t="s">
        <v>37</v>
      </c>
      <c r="G19" s="1492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492" t="s">
        <v>105</v>
      </c>
      <c r="F20" s="1492" t="s">
        <v>41</v>
      </c>
      <c r="G20" s="1492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492" t="s">
        <v>449</v>
      </c>
      <c r="F21" s="1492" t="s">
        <v>45</v>
      </c>
      <c r="G21" s="1492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492" t="s">
        <v>49</v>
      </c>
      <c r="F22" s="1492" t="s">
        <v>50</v>
      </c>
      <c r="G22" s="1492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492" t="s">
        <v>53</v>
      </c>
      <c r="F23" s="1492" t="s">
        <v>54</v>
      </c>
      <c r="G23" s="1492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492" t="s">
        <v>427</v>
      </c>
      <c r="F24" s="1492" t="s">
        <v>57</v>
      </c>
      <c r="G24" s="1492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492" t="s">
        <v>53</v>
      </c>
      <c r="F25" s="1492" t="s">
        <v>60</v>
      </c>
      <c r="G25" s="1492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492" t="s">
        <v>514</v>
      </c>
      <c r="F26" s="1492" t="s">
        <v>64</v>
      </c>
      <c r="G26" s="1492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492" t="s">
        <v>643</v>
      </c>
      <c r="F27" s="1492" t="s">
        <v>68</v>
      </c>
      <c r="G27" s="1492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492" t="s">
        <v>71</v>
      </c>
      <c r="F28" s="1492" t="s">
        <v>72</v>
      </c>
      <c r="G28" s="1492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492" t="s">
        <v>515</v>
      </c>
      <c r="F29" s="1492" t="s">
        <v>79</v>
      </c>
      <c r="G29" s="1492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492" t="s">
        <v>78</v>
      </c>
      <c r="F30" s="1492" t="s">
        <v>79</v>
      </c>
      <c r="G30" s="1492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492" t="s">
        <v>82</v>
      </c>
      <c r="F31" s="1492" t="s">
        <v>83</v>
      </c>
      <c r="G31" s="1492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492" t="s">
        <v>85</v>
      </c>
      <c r="F32" s="1492" t="s">
        <v>86</v>
      </c>
      <c r="G32" s="1492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492" t="s">
        <v>89</v>
      </c>
      <c r="F33" s="1492" t="s">
        <v>90</v>
      </c>
      <c r="G33" s="1492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492" t="s">
        <v>92</v>
      </c>
      <c r="F34" s="1492" t="s">
        <v>93</v>
      </c>
      <c r="G34" s="1492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492" t="s">
        <v>71</v>
      </c>
      <c r="F36" s="1492" t="s">
        <v>95</v>
      </c>
      <c r="G36" s="1492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492" t="s">
        <v>92</v>
      </c>
      <c r="F37" s="1492" t="s">
        <v>100</v>
      </c>
      <c r="G37" s="1492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492" t="s">
        <v>102</v>
      </c>
      <c r="F38" s="1492" t="s">
        <v>103</v>
      </c>
      <c r="G38" s="1492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492" t="s">
        <v>105</v>
      </c>
      <c r="F39" s="1492" t="s">
        <v>106</v>
      </c>
      <c r="G39" s="1492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492" t="s">
        <v>105</v>
      </c>
      <c r="F40" s="1492" t="s">
        <v>108</v>
      </c>
      <c r="G40" s="1492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492" t="s">
        <v>515</v>
      </c>
      <c r="F41" s="1492" t="s">
        <v>115</v>
      </c>
      <c r="G41" s="1492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492" t="s">
        <v>489</v>
      </c>
      <c r="F42" s="1492" t="s">
        <v>118</v>
      </c>
      <c r="G42" s="1492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492" t="s">
        <v>120</v>
      </c>
      <c r="F43" s="1492" t="s">
        <v>121</v>
      </c>
      <c r="G43" s="1492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492" t="s">
        <v>49</v>
      </c>
      <c r="F44" s="1492" t="s">
        <v>123</v>
      </c>
      <c r="G44" s="1492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492" t="s">
        <v>125</v>
      </c>
      <c r="F45" s="1492" t="s">
        <v>126</v>
      </c>
      <c r="G45" s="1492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492" t="s">
        <v>105</v>
      </c>
      <c r="F46" s="1492" t="s">
        <v>128</v>
      </c>
      <c r="G46" s="1492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492" t="s">
        <v>102</v>
      </c>
      <c r="F47" s="1492" t="s">
        <v>130</v>
      </c>
      <c r="G47" s="1492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492" t="s">
        <v>132</v>
      </c>
      <c r="F48" s="1492" t="s">
        <v>133</v>
      </c>
      <c r="G48" s="1492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492" t="s">
        <v>489</v>
      </c>
      <c r="F49" s="1492" t="s">
        <v>118</v>
      </c>
      <c r="G49" s="1492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492" t="s">
        <v>85</v>
      </c>
      <c r="F50" s="1492" t="s">
        <v>137</v>
      </c>
      <c r="G50" s="1492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492" t="s">
        <v>516</v>
      </c>
      <c r="F51" s="1492" t="s">
        <v>140</v>
      </c>
      <c r="G51" s="1492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492" t="s">
        <v>658</v>
      </c>
      <c r="F52" s="1492" t="s">
        <v>149</v>
      </c>
      <c r="G52" s="1492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492" t="s">
        <v>151</v>
      </c>
      <c r="F53" s="1492" t="s">
        <v>152</v>
      </c>
      <c r="G53" s="1492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492" t="s">
        <v>157</v>
      </c>
      <c r="F54" s="1492" t="s">
        <v>158</v>
      </c>
      <c r="G54" s="1492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492" t="s">
        <v>160</v>
      </c>
      <c r="F55" s="1492" t="s">
        <v>161</v>
      </c>
      <c r="G55" s="1492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492" t="s">
        <v>163</v>
      </c>
      <c r="F57" s="1492" t="s">
        <v>164</v>
      </c>
      <c r="G57" s="1492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492" t="s">
        <v>695</v>
      </c>
      <c r="F60" s="1492" t="s">
        <v>170</v>
      </c>
      <c r="G60" s="1492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492" t="s">
        <v>40</v>
      </c>
      <c r="F64" s="1492" t="s">
        <v>172</v>
      </c>
      <c r="G64" s="1492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492" t="s">
        <v>518</v>
      </c>
      <c r="F68" s="1492"/>
      <c r="G68" s="1492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492" t="s">
        <v>178</v>
      </c>
      <c r="F73" s="1492" t="s">
        <v>179</v>
      </c>
      <c r="G73" s="1492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492" t="s">
        <v>92</v>
      </c>
      <c r="F74" s="1492" t="s">
        <v>193</v>
      </c>
      <c r="G74" s="1492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492" t="s">
        <v>44</v>
      </c>
      <c r="F89" s="1492" t="s">
        <v>45</v>
      </c>
      <c r="G89" s="1492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491" t="s">
        <v>288</v>
      </c>
      <c r="D110" s="1491"/>
      <c r="E110" s="1491"/>
      <c r="F110" s="1491"/>
      <c r="G110" s="1491"/>
      <c r="H110" s="1491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443" t="s">
        <v>195</v>
      </c>
      <c r="D116" s="1443"/>
      <c r="E116" s="1443" t="s">
        <v>616</v>
      </c>
      <c r="F116" s="1443"/>
      <c r="G116" s="1443"/>
      <c r="H116" s="1443"/>
      <c r="I116" s="1443"/>
      <c r="J116" s="25"/>
      <c r="K116" s="25"/>
      <c r="L116" s="1443" t="s">
        <v>196</v>
      </c>
      <c r="M116" s="1443"/>
      <c r="N116" s="1443"/>
      <c r="O116" s="1443"/>
      <c r="P116" s="1443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454" t="s">
        <v>678</v>
      </c>
      <c r="D118" s="1454"/>
      <c r="E118" s="1454" t="s">
        <v>677</v>
      </c>
      <c r="F118" s="1454"/>
      <c r="G118" s="1454"/>
      <c r="H118" s="1454"/>
      <c r="I118" s="1454"/>
      <c r="J118" s="25"/>
      <c r="K118" s="25"/>
      <c r="L118" s="1454" t="s">
        <v>678</v>
      </c>
      <c r="M118" s="1454"/>
      <c r="N118" s="1454"/>
      <c r="O118" s="1454"/>
      <c r="P118" s="1454"/>
    </row>
    <row r="119" spans="3:16" x14ac:dyDescent="0.25">
      <c r="C119" s="1443" t="s">
        <v>709</v>
      </c>
      <c r="D119" s="1443"/>
      <c r="E119" s="1474" t="s">
        <v>688</v>
      </c>
      <c r="F119" s="1474"/>
      <c r="G119" s="1474"/>
      <c r="H119" s="1474"/>
      <c r="I119" s="1474"/>
      <c r="J119" s="125"/>
      <c r="K119" s="125"/>
      <c r="L119" s="1443" t="s">
        <v>523</v>
      </c>
      <c r="M119" s="1443"/>
      <c r="N119" s="1443"/>
      <c r="O119" s="1443"/>
      <c r="P119" s="1443"/>
    </row>
    <row r="120" spans="3:16" x14ac:dyDescent="0.25">
      <c r="C120" s="1454" t="s">
        <v>707</v>
      </c>
      <c r="D120" s="1454"/>
      <c r="E120" s="1454" t="s">
        <v>618</v>
      </c>
      <c r="F120" s="1454"/>
      <c r="G120" s="1454"/>
      <c r="H120" s="1454"/>
      <c r="I120" s="1454"/>
      <c r="J120" s="25"/>
      <c r="K120" s="25"/>
      <c r="L120" s="1454" t="s">
        <v>493</v>
      </c>
      <c r="M120" s="1454"/>
      <c r="N120" s="1454"/>
      <c r="O120" s="1454"/>
      <c r="P120" s="1454"/>
    </row>
    <row r="123" spans="3:16" x14ac:dyDescent="0.25">
      <c r="C123" s="1443"/>
      <c r="D123" s="1443"/>
      <c r="E123" s="1443"/>
      <c r="F123" s="1443"/>
      <c r="G123" s="1443"/>
      <c r="H123" s="1443"/>
      <c r="I123" s="1443"/>
      <c r="J123" s="1443"/>
      <c r="K123" s="1443"/>
      <c r="L123" s="1443"/>
      <c r="M123" s="1443"/>
      <c r="N123" s="1443"/>
      <c r="O123" s="1443"/>
      <c r="P123" s="1443"/>
    </row>
    <row r="126" spans="3:16" x14ac:dyDescent="0.25">
      <c r="C126" s="1454"/>
      <c r="D126" s="1454"/>
      <c r="E126" s="1454"/>
      <c r="F126" s="1454"/>
      <c r="G126" s="1454"/>
      <c r="H126" s="1454"/>
      <c r="I126" s="1454"/>
      <c r="J126" s="1454"/>
      <c r="K126" s="1454"/>
      <c r="L126" s="1454"/>
      <c r="M126" s="1454"/>
      <c r="N126" s="1454"/>
      <c r="O126" s="1454"/>
      <c r="P126" s="1454"/>
    </row>
    <row r="127" spans="3:16" x14ac:dyDescent="0.25">
      <c r="C127" s="1443"/>
      <c r="D127" s="1443"/>
      <c r="E127" s="1443"/>
      <c r="F127" s="1443"/>
      <c r="G127" s="1443"/>
      <c r="H127" s="1443"/>
      <c r="I127" s="1443"/>
      <c r="J127" s="1443"/>
      <c r="K127" s="1443"/>
      <c r="L127" s="1443"/>
      <c r="M127" s="1443"/>
      <c r="N127" s="1443"/>
      <c r="O127" s="1443"/>
      <c r="P127" s="1443"/>
    </row>
    <row r="128" spans="3:16" x14ac:dyDescent="0.25">
      <c r="C128" s="1454"/>
      <c r="D128" s="1454"/>
      <c r="E128" s="1454"/>
      <c r="F128" s="1454"/>
      <c r="G128" s="1454"/>
      <c r="H128" s="1454"/>
      <c r="I128" s="1454"/>
      <c r="J128" s="1454"/>
      <c r="K128" s="1454"/>
      <c r="L128" s="1454"/>
      <c r="M128" s="1454"/>
      <c r="N128" s="1454"/>
      <c r="O128" s="1454"/>
      <c r="P128" s="1454"/>
    </row>
  </sheetData>
  <sheetProtection selectLockedCells="1" selectUnlockedCells="1"/>
  <mergeCells count="81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8:G18"/>
    <mergeCell ref="E19:G19"/>
    <mergeCell ref="G12:G13"/>
    <mergeCell ref="H12:H13"/>
    <mergeCell ref="J12:J13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2:G32"/>
    <mergeCell ref="E33:G33"/>
    <mergeCell ref="E34:G34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7:G57"/>
    <mergeCell ref="E60:G60"/>
    <mergeCell ref="E64:G64"/>
    <mergeCell ref="E68:G68"/>
    <mergeCell ref="E73:G73"/>
    <mergeCell ref="E74:G74"/>
    <mergeCell ref="E89:G89"/>
    <mergeCell ref="C110:H110"/>
    <mergeCell ref="C116:D116"/>
    <mergeCell ref="E116:I116"/>
    <mergeCell ref="L116:P116"/>
    <mergeCell ref="C118:D118"/>
    <mergeCell ref="E118:I118"/>
    <mergeCell ref="L118:P118"/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443" t="s">
        <v>3</v>
      </c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  <c r="P10" s="1443"/>
      <c r="Q10" s="1443"/>
    </row>
    <row r="11" spans="2:17" x14ac:dyDescent="0.25">
      <c r="C11" s="1443" t="s">
        <v>700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2" t="s">
        <v>406</v>
      </c>
      <c r="D12" s="1442"/>
      <c r="E12" s="1442"/>
      <c r="F12" s="1442"/>
      <c r="G12" s="1442"/>
      <c r="H12" s="1442"/>
      <c r="I12" s="1442"/>
      <c r="J12" s="1442"/>
      <c r="K12" s="1442"/>
      <c r="L12" s="1442"/>
      <c r="M12" s="1442"/>
      <c r="N12" s="1442"/>
      <c r="O12" s="1442"/>
      <c r="P12" s="1442"/>
      <c r="Q12" s="1442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493" t="s">
        <v>6</v>
      </c>
      <c r="C14" s="1493" t="s">
        <v>7</v>
      </c>
      <c r="D14" s="1493" t="s">
        <v>8</v>
      </c>
      <c r="E14" s="1493" t="s">
        <v>10</v>
      </c>
      <c r="F14" s="1493" t="s">
        <v>11</v>
      </c>
      <c r="G14" s="1493" t="s">
        <v>208</v>
      </c>
      <c r="H14" s="1493" t="s">
        <v>209</v>
      </c>
      <c r="I14" s="165" t="s">
        <v>12</v>
      </c>
      <c r="J14" s="1493" t="s">
        <v>13</v>
      </c>
      <c r="K14" s="1493" t="s">
        <v>14</v>
      </c>
      <c r="L14" s="1493" t="s">
        <v>15</v>
      </c>
      <c r="M14" s="1493" t="s">
        <v>16</v>
      </c>
      <c r="N14" s="1493" t="s">
        <v>17</v>
      </c>
      <c r="O14" s="1493" t="s">
        <v>18</v>
      </c>
      <c r="P14" s="1493" t="s">
        <v>19</v>
      </c>
      <c r="Q14" s="1493" t="s">
        <v>20</v>
      </c>
    </row>
    <row r="15" spans="2:17" s="153" customFormat="1" x14ac:dyDescent="0.25">
      <c r="B15" s="1493"/>
      <c r="C15" s="1493"/>
      <c r="D15" s="1493"/>
      <c r="E15" s="1493"/>
      <c r="F15" s="1493"/>
      <c r="G15" s="1493"/>
      <c r="H15" s="1493"/>
      <c r="I15" s="165" t="s">
        <v>21</v>
      </c>
      <c r="J15" s="1493"/>
      <c r="K15" s="1493"/>
      <c r="L15" s="1493"/>
      <c r="M15" s="1493"/>
      <c r="N15" s="1493"/>
      <c r="O15" s="1493"/>
      <c r="P15" s="1493"/>
      <c r="Q15" s="1493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494" t="s">
        <v>194</v>
      </c>
      <c r="D34" s="1495"/>
      <c r="E34" s="1495"/>
      <c r="F34" s="1495"/>
      <c r="G34" s="1495"/>
      <c r="H34" s="1495"/>
      <c r="I34" s="1496" t="s">
        <v>704</v>
      </c>
      <c r="J34" s="1497">
        <f>SUM(J17:J33)</f>
        <v>0</v>
      </c>
      <c r="K34" s="1496" t="s">
        <v>704</v>
      </c>
      <c r="L34" s="1496">
        <v>32574.5</v>
      </c>
      <c r="M34" s="1496">
        <v>41809.870000000003</v>
      </c>
      <c r="N34" s="1496">
        <v>34504</v>
      </c>
      <c r="O34" s="1496">
        <v>1670</v>
      </c>
      <c r="P34" s="1496">
        <v>148565.22</v>
      </c>
      <c r="Q34" s="1496">
        <v>986434.78</v>
      </c>
    </row>
    <row r="35" spans="2:17" s="153" customFormat="1" x14ac:dyDescent="0.25">
      <c r="C35" s="1494"/>
      <c r="D35" s="1495"/>
      <c r="E35" s="1495"/>
      <c r="F35" s="1495"/>
      <c r="G35" s="1495"/>
      <c r="H35" s="1495"/>
      <c r="I35" s="1496"/>
      <c r="J35" s="1497"/>
      <c r="K35" s="1496"/>
      <c r="L35" s="1496"/>
      <c r="M35" s="1496"/>
      <c r="N35" s="1496"/>
      <c r="O35" s="1496"/>
      <c r="P35" s="1496"/>
      <c r="Q35" s="1496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443" t="s">
        <v>195</v>
      </c>
      <c r="D41" s="1443"/>
      <c r="E41" s="1443" t="s">
        <v>708</v>
      </c>
      <c r="F41" s="1443"/>
      <c r="G41" s="1443"/>
      <c r="H41" s="1443"/>
      <c r="I41" s="1443"/>
      <c r="L41" s="1443" t="s">
        <v>196</v>
      </c>
      <c r="M41" s="1443"/>
      <c r="N41" s="1443"/>
      <c r="O41" s="1443"/>
      <c r="P41" s="1443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454" t="s">
        <v>679</v>
      </c>
      <c r="D43" s="1454"/>
      <c r="E43" s="1454" t="s">
        <v>682</v>
      </c>
      <c r="F43" s="1454"/>
      <c r="G43" s="1454"/>
      <c r="H43" s="1454"/>
      <c r="I43" s="1454"/>
      <c r="L43" s="1454" t="s">
        <v>683</v>
      </c>
      <c r="M43" s="1454"/>
      <c r="N43" s="1454"/>
      <c r="O43" s="1454"/>
      <c r="P43" s="1454"/>
    </row>
    <row r="44" spans="2:17" x14ac:dyDescent="0.25">
      <c r="C44" s="1443" t="s">
        <v>709</v>
      </c>
      <c r="D44" s="1443"/>
      <c r="E44" s="1474" t="s">
        <v>686</v>
      </c>
      <c r="F44" s="1474"/>
      <c r="G44" s="1474"/>
      <c r="H44" s="1474"/>
      <c r="I44" s="1474"/>
      <c r="L44" s="1443" t="s">
        <v>523</v>
      </c>
      <c r="M44" s="1443"/>
      <c r="N44" s="1443"/>
      <c r="O44" s="1443"/>
      <c r="P44" s="1443"/>
    </row>
    <row r="45" spans="2:17" x14ac:dyDescent="0.25">
      <c r="C45" s="1454" t="s">
        <v>707</v>
      </c>
      <c r="D45" s="1454"/>
      <c r="E45" s="1454" t="s">
        <v>681</v>
      </c>
      <c r="F45" s="1454"/>
      <c r="G45" s="1454"/>
      <c r="H45" s="1454"/>
      <c r="I45" s="1454"/>
      <c r="L45" s="1454" t="s">
        <v>493</v>
      </c>
      <c r="M45" s="1454"/>
      <c r="N45" s="1454"/>
      <c r="O45" s="1454"/>
      <c r="P45" s="1454"/>
    </row>
    <row r="48" spans="2:17" x14ac:dyDescent="0.25">
      <c r="C48" s="1443"/>
      <c r="D48" s="1443"/>
      <c r="E48" s="1443"/>
      <c r="F48" s="1443"/>
      <c r="G48" s="1443"/>
      <c r="H48" s="1443"/>
      <c r="I48" s="1443"/>
      <c r="J48" s="1443"/>
      <c r="K48" s="1443"/>
      <c r="L48" s="1443"/>
      <c r="M48" s="1443"/>
      <c r="N48" s="1443"/>
      <c r="O48" s="1443"/>
      <c r="P48" s="1443"/>
    </row>
    <row r="51" spans="3:16" x14ac:dyDescent="0.25">
      <c r="C51" s="1454"/>
      <c r="D51" s="1454"/>
      <c r="E51" s="1454"/>
      <c r="F51" s="1454"/>
      <c r="G51" s="1454"/>
      <c r="H51" s="1454"/>
      <c r="I51" s="1454"/>
      <c r="J51" s="1454"/>
      <c r="K51" s="1454"/>
      <c r="L51" s="1454"/>
      <c r="M51" s="1454"/>
      <c r="N51" s="1454"/>
      <c r="O51" s="1454"/>
      <c r="P51" s="1454"/>
    </row>
    <row r="52" spans="3:16" x14ac:dyDescent="0.25">
      <c r="C52" s="1443"/>
      <c r="D52" s="1443"/>
      <c r="E52" s="1443"/>
      <c r="F52" s="1443"/>
      <c r="G52" s="1443"/>
      <c r="H52" s="1443"/>
      <c r="I52" s="1443"/>
      <c r="J52" s="1443"/>
      <c r="K52" s="1443"/>
      <c r="L52" s="1443"/>
      <c r="M52" s="1443"/>
      <c r="N52" s="1443"/>
      <c r="O52" s="1443"/>
      <c r="P52" s="1443"/>
    </row>
    <row r="53" spans="3:16" x14ac:dyDescent="0.25">
      <c r="C53" s="1454"/>
      <c r="D53" s="1454"/>
      <c r="E53" s="1454"/>
      <c r="F53" s="1454"/>
      <c r="G53" s="1454"/>
      <c r="H53" s="1454"/>
      <c r="I53" s="1454"/>
      <c r="J53" s="1454"/>
      <c r="K53" s="1454"/>
      <c r="L53" s="1454"/>
      <c r="M53" s="1454"/>
      <c r="N53" s="1454"/>
      <c r="O53" s="1454"/>
      <c r="P53" s="1454"/>
    </row>
  </sheetData>
  <sheetProtection selectLockedCells="1" selectUnlockedCells="1"/>
  <mergeCells count="46">
    <mergeCell ref="C53:P53"/>
    <mergeCell ref="C45:D45"/>
    <mergeCell ref="E45:I45"/>
    <mergeCell ref="L45:P45"/>
    <mergeCell ref="C48:P48"/>
    <mergeCell ref="C51:P51"/>
    <mergeCell ref="C52:P52"/>
    <mergeCell ref="C43:D43"/>
    <mergeCell ref="E43:I43"/>
    <mergeCell ref="L43:P43"/>
    <mergeCell ref="C44:D44"/>
    <mergeCell ref="E44:I44"/>
    <mergeCell ref="L44:P44"/>
    <mergeCell ref="N34:N35"/>
    <mergeCell ref="O34:O35"/>
    <mergeCell ref="P34:P35"/>
    <mergeCell ref="Q34:Q35"/>
    <mergeCell ref="C41:D41"/>
    <mergeCell ref="E41:I41"/>
    <mergeCell ref="L41:P41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474" t="s">
        <v>0</v>
      </c>
      <c r="C7" s="1474"/>
      <c r="D7" s="1474"/>
      <c r="E7" s="1474"/>
      <c r="F7" s="1474"/>
      <c r="G7" s="1474"/>
      <c r="H7" s="1474"/>
      <c r="I7" s="1474"/>
      <c r="J7" s="1474"/>
      <c r="K7" s="1474"/>
      <c r="L7" s="1474"/>
      <c r="M7" s="1474"/>
      <c r="N7" s="1474"/>
    </row>
    <row r="8" spans="1:14" x14ac:dyDescent="0.25">
      <c r="B8" s="1474" t="s">
        <v>1</v>
      </c>
      <c r="C8" s="1474"/>
      <c r="D8" s="1474"/>
      <c r="E8" s="1474"/>
      <c r="F8" s="1474"/>
      <c r="G8" s="1474"/>
      <c r="H8" s="1474"/>
      <c r="I8" s="1474"/>
      <c r="J8" s="1474"/>
      <c r="K8" s="1474"/>
      <c r="L8" s="1474"/>
      <c r="M8" s="1474"/>
      <c r="N8" s="1474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74" t="s">
        <v>3</v>
      </c>
      <c r="C10" s="1474"/>
      <c r="D10" s="1474"/>
      <c r="E10" s="1474"/>
      <c r="F10" s="1474"/>
      <c r="G10" s="1474"/>
      <c r="H10" s="1474"/>
      <c r="I10" s="1474"/>
      <c r="J10" s="1474"/>
      <c r="K10" s="1474"/>
      <c r="L10" s="1474"/>
      <c r="M10" s="1474"/>
      <c r="N10" s="1474"/>
    </row>
    <row r="11" spans="1:14" x14ac:dyDescent="0.25">
      <c r="B11" s="1474" t="s">
        <v>705</v>
      </c>
      <c r="C11" s="1474"/>
      <c r="D11" s="1474"/>
      <c r="E11" s="1474"/>
      <c r="F11" s="1474"/>
      <c r="G11" s="1474"/>
      <c r="H11" s="1474"/>
      <c r="I11" s="1474"/>
      <c r="J11" s="1474"/>
      <c r="K11" s="1474"/>
      <c r="L11" s="1474"/>
      <c r="M11" s="1474"/>
      <c r="N11" s="1474"/>
    </row>
    <row r="12" spans="1:14" x14ac:dyDescent="0.25">
      <c r="B12" s="1473" t="s">
        <v>5</v>
      </c>
      <c r="C12" s="1473"/>
      <c r="D12" s="1473"/>
      <c r="E12" s="1473"/>
      <c r="F12" s="1473"/>
      <c r="G12" s="1473"/>
      <c r="H12" s="1473"/>
      <c r="I12" s="1473"/>
      <c r="J12" s="1473"/>
      <c r="K12" s="1473"/>
      <c r="L12" s="1473"/>
      <c r="M12" s="1473"/>
      <c r="N12" s="1473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85" t="s">
        <v>6</v>
      </c>
      <c r="B14" s="1485" t="s">
        <v>7</v>
      </c>
      <c r="C14" s="1485" t="s">
        <v>8</v>
      </c>
      <c r="D14" s="1485" t="s">
        <v>10</v>
      </c>
      <c r="E14" s="1485" t="s">
        <v>11</v>
      </c>
      <c r="F14" s="132" t="s">
        <v>12</v>
      </c>
      <c r="G14" s="1485" t="s">
        <v>13</v>
      </c>
      <c r="H14" s="1485" t="s">
        <v>14</v>
      </c>
      <c r="I14" s="1485" t="s">
        <v>15</v>
      </c>
      <c r="J14" s="1485" t="s">
        <v>16</v>
      </c>
      <c r="K14" s="1485" t="s">
        <v>17</v>
      </c>
      <c r="L14" s="1485" t="s">
        <v>18</v>
      </c>
      <c r="M14" s="1485" t="s">
        <v>19</v>
      </c>
      <c r="N14" s="1485" t="s">
        <v>20</v>
      </c>
    </row>
    <row r="15" spans="1:14" x14ac:dyDescent="0.25">
      <c r="A15" s="1485"/>
      <c r="B15" s="1485"/>
      <c r="C15" s="1485"/>
      <c r="D15" s="1485"/>
      <c r="E15" s="1485"/>
      <c r="F15" s="133" t="s">
        <v>21</v>
      </c>
      <c r="G15" s="1485"/>
      <c r="H15" s="1485"/>
      <c r="I15" s="1485"/>
      <c r="J15" s="1485"/>
      <c r="K15" s="1485"/>
      <c r="L15" s="1485"/>
      <c r="M15" s="1485"/>
      <c r="N15" s="1485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490" t="s">
        <v>194</v>
      </c>
      <c r="C30" s="1490"/>
      <c r="D30" s="1490"/>
      <c r="E30" s="1490"/>
      <c r="F30" s="1487">
        <v>191000</v>
      </c>
      <c r="G30" s="1488">
        <v>0</v>
      </c>
      <c r="H30" s="1487">
        <v>191000</v>
      </c>
      <c r="I30" s="1488">
        <v>0</v>
      </c>
      <c r="J30" s="1489">
        <v>1594.5</v>
      </c>
      <c r="K30" s="1488">
        <v>0</v>
      </c>
      <c r="L30" s="1488">
        <v>0</v>
      </c>
      <c r="M30" s="1489">
        <v>1594.5</v>
      </c>
      <c r="N30" s="1487">
        <v>189405.5</v>
      </c>
    </row>
    <row r="31" spans="1:14" x14ac:dyDescent="0.25">
      <c r="A31" s="151"/>
      <c r="B31" s="1490"/>
      <c r="C31" s="1490"/>
      <c r="D31" s="1490"/>
      <c r="E31" s="1490"/>
      <c r="F31" s="1487"/>
      <c r="G31" s="1488"/>
      <c r="H31" s="1487"/>
      <c r="I31" s="1488"/>
      <c r="J31" s="1489"/>
      <c r="K31" s="1488"/>
      <c r="L31" s="1488"/>
      <c r="M31" s="1489"/>
      <c r="N31" s="1487"/>
    </row>
    <row r="35" spans="1:14" x14ac:dyDescent="0.25">
      <c r="A35" s="125" t="s">
        <v>257</v>
      </c>
      <c r="B35" s="1443" t="s">
        <v>195</v>
      </c>
      <c r="C35" s="1443"/>
      <c r="D35" s="24"/>
      <c r="E35" s="1443" t="s">
        <v>680</v>
      </c>
      <c r="F35" s="1443"/>
      <c r="G35" s="1443"/>
      <c r="J35" s="1443" t="s">
        <v>196</v>
      </c>
      <c r="K35" s="1443"/>
      <c r="L35" s="1443"/>
      <c r="M35" s="1443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454" t="s">
        <v>197</v>
      </c>
      <c r="C38" s="1454"/>
      <c r="D38" s="25"/>
      <c r="E38" s="1454" t="s">
        <v>684</v>
      </c>
      <c r="F38" s="1454"/>
      <c r="G38" s="1454"/>
      <c r="J38" s="1454" t="s">
        <v>683</v>
      </c>
      <c r="K38" s="1454"/>
      <c r="L38" s="1454"/>
      <c r="M38" s="1454"/>
      <c r="N38" s="25"/>
    </row>
    <row r="39" spans="1:14" x14ac:dyDescent="0.25">
      <c r="A39" s="96"/>
      <c r="B39" s="1443" t="s">
        <v>709</v>
      </c>
      <c r="C39" s="1443"/>
      <c r="D39" s="24"/>
      <c r="E39" s="1474" t="s">
        <v>687</v>
      </c>
      <c r="F39" s="1474"/>
      <c r="G39" s="1474"/>
      <c r="J39" s="1443" t="s">
        <v>537</v>
      </c>
      <c r="K39" s="1443"/>
      <c r="L39" s="1443"/>
      <c r="M39" s="1443"/>
      <c r="N39" s="24"/>
    </row>
    <row r="40" spans="1:14" x14ac:dyDescent="0.25">
      <c r="A40" s="99"/>
      <c r="B40" s="1454" t="s">
        <v>707</v>
      </c>
      <c r="C40" s="1454"/>
      <c r="D40" s="25"/>
      <c r="E40" s="1454" t="s">
        <v>685</v>
      </c>
      <c r="F40" s="1454"/>
      <c r="G40" s="1454"/>
      <c r="J40" s="1454" t="s">
        <v>493</v>
      </c>
      <c r="K40" s="1454"/>
      <c r="L40" s="1454"/>
      <c r="M40" s="1454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454"/>
      <c r="B44" s="1454"/>
      <c r="C44" s="1454"/>
      <c r="D44" s="1454"/>
      <c r="E44" s="1454"/>
      <c r="F44" s="1454"/>
      <c r="G44" s="1454"/>
      <c r="H44" s="1454"/>
      <c r="I44" s="1454"/>
      <c r="J44" s="1454"/>
      <c r="K44" s="1454"/>
      <c r="L44" s="1454"/>
      <c r="M44" s="1454"/>
      <c r="N44" s="1454"/>
    </row>
    <row r="45" spans="1:14" x14ac:dyDescent="0.25">
      <c r="A45" s="1443"/>
      <c r="B45" s="1443"/>
      <c r="C45" s="1443"/>
      <c r="D45" s="1443"/>
      <c r="E45" s="1443"/>
      <c r="F45" s="1443"/>
      <c r="G45" s="1443"/>
      <c r="H45" s="1443"/>
      <c r="I45" s="1443"/>
      <c r="J45" s="1443"/>
      <c r="K45" s="1443"/>
      <c r="L45" s="1443"/>
      <c r="M45" s="1443"/>
      <c r="N45" s="1443"/>
    </row>
    <row r="46" spans="1:14" x14ac:dyDescent="0.25">
      <c r="A46" s="1454"/>
      <c r="B46" s="1454"/>
      <c r="C46" s="1454"/>
      <c r="D46" s="1454"/>
      <c r="E46" s="1454"/>
      <c r="F46" s="1454"/>
      <c r="G46" s="1454"/>
      <c r="H46" s="1454"/>
      <c r="I46" s="1454"/>
      <c r="J46" s="1454"/>
      <c r="K46" s="1454"/>
      <c r="L46" s="1454"/>
      <c r="M46" s="1454"/>
      <c r="N46" s="1454"/>
    </row>
  </sheetData>
  <sheetProtection selectLockedCells="1" selectUnlockedCells="1"/>
  <mergeCells count="43">
    <mergeCell ref="B7:N7"/>
    <mergeCell ref="B8:N8"/>
    <mergeCell ref="B10:N10"/>
    <mergeCell ref="B11:N11"/>
    <mergeCell ref="B12:N12"/>
    <mergeCell ref="J14:J15"/>
    <mergeCell ref="K14:K15"/>
    <mergeCell ref="A14:A15"/>
    <mergeCell ref="B14:B15"/>
    <mergeCell ref="C14:C15"/>
    <mergeCell ref="D14:D15"/>
    <mergeCell ref="E14:E15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B35:C35"/>
    <mergeCell ref="E35:G35"/>
    <mergeCell ref="J35:M35"/>
    <mergeCell ref="B38:C38"/>
    <mergeCell ref="E38:G38"/>
    <mergeCell ref="J38:M38"/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443" t="s">
        <v>0</v>
      </c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  <c r="O6" s="1443"/>
    </row>
    <row r="7" spans="2:15" x14ac:dyDescent="0.25"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</row>
    <row r="8" spans="2:15" x14ac:dyDescent="0.25">
      <c r="C8" s="1443" t="s">
        <v>3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</row>
    <row r="9" spans="2:15" x14ac:dyDescent="0.25">
      <c r="C9" s="1443" t="s">
        <v>710</v>
      </c>
      <c r="D9" s="1443"/>
      <c r="E9" s="1443"/>
      <c r="F9" s="1443"/>
      <c r="G9" s="1443"/>
      <c r="H9" s="1443"/>
      <c r="I9" s="1443"/>
      <c r="J9" s="1443"/>
      <c r="K9" s="1443"/>
      <c r="L9" s="1443"/>
      <c r="M9" s="1443"/>
      <c r="N9" s="1443"/>
      <c r="O9" s="1443"/>
    </row>
    <row r="10" spans="2:15" x14ac:dyDescent="0.25">
      <c r="C10" s="1442" t="s">
        <v>404</v>
      </c>
      <c r="D10" s="1442"/>
      <c r="E10" s="1442"/>
      <c r="F10" s="1442"/>
      <c r="G10" s="1442"/>
      <c r="H10" s="1442"/>
      <c r="I10" s="1442"/>
      <c r="J10" s="1442"/>
      <c r="K10" s="1442"/>
      <c r="L10" s="1442"/>
      <c r="M10" s="1442"/>
      <c r="N10" s="1442"/>
      <c r="O10" s="1442"/>
    </row>
    <row r="11" spans="2:15" ht="15.75" thickBot="1" x14ac:dyDescent="0.3">
      <c r="D11" t="s">
        <v>641</v>
      </c>
    </row>
    <row r="12" spans="2:15" ht="15.75" thickBot="1" x14ac:dyDescent="0.3">
      <c r="B12" s="1458" t="s">
        <v>6</v>
      </c>
      <c r="C12" s="1459" t="s">
        <v>7</v>
      </c>
      <c r="D12" s="1459" t="s">
        <v>8</v>
      </c>
      <c r="E12" s="1459" t="s">
        <v>9</v>
      </c>
      <c r="F12" s="1459" t="s">
        <v>11</v>
      </c>
      <c r="G12" s="51" t="s">
        <v>12</v>
      </c>
      <c r="H12" s="1460" t="s">
        <v>13</v>
      </c>
      <c r="I12" s="1459" t="s">
        <v>14</v>
      </c>
      <c r="J12" s="1459" t="s">
        <v>15</v>
      </c>
      <c r="K12" s="1459" t="s">
        <v>16</v>
      </c>
      <c r="L12" s="1459" t="s">
        <v>17</v>
      </c>
      <c r="M12" s="1459" t="s">
        <v>18</v>
      </c>
      <c r="N12" s="1461" t="s">
        <v>19</v>
      </c>
      <c r="O12" s="1498" t="s">
        <v>20</v>
      </c>
    </row>
    <row r="13" spans="2:15" ht="15.75" thickBot="1" x14ac:dyDescent="0.3">
      <c r="B13" s="1458"/>
      <c r="C13" s="1459"/>
      <c r="D13" s="1459"/>
      <c r="E13" s="1459"/>
      <c r="F13" s="1459"/>
      <c r="G13" s="52" t="s">
        <v>21</v>
      </c>
      <c r="H13" s="1460"/>
      <c r="I13" s="1459"/>
      <c r="J13" s="1459"/>
      <c r="K13" s="1459"/>
      <c r="L13" s="1459"/>
      <c r="M13" s="1459"/>
      <c r="N13" s="1461"/>
      <c r="O13" s="1499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500" t="s">
        <v>288</v>
      </c>
      <c r="D101" s="1501"/>
      <c r="E101" s="1501"/>
      <c r="F101" s="1502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443" t="s">
        <v>195</v>
      </c>
      <c r="C105" s="1443"/>
      <c r="E105" s="1443" t="s">
        <v>616</v>
      </c>
      <c r="F105" s="1443"/>
      <c r="G105" s="5"/>
      <c r="H105" s="25"/>
      <c r="I105" s="25"/>
      <c r="J105" s="1443" t="s">
        <v>196</v>
      </c>
      <c r="K105" s="1443"/>
      <c r="L105" s="1443"/>
      <c r="M105" s="1443"/>
      <c r="N105" s="1443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454" t="s">
        <v>678</v>
      </c>
      <c r="C107" s="1454"/>
      <c r="E107" s="1454" t="s">
        <v>677</v>
      </c>
      <c r="F107" s="1454"/>
      <c r="H107" s="25"/>
      <c r="I107" s="25"/>
      <c r="J107" s="1454" t="s">
        <v>678</v>
      </c>
      <c r="K107" s="1454"/>
      <c r="L107" s="1454"/>
      <c r="M107" s="1454"/>
      <c r="N107" s="1454"/>
    </row>
    <row r="108" spans="2:15" x14ac:dyDescent="0.25">
      <c r="B108" s="1443" t="s">
        <v>709</v>
      </c>
      <c r="C108" s="1443"/>
      <c r="E108" s="1443" t="s">
        <v>688</v>
      </c>
      <c r="F108" s="1443"/>
      <c r="G108" s="126"/>
      <c r="H108" s="125"/>
      <c r="I108" s="125"/>
      <c r="J108" s="1443" t="s">
        <v>523</v>
      </c>
      <c r="K108" s="1443"/>
      <c r="L108" s="1443"/>
      <c r="M108" s="1443"/>
      <c r="N108" s="1443"/>
    </row>
    <row r="109" spans="2:15" x14ac:dyDescent="0.25">
      <c r="B109" s="1454" t="s">
        <v>707</v>
      </c>
      <c r="C109" s="1454"/>
      <c r="E109" s="1454" t="s">
        <v>618</v>
      </c>
      <c r="F109" s="1454"/>
      <c r="H109" s="25"/>
      <c r="I109" s="25"/>
      <c r="J109" s="1454" t="s">
        <v>493</v>
      </c>
      <c r="K109" s="1454"/>
      <c r="L109" s="1454"/>
      <c r="M109" s="1454"/>
      <c r="N109" s="1454"/>
    </row>
    <row r="112" spans="2:15" x14ac:dyDescent="0.25">
      <c r="C112" s="1443"/>
      <c r="D112" s="1443"/>
      <c r="E112" s="1443"/>
      <c r="F112" s="1443"/>
      <c r="G112" s="1443"/>
      <c r="H112" s="1443"/>
      <c r="I112" s="1443"/>
      <c r="J112" s="1443"/>
      <c r="K112" s="1443"/>
      <c r="L112" s="1443"/>
      <c r="M112" s="1443"/>
      <c r="N112" s="1443"/>
    </row>
    <row r="115" spans="3:14" x14ac:dyDescent="0.25">
      <c r="C115" s="1454"/>
      <c r="D115" s="1454"/>
      <c r="E115" s="1454"/>
      <c r="F115" s="1454"/>
      <c r="G115" s="1454"/>
      <c r="H115" s="1454"/>
      <c r="I115" s="1454"/>
      <c r="J115" s="1454"/>
      <c r="K115" s="1454"/>
      <c r="L115" s="1454"/>
      <c r="M115" s="1454"/>
      <c r="N115" s="1454"/>
    </row>
    <row r="116" spans="3:14" x14ac:dyDescent="0.25">
      <c r="C116" s="1443"/>
      <c r="D116" s="1443"/>
      <c r="E116" s="1443"/>
      <c r="F116" s="1443"/>
      <c r="G116" s="1443"/>
      <c r="H116" s="1443"/>
      <c r="I116" s="1443"/>
      <c r="J116" s="1443"/>
      <c r="K116" s="1443"/>
      <c r="L116" s="1443"/>
      <c r="M116" s="1443"/>
      <c r="N116" s="1443"/>
    </row>
    <row r="117" spans="3:14" x14ac:dyDescent="0.25">
      <c r="C117" s="1454"/>
      <c r="D117" s="1454"/>
      <c r="E117" s="1454"/>
      <c r="F117" s="1454"/>
      <c r="G117" s="1454"/>
      <c r="H117" s="1454"/>
      <c r="I117" s="1454"/>
      <c r="J117" s="1454"/>
      <c r="K117" s="1454"/>
      <c r="L117" s="1454"/>
      <c r="M117" s="1454"/>
      <c r="N117" s="1454"/>
    </row>
  </sheetData>
  <sheetProtection selectLockedCells="1" selectUnlockedCells="1"/>
  <mergeCells count="35">
    <mergeCell ref="C6:O6"/>
    <mergeCell ref="C7:O7"/>
    <mergeCell ref="C8:O8"/>
    <mergeCell ref="C9:O9"/>
    <mergeCell ref="C10:O10"/>
    <mergeCell ref="B12:B13"/>
    <mergeCell ref="C12:C13"/>
    <mergeCell ref="D12:D13"/>
    <mergeCell ref="E12:E13"/>
    <mergeCell ref="E109:F109"/>
    <mergeCell ref="C101:F101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474" t="s">
        <v>0</v>
      </c>
      <c r="C7" s="1474"/>
      <c r="D7" s="1474"/>
      <c r="E7" s="1474"/>
      <c r="F7" s="1474"/>
      <c r="G7" s="1474"/>
      <c r="H7" s="1474"/>
      <c r="I7" s="1474"/>
      <c r="J7" s="1474"/>
      <c r="K7" s="1474"/>
      <c r="L7" s="1474"/>
      <c r="M7" s="1474"/>
      <c r="N7" s="1474"/>
    </row>
    <row r="8" spans="1:14" x14ac:dyDescent="0.25">
      <c r="B8" s="1474" t="s">
        <v>1</v>
      </c>
      <c r="C8" s="1474"/>
      <c r="D8" s="1474"/>
      <c r="E8" s="1474"/>
      <c r="F8" s="1474"/>
      <c r="G8" s="1474"/>
      <c r="H8" s="1474"/>
      <c r="I8" s="1474"/>
      <c r="J8" s="1474"/>
      <c r="K8" s="1474"/>
      <c r="L8" s="1474"/>
      <c r="M8" s="1474"/>
      <c r="N8" s="1474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74" t="s">
        <v>3</v>
      </c>
      <c r="C10" s="1474"/>
      <c r="D10" s="1474"/>
      <c r="E10" s="1474"/>
      <c r="F10" s="1474"/>
      <c r="G10" s="1474"/>
      <c r="H10" s="1474"/>
      <c r="I10" s="1474"/>
      <c r="J10" s="1474"/>
      <c r="K10" s="1474"/>
      <c r="L10" s="1474"/>
      <c r="M10" s="1474"/>
      <c r="N10" s="1474"/>
    </row>
    <row r="11" spans="1:14" x14ac:dyDescent="0.25">
      <c r="B11" s="1474" t="s">
        <v>714</v>
      </c>
      <c r="C11" s="1474"/>
      <c r="D11" s="1474"/>
      <c r="E11" s="1474"/>
      <c r="F11" s="1474"/>
      <c r="G11" s="1474"/>
      <c r="H11" s="1474"/>
      <c r="I11" s="1474"/>
      <c r="J11" s="1474"/>
      <c r="K11" s="1474"/>
      <c r="L11" s="1474"/>
      <c r="M11" s="1474"/>
      <c r="N11" s="1474"/>
    </row>
    <row r="12" spans="1:14" x14ac:dyDescent="0.25">
      <c r="B12" s="1473" t="s">
        <v>5</v>
      </c>
      <c r="C12" s="1473"/>
      <c r="D12" s="1473"/>
      <c r="E12" s="1473"/>
      <c r="F12" s="1473"/>
      <c r="G12" s="1473"/>
      <c r="H12" s="1473"/>
      <c r="I12" s="1473"/>
      <c r="J12" s="1473"/>
      <c r="K12" s="1473"/>
      <c r="L12" s="1473"/>
      <c r="M12" s="1473"/>
      <c r="N12" s="1473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85" t="s">
        <v>6</v>
      </c>
      <c r="B14" s="1485" t="s">
        <v>7</v>
      </c>
      <c r="C14" s="1485" t="s">
        <v>8</v>
      </c>
      <c r="D14" s="1485" t="s">
        <v>10</v>
      </c>
      <c r="E14" s="1485" t="s">
        <v>11</v>
      </c>
      <c r="F14" s="132" t="s">
        <v>12</v>
      </c>
      <c r="G14" s="1485" t="s">
        <v>13</v>
      </c>
      <c r="H14" s="1485" t="s">
        <v>14</v>
      </c>
      <c r="I14" s="1485" t="s">
        <v>15</v>
      </c>
      <c r="J14" s="1485" t="s">
        <v>16</v>
      </c>
      <c r="K14" s="1485" t="s">
        <v>17</v>
      </c>
      <c r="L14" s="1485" t="s">
        <v>18</v>
      </c>
      <c r="M14" s="1485" t="s">
        <v>19</v>
      </c>
      <c r="N14" s="1485" t="s">
        <v>20</v>
      </c>
    </row>
    <row r="15" spans="1:14" x14ac:dyDescent="0.25">
      <c r="A15" s="1485"/>
      <c r="B15" s="1485"/>
      <c r="C15" s="1485"/>
      <c r="D15" s="1485"/>
      <c r="E15" s="1485"/>
      <c r="F15" s="133" t="s">
        <v>21</v>
      </c>
      <c r="G15" s="1485"/>
      <c r="H15" s="1485"/>
      <c r="I15" s="1485"/>
      <c r="J15" s="1485"/>
      <c r="K15" s="1485"/>
      <c r="L15" s="1485"/>
      <c r="M15" s="1485"/>
      <c r="N15" s="1485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503" t="s">
        <v>194</v>
      </c>
      <c r="B29" s="1504"/>
      <c r="C29" s="1504"/>
      <c r="D29" s="1504"/>
      <c r="E29" s="1505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443" t="s">
        <v>195</v>
      </c>
      <c r="C32" s="1443"/>
      <c r="D32" s="24"/>
      <c r="E32" s="1443" t="s">
        <v>680</v>
      </c>
      <c r="F32" s="1443"/>
      <c r="G32" s="1443"/>
      <c r="J32" s="1443" t="s">
        <v>196</v>
      </c>
      <c r="K32" s="1443"/>
      <c r="L32" s="1443"/>
      <c r="M32" s="1443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454" t="s">
        <v>197</v>
      </c>
      <c r="C35" s="1454"/>
      <c r="D35" s="25"/>
      <c r="E35" s="1454" t="s">
        <v>684</v>
      </c>
      <c r="F35" s="1454"/>
      <c r="G35" s="1454"/>
      <c r="J35" s="1454" t="s">
        <v>683</v>
      </c>
      <c r="K35" s="1454"/>
      <c r="L35" s="1454"/>
      <c r="M35" s="1454"/>
      <c r="N35" s="25"/>
    </row>
    <row r="36" spans="1:14" x14ac:dyDescent="0.25">
      <c r="A36" s="96"/>
      <c r="B36" s="1443" t="s">
        <v>709</v>
      </c>
      <c r="C36" s="1443"/>
      <c r="D36" s="24"/>
      <c r="E36" s="1443" t="s">
        <v>687</v>
      </c>
      <c r="F36" s="1443"/>
      <c r="G36" s="1443"/>
      <c r="J36" s="1443" t="s">
        <v>537</v>
      </c>
      <c r="K36" s="1443"/>
      <c r="L36" s="1443"/>
      <c r="M36" s="1443"/>
      <c r="N36" s="24"/>
    </row>
    <row r="37" spans="1:14" x14ac:dyDescent="0.25">
      <c r="A37" s="99"/>
      <c r="B37" s="1454" t="s">
        <v>707</v>
      </c>
      <c r="C37" s="1454"/>
      <c r="D37" s="25"/>
      <c r="E37" s="1454" t="s">
        <v>685</v>
      </c>
      <c r="F37" s="1454"/>
      <c r="G37" s="1454"/>
      <c r="J37" s="1454" t="s">
        <v>493</v>
      </c>
      <c r="K37" s="1454"/>
      <c r="L37" s="1454"/>
      <c r="M37" s="1454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454"/>
      <c r="B41" s="1454"/>
      <c r="C41" s="1454"/>
      <c r="D41" s="1454"/>
      <c r="E41" s="1454"/>
      <c r="F41" s="1454"/>
      <c r="G41" s="1454"/>
      <c r="H41" s="1454"/>
      <c r="I41" s="1454"/>
      <c r="J41" s="1454"/>
      <c r="K41" s="1454"/>
      <c r="L41" s="1454"/>
      <c r="M41" s="1454"/>
      <c r="N41" s="1454"/>
    </row>
    <row r="42" spans="1:14" x14ac:dyDescent="0.25">
      <c r="A42" s="1443"/>
      <c r="B42" s="1443"/>
      <c r="C42" s="1443"/>
      <c r="D42" s="1443"/>
      <c r="E42" s="1443"/>
      <c r="F42" s="1443"/>
      <c r="G42" s="1443"/>
      <c r="H42" s="1443"/>
      <c r="I42" s="1443"/>
      <c r="J42" s="1443"/>
      <c r="K42" s="1443"/>
      <c r="L42" s="1443"/>
      <c r="M42" s="1443"/>
      <c r="N42" s="1443"/>
    </row>
    <row r="43" spans="1:14" x14ac:dyDescent="0.25">
      <c r="A43" s="1454"/>
      <c r="B43" s="1454"/>
      <c r="C43" s="1454"/>
      <c r="D43" s="1454"/>
      <c r="E43" s="1454"/>
      <c r="F43" s="1454"/>
      <c r="G43" s="1454"/>
      <c r="H43" s="1454"/>
      <c r="I43" s="1454"/>
      <c r="J43" s="1454"/>
      <c r="K43" s="1454"/>
      <c r="L43" s="1454"/>
      <c r="M43" s="1454"/>
      <c r="N43" s="1454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A14:A15"/>
    <mergeCell ref="B14:B15"/>
    <mergeCell ref="C14:C15"/>
    <mergeCell ref="D14:D15"/>
    <mergeCell ref="E14:E15"/>
    <mergeCell ref="M14:M15"/>
    <mergeCell ref="N14:N15"/>
    <mergeCell ref="G14:G15"/>
    <mergeCell ref="H14:H15"/>
    <mergeCell ref="I14:I15"/>
    <mergeCell ref="J14:J15"/>
    <mergeCell ref="K14:K15"/>
    <mergeCell ref="L14:L15"/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443" t="s">
        <v>3</v>
      </c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  <c r="P10" s="1443"/>
      <c r="Q10" s="1443"/>
    </row>
    <row r="11" spans="2:17" x14ac:dyDescent="0.25">
      <c r="C11" s="1443" t="s">
        <v>717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2" t="s">
        <v>406</v>
      </c>
      <c r="D12" s="1442"/>
      <c r="E12" s="1442"/>
      <c r="F12" s="1442"/>
      <c r="G12" s="1442"/>
      <c r="H12" s="1442"/>
      <c r="I12" s="1442"/>
      <c r="J12" s="1442"/>
      <c r="K12" s="1442"/>
      <c r="L12" s="1442"/>
      <c r="M12" s="1442"/>
      <c r="N12" s="1442"/>
      <c r="O12" s="1442"/>
      <c r="P12" s="1442"/>
      <c r="Q12" s="1442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493" t="s">
        <v>6</v>
      </c>
      <c r="C14" s="1493" t="s">
        <v>7</v>
      </c>
      <c r="D14" s="1493" t="s">
        <v>8</v>
      </c>
      <c r="E14" s="1493" t="s">
        <v>10</v>
      </c>
      <c r="F14" s="1493" t="s">
        <v>11</v>
      </c>
      <c r="G14" s="1493" t="s">
        <v>208</v>
      </c>
      <c r="H14" s="1507" t="s">
        <v>209</v>
      </c>
      <c r="I14" s="165" t="s">
        <v>12</v>
      </c>
      <c r="J14" s="1493" t="s">
        <v>13</v>
      </c>
      <c r="K14" s="1493" t="s">
        <v>14</v>
      </c>
      <c r="L14" s="1493" t="s">
        <v>15</v>
      </c>
      <c r="M14" s="1493" t="s">
        <v>16</v>
      </c>
      <c r="N14" s="1493" t="s">
        <v>17</v>
      </c>
      <c r="O14" s="1493" t="s">
        <v>18</v>
      </c>
      <c r="P14" s="1493" t="s">
        <v>19</v>
      </c>
      <c r="Q14" s="1493" t="s">
        <v>20</v>
      </c>
    </row>
    <row r="15" spans="2:17" x14ac:dyDescent="0.25">
      <c r="B15" s="1493"/>
      <c r="C15" s="1493"/>
      <c r="D15" s="1493"/>
      <c r="E15" s="1493"/>
      <c r="F15" s="1493"/>
      <c r="G15" s="1493"/>
      <c r="H15" s="1507"/>
      <c r="I15" s="165" t="s">
        <v>21</v>
      </c>
      <c r="J15" s="1493"/>
      <c r="K15" s="1493"/>
      <c r="L15" s="1493"/>
      <c r="M15" s="1493"/>
      <c r="N15" s="1493"/>
      <c r="O15" s="1493"/>
      <c r="P15" s="1493"/>
      <c r="Q15" s="1493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494" t="s">
        <v>719</v>
      </c>
      <c r="D34" s="1495"/>
      <c r="E34" s="1495"/>
      <c r="F34" s="1495"/>
      <c r="G34" s="1495"/>
      <c r="H34" s="1495"/>
      <c r="I34" s="1506" t="s">
        <v>704</v>
      </c>
      <c r="J34" s="1497">
        <f>SUM(J16:J33)</f>
        <v>0</v>
      </c>
      <c r="K34" s="1496" t="s">
        <v>704</v>
      </c>
      <c r="L34" s="1496">
        <v>32574.5</v>
      </c>
      <c r="M34" s="1496">
        <v>79816.72</v>
      </c>
      <c r="N34" s="1496">
        <v>34504</v>
      </c>
      <c r="O34" s="1496">
        <v>1670</v>
      </c>
      <c r="P34" s="1496">
        <v>148565.22</v>
      </c>
      <c r="Q34" s="1496">
        <v>986434.78</v>
      </c>
    </row>
    <row r="35" spans="2:17" x14ac:dyDescent="0.25">
      <c r="B35" s="153"/>
      <c r="C35" s="1494"/>
      <c r="D35" s="1495"/>
      <c r="E35" s="1495"/>
      <c r="F35" s="1495"/>
      <c r="G35" s="1495"/>
      <c r="H35" s="1495"/>
      <c r="I35" s="1506"/>
      <c r="J35" s="1497"/>
      <c r="K35" s="1496"/>
      <c r="L35" s="1496"/>
      <c r="M35" s="1496"/>
      <c r="N35" s="1496"/>
      <c r="O35" s="1496"/>
      <c r="P35" s="1496"/>
      <c r="Q35" s="1496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443" t="s">
        <v>708</v>
      </c>
      <c r="F41" s="1443"/>
      <c r="G41" s="5"/>
      <c r="H41" s="199"/>
      <c r="I41" s="5"/>
      <c r="L41" s="1443" t="s">
        <v>196</v>
      </c>
      <c r="M41" s="1443"/>
      <c r="N41" s="1443"/>
      <c r="O41" s="1443"/>
      <c r="P41" s="1443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454" t="s">
        <v>718</v>
      </c>
      <c r="F43" s="1454"/>
      <c r="L43" s="1454" t="s">
        <v>683</v>
      </c>
      <c r="M43" s="1454"/>
      <c r="N43" s="1454"/>
      <c r="O43" s="1454"/>
      <c r="P43" s="1454"/>
    </row>
    <row r="44" spans="2:17" x14ac:dyDescent="0.25">
      <c r="C44" s="24" t="s">
        <v>709</v>
      </c>
      <c r="D44" s="5"/>
      <c r="E44" s="1443" t="s">
        <v>686</v>
      </c>
      <c r="F44" s="1443"/>
      <c r="G44" s="126"/>
      <c r="H44" s="201"/>
      <c r="I44" s="126"/>
      <c r="L44" s="1443" t="s">
        <v>523</v>
      </c>
      <c r="M44" s="1443"/>
      <c r="N44" s="1443"/>
      <c r="O44" s="1443"/>
      <c r="P44" s="1443"/>
    </row>
    <row r="45" spans="2:17" x14ac:dyDescent="0.25">
      <c r="C45" s="25" t="s">
        <v>707</v>
      </c>
      <c r="E45" s="1454" t="s">
        <v>681</v>
      </c>
      <c r="F45" s="1454"/>
      <c r="L45" s="1454" t="s">
        <v>493</v>
      </c>
      <c r="M45" s="1454"/>
      <c r="N45" s="1454"/>
      <c r="O45" s="1454"/>
      <c r="P45" s="1454"/>
    </row>
    <row r="48" spans="2:17" x14ac:dyDescent="0.25">
      <c r="C48" s="1443"/>
      <c r="D48" s="1443"/>
      <c r="E48" s="1443"/>
      <c r="F48" s="1443"/>
      <c r="G48" s="1443"/>
      <c r="H48" s="1443"/>
      <c r="I48" s="1443"/>
      <c r="J48" s="1443"/>
      <c r="K48" s="1443"/>
      <c r="L48" s="1443"/>
      <c r="M48" s="1443"/>
      <c r="N48" s="1443"/>
      <c r="O48" s="1443"/>
      <c r="P48" s="1443"/>
    </row>
    <row r="51" spans="3:16" x14ac:dyDescent="0.25">
      <c r="C51" s="1454"/>
      <c r="D51" s="1454"/>
      <c r="E51" s="1454"/>
      <c r="F51" s="1454"/>
      <c r="G51" s="1454"/>
      <c r="H51" s="1454"/>
      <c r="I51" s="1454"/>
      <c r="J51" s="1454"/>
      <c r="K51" s="1454"/>
      <c r="L51" s="1454"/>
      <c r="M51" s="1454"/>
      <c r="N51" s="1454"/>
      <c r="O51" s="1454"/>
      <c r="P51" s="1454"/>
    </row>
    <row r="52" spans="3:16" x14ac:dyDescent="0.25">
      <c r="C52" s="1443"/>
      <c r="D52" s="1443"/>
      <c r="E52" s="1443"/>
      <c r="F52" s="1443"/>
      <c r="G52" s="1443"/>
      <c r="H52" s="1443"/>
      <c r="I52" s="1443"/>
      <c r="J52" s="1443"/>
      <c r="K52" s="1443"/>
      <c r="L52" s="1443"/>
      <c r="M52" s="1443"/>
      <c r="N52" s="1443"/>
      <c r="O52" s="1443"/>
      <c r="P52" s="1443"/>
    </row>
    <row r="53" spans="3:16" x14ac:dyDescent="0.25">
      <c r="C53" s="1454"/>
      <c r="D53" s="1454"/>
      <c r="E53" s="1454"/>
      <c r="F53" s="1454"/>
      <c r="G53" s="1454"/>
      <c r="H53" s="1454"/>
      <c r="I53" s="1454"/>
      <c r="J53" s="1454"/>
      <c r="K53" s="1454"/>
      <c r="L53" s="1454"/>
      <c r="M53" s="1454"/>
      <c r="N53" s="1454"/>
      <c r="O53" s="1454"/>
      <c r="P53" s="1454"/>
    </row>
  </sheetData>
  <sheetProtection selectLockedCells="1" selectUnlockedCells="1"/>
  <mergeCells count="42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P34:P35"/>
    <mergeCell ref="C34:H35"/>
    <mergeCell ref="I34:I35"/>
    <mergeCell ref="J34:J35"/>
    <mergeCell ref="K34:K35"/>
    <mergeCell ref="L34:L35"/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443" t="s">
        <v>0</v>
      </c>
      <c r="D6" s="1443"/>
      <c r="E6" s="1443"/>
      <c r="F6" s="1443"/>
      <c r="G6" s="1443"/>
      <c r="H6" s="1443"/>
      <c r="I6" s="1443"/>
      <c r="J6" s="1443"/>
      <c r="K6" s="1443"/>
      <c r="L6" s="1443"/>
      <c r="M6" s="1443"/>
      <c r="N6" s="1443"/>
      <c r="O6" s="1443"/>
    </row>
    <row r="7" spans="2:15" x14ac:dyDescent="0.25"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</row>
    <row r="8" spans="2:15" x14ac:dyDescent="0.25">
      <c r="C8" s="1443" t="s">
        <v>3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</row>
    <row r="9" spans="2:15" x14ac:dyDescent="0.25">
      <c r="C9" s="1443" t="s">
        <v>722</v>
      </c>
      <c r="D9" s="1443"/>
      <c r="E9" s="1443"/>
      <c r="F9" s="1443"/>
      <c r="G9" s="1443"/>
      <c r="H9" s="1443"/>
      <c r="I9" s="1443"/>
      <c r="J9" s="1443"/>
      <c r="K9" s="1443"/>
      <c r="L9" s="1443"/>
      <c r="M9" s="1443"/>
      <c r="N9" s="1443"/>
      <c r="O9" s="1443"/>
    </row>
    <row r="10" spans="2:15" x14ac:dyDescent="0.25">
      <c r="C10" s="1442" t="s">
        <v>404</v>
      </c>
      <c r="D10" s="1442"/>
      <c r="E10" s="1442"/>
      <c r="F10" s="1442"/>
      <c r="G10" s="1442"/>
      <c r="H10" s="1442"/>
      <c r="I10" s="1442"/>
      <c r="J10" s="1442"/>
      <c r="K10" s="1442"/>
      <c r="L10" s="1442"/>
      <c r="M10" s="1442"/>
      <c r="N10" s="1442"/>
      <c r="O10" s="1442"/>
    </row>
    <row r="11" spans="2:15" ht="15.75" thickBot="1" x14ac:dyDescent="0.3">
      <c r="D11" t="s">
        <v>641</v>
      </c>
    </row>
    <row r="12" spans="2:15" ht="15.75" thickBot="1" x14ac:dyDescent="0.3">
      <c r="B12" s="1458" t="s">
        <v>6</v>
      </c>
      <c r="C12" s="1459" t="s">
        <v>7</v>
      </c>
      <c r="D12" s="1459" t="s">
        <v>8</v>
      </c>
      <c r="E12" s="1459" t="s">
        <v>9</v>
      </c>
      <c r="F12" s="1459" t="s">
        <v>11</v>
      </c>
      <c r="G12" s="51" t="s">
        <v>12</v>
      </c>
      <c r="H12" s="1460" t="s">
        <v>13</v>
      </c>
      <c r="I12" s="1459" t="s">
        <v>14</v>
      </c>
      <c r="J12" s="1459" t="s">
        <v>15</v>
      </c>
      <c r="K12" s="1459" t="s">
        <v>16</v>
      </c>
      <c r="L12" s="1459" t="s">
        <v>17</v>
      </c>
      <c r="M12" s="1459" t="s">
        <v>18</v>
      </c>
      <c r="N12" s="1461" t="s">
        <v>19</v>
      </c>
      <c r="O12" s="1498" t="s">
        <v>20</v>
      </c>
    </row>
    <row r="13" spans="2:15" x14ac:dyDescent="0.25">
      <c r="B13" s="1513"/>
      <c r="C13" s="1510"/>
      <c r="D13" s="1510"/>
      <c r="E13" s="1510"/>
      <c r="F13" s="1510"/>
      <c r="G13" s="203" t="s">
        <v>21</v>
      </c>
      <c r="H13" s="1515"/>
      <c r="I13" s="1510"/>
      <c r="J13" s="1510"/>
      <c r="K13" s="1510"/>
      <c r="L13" s="1510"/>
      <c r="M13" s="1510"/>
      <c r="N13" s="1514"/>
      <c r="O13" s="1499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511" t="s">
        <v>288</v>
      </c>
      <c r="D98" s="1512"/>
      <c r="E98" s="1512"/>
      <c r="F98" s="1494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509" t="s">
        <v>195</v>
      </c>
      <c r="C102" s="1509"/>
      <c r="D102" s="205"/>
      <c r="E102" s="1509" t="s">
        <v>616</v>
      </c>
      <c r="F102" s="1509"/>
      <c r="G102" s="206"/>
      <c r="H102" s="207"/>
      <c r="I102" s="207"/>
      <c r="J102" s="1509" t="s">
        <v>196</v>
      </c>
      <c r="K102" s="1509"/>
      <c r="L102" s="1509"/>
      <c r="M102" s="1509"/>
      <c r="N102" s="1509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508" t="s">
        <v>678</v>
      </c>
      <c r="C104" s="1508"/>
      <c r="D104" s="205"/>
      <c r="E104" s="1508" t="s">
        <v>677</v>
      </c>
      <c r="F104" s="1508"/>
      <c r="G104" s="205"/>
      <c r="H104" s="207"/>
      <c r="I104" s="207"/>
      <c r="J104" s="1508" t="s">
        <v>678</v>
      </c>
      <c r="K104" s="1508"/>
      <c r="L104" s="1508"/>
      <c r="M104" s="1508"/>
      <c r="N104" s="1508"/>
      <c r="O104" s="205"/>
    </row>
    <row r="105" spans="2:15" ht="15.75" x14ac:dyDescent="0.25">
      <c r="B105" s="1509" t="s">
        <v>709</v>
      </c>
      <c r="C105" s="1509"/>
      <c r="D105" s="205"/>
      <c r="E105" s="1509" t="s">
        <v>735</v>
      </c>
      <c r="F105" s="1509"/>
      <c r="G105" s="206"/>
      <c r="H105" s="204"/>
      <c r="I105" s="204"/>
      <c r="J105" s="1509" t="s">
        <v>736</v>
      </c>
      <c r="K105" s="1509"/>
      <c r="L105" s="1509"/>
      <c r="M105" s="1509"/>
      <c r="N105" s="1509"/>
      <c r="O105" s="205"/>
    </row>
    <row r="106" spans="2:15" ht="15.75" x14ac:dyDescent="0.25">
      <c r="B106" s="1508" t="s">
        <v>707</v>
      </c>
      <c r="C106" s="1508"/>
      <c r="D106" s="205"/>
      <c r="E106" s="1508" t="s">
        <v>618</v>
      </c>
      <c r="F106" s="1508"/>
      <c r="G106" s="205"/>
      <c r="H106" s="207"/>
      <c r="I106" s="207"/>
      <c r="J106" s="1508" t="s">
        <v>493</v>
      </c>
      <c r="K106" s="1508"/>
      <c r="L106" s="1508"/>
      <c r="M106" s="1508"/>
      <c r="N106" s="1508"/>
      <c r="O106" s="205"/>
    </row>
    <row r="109" spans="2:15" x14ac:dyDescent="0.25">
      <c r="C109" s="1443"/>
      <c r="D109" s="1443"/>
      <c r="E109" s="1443"/>
      <c r="F109" s="1443"/>
      <c r="G109" s="1443"/>
      <c r="H109" s="1443"/>
      <c r="I109" s="1443"/>
      <c r="J109" s="1443"/>
      <c r="K109" s="1443"/>
      <c r="L109" s="1443"/>
      <c r="M109" s="1443"/>
      <c r="N109" s="1443"/>
    </row>
    <row r="112" spans="2:15" x14ac:dyDescent="0.25">
      <c r="C112" s="1454"/>
      <c r="D112" s="1454"/>
      <c r="E112" s="1454"/>
      <c r="F112" s="1454"/>
      <c r="G112" s="1454"/>
      <c r="H112" s="1454"/>
      <c r="I112" s="1454"/>
      <c r="J112" s="1454"/>
      <c r="K112" s="1454"/>
      <c r="L112" s="1454"/>
      <c r="M112" s="1454"/>
      <c r="N112" s="1454"/>
    </row>
    <row r="113" spans="3:14" x14ac:dyDescent="0.25">
      <c r="C113" s="1443"/>
      <c r="D113" s="1443"/>
      <c r="E113" s="1443"/>
      <c r="F113" s="1443"/>
      <c r="G113" s="1443"/>
      <c r="H113" s="1443"/>
      <c r="I113" s="1443"/>
      <c r="J113" s="1443"/>
      <c r="K113" s="1443"/>
      <c r="L113" s="1443"/>
      <c r="M113" s="1443"/>
      <c r="N113" s="1443"/>
    </row>
    <row r="114" spans="3:14" x14ac:dyDescent="0.25">
      <c r="C114" s="1454"/>
      <c r="D114" s="1454"/>
      <c r="E114" s="1454"/>
      <c r="F114" s="1454"/>
      <c r="G114" s="1454"/>
      <c r="H114" s="1454"/>
      <c r="I114" s="1454"/>
      <c r="J114" s="1454"/>
      <c r="K114" s="1454"/>
      <c r="L114" s="1454"/>
      <c r="M114" s="1454"/>
      <c r="N114" s="1454"/>
    </row>
  </sheetData>
  <sheetProtection selectLockedCells="1" selectUnlockedCells="1"/>
  <mergeCells count="35"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  <mergeCell ref="C6:O6"/>
    <mergeCell ref="C7:O7"/>
    <mergeCell ref="C8:O8"/>
    <mergeCell ref="C9:O9"/>
    <mergeCell ref="C10:O10"/>
    <mergeCell ref="E104:F104"/>
    <mergeCell ref="J104:N104"/>
    <mergeCell ref="B105:C105"/>
    <mergeCell ref="E105:F105"/>
    <mergeCell ref="J105:N105"/>
    <mergeCell ref="B104:C104"/>
    <mergeCell ref="B102:C102"/>
    <mergeCell ref="E102:F102"/>
    <mergeCell ref="J102:N102"/>
    <mergeCell ref="E12:E13"/>
    <mergeCell ref="C98:F98"/>
    <mergeCell ref="D12:D13"/>
    <mergeCell ref="B12:B13"/>
    <mergeCell ref="N12:N13"/>
    <mergeCell ref="C114:N114"/>
    <mergeCell ref="B106:C106"/>
    <mergeCell ref="E106:F106"/>
    <mergeCell ref="J106:N106"/>
    <mergeCell ref="C109:N109"/>
    <mergeCell ref="C112:N112"/>
    <mergeCell ref="C113:N1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443" t="s">
        <v>0</v>
      </c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  <c r="P7" s="1443"/>
      <c r="Q7" s="1443"/>
    </row>
    <row r="8" spans="2:17" x14ac:dyDescent="0.25">
      <c r="C8" s="1443" t="s">
        <v>1</v>
      </c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  <c r="P8" s="1443"/>
      <c r="Q8" s="1443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443" t="s">
        <v>3</v>
      </c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  <c r="P10" s="1443"/>
      <c r="Q10" s="1443"/>
    </row>
    <row r="11" spans="2:17" x14ac:dyDescent="0.25">
      <c r="C11" s="1443" t="s">
        <v>723</v>
      </c>
      <c r="D11" s="1443"/>
      <c r="E11" s="1443"/>
      <c r="F11" s="1443"/>
      <c r="G11" s="1443"/>
      <c r="H11" s="1443"/>
      <c r="I11" s="1443"/>
      <c r="J11" s="1443"/>
      <c r="K11" s="1443"/>
      <c r="L11" s="1443"/>
      <c r="M11" s="1443"/>
      <c r="N11" s="1443"/>
      <c r="O11" s="1443"/>
      <c r="P11" s="1443"/>
      <c r="Q11" s="1443"/>
    </row>
    <row r="12" spans="2:17" x14ac:dyDescent="0.25">
      <c r="C12" s="1442" t="s">
        <v>406</v>
      </c>
      <c r="D12" s="1442"/>
      <c r="E12" s="1442"/>
      <c r="F12" s="1442"/>
      <c r="G12" s="1442"/>
      <c r="H12" s="1442"/>
      <c r="I12" s="1442"/>
      <c r="J12" s="1442"/>
      <c r="K12" s="1442"/>
      <c r="L12" s="1442"/>
      <c r="M12" s="1442"/>
      <c r="N12" s="1442"/>
      <c r="O12" s="1442"/>
      <c r="P12" s="1442"/>
      <c r="Q12" s="1442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493" t="s">
        <v>6</v>
      </c>
      <c r="C14" s="1493" t="s">
        <v>7</v>
      </c>
      <c r="D14" s="1493" t="s">
        <v>8</v>
      </c>
      <c r="E14" s="1493" t="s">
        <v>10</v>
      </c>
      <c r="F14" s="1493" t="s">
        <v>11</v>
      </c>
      <c r="G14" s="1493" t="s">
        <v>208</v>
      </c>
      <c r="H14" s="1507" t="s">
        <v>209</v>
      </c>
      <c r="I14" s="165" t="s">
        <v>12</v>
      </c>
      <c r="J14" s="1493" t="s">
        <v>13</v>
      </c>
      <c r="K14" s="1493" t="s">
        <v>14</v>
      </c>
      <c r="L14" s="1493" t="s">
        <v>15</v>
      </c>
      <c r="M14" s="1493" t="s">
        <v>16</v>
      </c>
      <c r="N14" s="1493" t="s">
        <v>17</v>
      </c>
      <c r="O14" s="1493" t="s">
        <v>18</v>
      </c>
      <c r="P14" s="1493" t="s">
        <v>19</v>
      </c>
      <c r="Q14" s="1493" t="s">
        <v>20</v>
      </c>
    </row>
    <row r="15" spans="2:17" x14ac:dyDescent="0.25">
      <c r="B15" s="1493"/>
      <c r="C15" s="1493"/>
      <c r="D15" s="1493"/>
      <c r="E15" s="1493"/>
      <c r="F15" s="1493"/>
      <c r="G15" s="1493"/>
      <c r="H15" s="1507"/>
      <c r="I15" s="165" t="s">
        <v>21</v>
      </c>
      <c r="J15" s="1493"/>
      <c r="K15" s="1493"/>
      <c r="L15" s="1493"/>
      <c r="M15" s="1493"/>
      <c r="N15" s="1493"/>
      <c r="O15" s="1493"/>
      <c r="P15" s="1493"/>
      <c r="Q15" s="1493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494" t="s">
        <v>719</v>
      </c>
      <c r="D39" s="1495"/>
      <c r="E39" s="1495"/>
      <c r="F39" s="1495"/>
      <c r="G39" s="1495"/>
      <c r="H39" s="1495"/>
      <c r="I39" s="1517">
        <v>1336500</v>
      </c>
      <c r="J39" s="1519">
        <f>SUM(J16:J38)</f>
        <v>0</v>
      </c>
      <c r="K39" s="1517">
        <v>1336500</v>
      </c>
      <c r="L39" s="1516">
        <v>38357.550000000003</v>
      </c>
      <c r="M39" s="1516">
        <v>85140.7</v>
      </c>
      <c r="N39" s="1516">
        <v>40629.599999999999</v>
      </c>
      <c r="O39" s="1516">
        <v>2985.12</v>
      </c>
      <c r="P39" s="1516">
        <v>167112.97</v>
      </c>
      <c r="Q39" s="1516">
        <v>1169387.03</v>
      </c>
    </row>
    <row r="40" spans="2:17" x14ac:dyDescent="0.25">
      <c r="B40" s="153"/>
      <c r="C40" s="1494"/>
      <c r="D40" s="1495"/>
      <c r="E40" s="1495"/>
      <c r="F40" s="1495"/>
      <c r="G40" s="1495"/>
      <c r="H40" s="1495"/>
      <c r="I40" s="1518"/>
      <c r="J40" s="1519"/>
      <c r="K40" s="1518"/>
      <c r="L40" s="1516"/>
      <c r="M40" s="1516"/>
      <c r="N40" s="1516"/>
      <c r="O40" s="1516"/>
      <c r="P40" s="1516"/>
      <c r="Q40" s="1516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509" t="s">
        <v>741</v>
      </c>
      <c r="F46" s="1509"/>
      <c r="G46" s="206"/>
      <c r="H46" s="206"/>
      <c r="I46" s="206"/>
      <c r="J46" s="205"/>
      <c r="K46" s="205"/>
      <c r="L46" s="1509" t="s">
        <v>196</v>
      </c>
      <c r="M46" s="1509"/>
      <c r="N46" s="1509"/>
      <c r="O46" s="1509"/>
      <c r="P46" s="1509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508" t="s">
        <v>683</v>
      </c>
      <c r="M48" s="1508"/>
      <c r="N48" s="1508"/>
      <c r="O48" s="1508"/>
      <c r="P48" s="1508"/>
    </row>
    <row r="49" spans="3:16" ht="15.75" x14ac:dyDescent="0.25">
      <c r="C49" s="204" t="s">
        <v>709</v>
      </c>
      <c r="D49" s="206"/>
      <c r="E49" s="1509" t="s">
        <v>737</v>
      </c>
      <c r="F49" s="1509"/>
      <c r="G49" s="206"/>
      <c r="H49" s="206"/>
      <c r="I49" s="206"/>
      <c r="J49" s="205"/>
      <c r="K49" s="205"/>
      <c r="L49" s="1509" t="s">
        <v>736</v>
      </c>
      <c r="M49" s="1509"/>
      <c r="N49" s="1509"/>
      <c r="O49" s="1509"/>
      <c r="P49" s="1509"/>
    </row>
    <row r="50" spans="3:16" ht="15.75" x14ac:dyDescent="0.25">
      <c r="C50" s="207" t="s">
        <v>707</v>
      </c>
      <c r="D50" s="205"/>
      <c r="E50" s="1508" t="s">
        <v>743</v>
      </c>
      <c r="F50" s="1508"/>
      <c r="G50" s="205"/>
      <c r="H50" s="205"/>
      <c r="I50" s="205"/>
      <c r="J50" s="205"/>
      <c r="K50" s="205"/>
      <c r="L50" s="1508" t="s">
        <v>493</v>
      </c>
      <c r="M50" s="1508"/>
      <c r="N50" s="1508"/>
      <c r="O50" s="1508"/>
      <c r="P50" s="1508"/>
    </row>
    <row r="53" spans="3:16" x14ac:dyDescent="0.25">
      <c r="C53" s="1443"/>
      <c r="D53" s="1443"/>
      <c r="E53" s="1443"/>
      <c r="F53" s="1443"/>
      <c r="G53" s="1443"/>
      <c r="H53" s="1443"/>
      <c r="I53" s="1443"/>
      <c r="J53" s="1443"/>
      <c r="K53" s="1443"/>
      <c r="L53" s="1443"/>
      <c r="M53" s="1443"/>
      <c r="N53" s="1443"/>
      <c r="O53" s="1443"/>
      <c r="P53" s="1443"/>
    </row>
    <row r="56" spans="3:16" x14ac:dyDescent="0.25">
      <c r="C56" s="1454"/>
      <c r="D56" s="1454"/>
      <c r="E56" s="1454"/>
      <c r="F56" s="1454"/>
      <c r="G56" s="1454"/>
      <c r="H56" s="1454"/>
      <c r="I56" s="1454"/>
      <c r="J56" s="1454"/>
      <c r="K56" s="1454"/>
      <c r="L56" s="1454"/>
      <c r="M56" s="1454"/>
      <c r="N56" s="1454"/>
      <c r="O56" s="1454"/>
      <c r="P56" s="1454"/>
    </row>
    <row r="57" spans="3:16" x14ac:dyDescent="0.25">
      <c r="C57" s="1443"/>
      <c r="D57" s="1443"/>
      <c r="E57" s="1443"/>
      <c r="F57" s="1443"/>
      <c r="G57" s="1443"/>
      <c r="H57" s="1443"/>
      <c r="I57" s="1443"/>
      <c r="J57" s="1443"/>
      <c r="K57" s="1443"/>
      <c r="L57" s="1443"/>
      <c r="M57" s="1443"/>
      <c r="N57" s="1443"/>
      <c r="O57" s="1443"/>
      <c r="P57" s="1443"/>
    </row>
    <row r="58" spans="3:16" x14ac:dyDescent="0.25">
      <c r="C58" s="1454"/>
      <c r="D58" s="1454"/>
      <c r="E58" s="1454"/>
      <c r="F58" s="1454"/>
      <c r="G58" s="1454"/>
      <c r="H58" s="1454"/>
      <c r="I58" s="1454"/>
      <c r="J58" s="1454"/>
      <c r="K58" s="1454"/>
      <c r="L58" s="1454"/>
      <c r="M58" s="1454"/>
      <c r="N58" s="1454"/>
      <c r="O58" s="1454"/>
      <c r="P58" s="1454"/>
    </row>
  </sheetData>
  <sheetProtection selectLockedCells="1" selectUnlockedCells="1"/>
  <mergeCells count="41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9:H40"/>
    <mergeCell ref="I39:I40"/>
    <mergeCell ref="J39:J40"/>
    <mergeCell ref="K39:K40"/>
    <mergeCell ref="L39:L40"/>
    <mergeCell ref="M39:M40"/>
    <mergeCell ref="N39:N40"/>
    <mergeCell ref="O39:O40"/>
    <mergeCell ref="P39:P40"/>
    <mergeCell ref="Q39:Q40"/>
    <mergeCell ref="E46:F46"/>
    <mergeCell ref="L46:P46"/>
    <mergeCell ref="C53:P53"/>
    <mergeCell ref="C56:P56"/>
    <mergeCell ref="C57:P57"/>
    <mergeCell ref="C58:P58"/>
    <mergeCell ref="L48:P48"/>
    <mergeCell ref="E49:F49"/>
    <mergeCell ref="L49:P49"/>
    <mergeCell ref="E50:F50"/>
    <mergeCell ref="L50:P50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474" t="s">
        <v>0</v>
      </c>
      <c r="C7" s="1474"/>
      <c r="D7" s="1474"/>
      <c r="E7" s="1474"/>
      <c r="F7" s="1474"/>
      <c r="G7" s="1474"/>
      <c r="H7" s="1474"/>
      <c r="I7" s="1474"/>
      <c r="J7" s="1474"/>
      <c r="K7" s="1474"/>
      <c r="L7" s="1474"/>
      <c r="M7" s="1474"/>
      <c r="N7" s="1474"/>
    </row>
    <row r="8" spans="1:14" x14ac:dyDescent="0.25">
      <c r="B8" s="1474" t="s">
        <v>1</v>
      </c>
      <c r="C8" s="1474"/>
      <c r="D8" s="1474"/>
      <c r="E8" s="1474"/>
      <c r="F8" s="1474"/>
      <c r="G8" s="1474"/>
      <c r="H8" s="1474"/>
      <c r="I8" s="1474"/>
      <c r="J8" s="1474"/>
      <c r="K8" s="1474"/>
      <c r="L8" s="1474"/>
      <c r="M8" s="1474"/>
      <c r="N8" s="1474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74" t="s">
        <v>3</v>
      </c>
      <c r="C10" s="1474"/>
      <c r="D10" s="1474"/>
      <c r="E10" s="1474"/>
      <c r="F10" s="1474"/>
      <c r="G10" s="1474"/>
      <c r="H10" s="1474"/>
      <c r="I10" s="1474"/>
      <c r="J10" s="1474"/>
      <c r="K10" s="1474"/>
      <c r="L10" s="1474"/>
      <c r="M10" s="1474"/>
      <c r="N10" s="1474"/>
    </row>
    <row r="11" spans="1:14" x14ac:dyDescent="0.25">
      <c r="B11" s="1474" t="s">
        <v>733</v>
      </c>
      <c r="C11" s="1474"/>
      <c r="D11" s="1474"/>
      <c r="E11" s="1474"/>
      <c r="F11" s="1474"/>
      <c r="G11" s="1474"/>
      <c r="H11" s="1474"/>
      <c r="I11" s="1474"/>
      <c r="J11" s="1474"/>
      <c r="K11" s="1474"/>
      <c r="L11" s="1474"/>
      <c r="M11" s="1474"/>
      <c r="N11" s="1474"/>
    </row>
    <row r="12" spans="1:14" x14ac:dyDescent="0.25">
      <c r="B12" s="1473" t="s">
        <v>5</v>
      </c>
      <c r="C12" s="1473"/>
      <c r="D12" s="1473"/>
      <c r="E12" s="1473"/>
      <c r="F12" s="1473"/>
      <c r="G12" s="1473"/>
      <c r="H12" s="1473"/>
      <c r="I12" s="1473"/>
      <c r="J12" s="1473"/>
      <c r="K12" s="1473"/>
      <c r="L12" s="1473"/>
      <c r="M12" s="1473"/>
      <c r="N12" s="1473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85" t="s">
        <v>6</v>
      </c>
      <c r="B14" s="1485" t="s">
        <v>7</v>
      </c>
      <c r="C14" s="1485" t="s">
        <v>8</v>
      </c>
      <c r="D14" s="1485" t="s">
        <v>10</v>
      </c>
      <c r="E14" s="1485" t="s">
        <v>11</v>
      </c>
      <c r="F14" s="132" t="s">
        <v>12</v>
      </c>
      <c r="G14" s="1485" t="s">
        <v>13</v>
      </c>
      <c r="H14" s="1485" t="s">
        <v>14</v>
      </c>
      <c r="I14" s="1485" t="s">
        <v>15</v>
      </c>
      <c r="J14" s="1485" t="s">
        <v>16</v>
      </c>
      <c r="K14" s="1485" t="s">
        <v>17</v>
      </c>
      <c r="L14" s="1485" t="s">
        <v>18</v>
      </c>
      <c r="M14" s="1485" t="s">
        <v>19</v>
      </c>
      <c r="N14" s="1485" t="s">
        <v>20</v>
      </c>
    </row>
    <row r="15" spans="1:14" x14ac:dyDescent="0.25">
      <c r="A15" s="1485"/>
      <c r="B15" s="1485"/>
      <c r="C15" s="1485"/>
      <c r="D15" s="1485"/>
      <c r="E15" s="1485"/>
      <c r="F15" s="133" t="s">
        <v>21</v>
      </c>
      <c r="G15" s="1485"/>
      <c r="H15" s="1485"/>
      <c r="I15" s="1485"/>
      <c r="J15" s="1485"/>
      <c r="K15" s="1485"/>
      <c r="L15" s="1485"/>
      <c r="M15" s="1485"/>
      <c r="N15" s="1485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503" t="s">
        <v>194</v>
      </c>
      <c r="B29" s="1504"/>
      <c r="C29" s="1504"/>
      <c r="D29" s="1504"/>
      <c r="E29" s="1505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509" t="s">
        <v>195</v>
      </c>
      <c r="C32" s="1509"/>
      <c r="D32" s="204"/>
      <c r="E32" s="1509" t="s">
        <v>680</v>
      </c>
      <c r="F32" s="1509"/>
      <c r="G32" s="1509"/>
      <c r="H32" s="205"/>
      <c r="I32" s="205"/>
      <c r="J32" s="1509" t="s">
        <v>196</v>
      </c>
      <c r="K32" s="1509"/>
      <c r="L32" s="1509"/>
      <c r="M32" s="1509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508" t="s">
        <v>197</v>
      </c>
      <c r="C35" s="1508"/>
      <c r="D35" s="207"/>
      <c r="E35" s="1508" t="s">
        <v>684</v>
      </c>
      <c r="F35" s="1508"/>
      <c r="G35" s="1508"/>
      <c r="H35" s="205"/>
      <c r="I35" s="205"/>
      <c r="J35" s="1508" t="s">
        <v>683</v>
      </c>
      <c r="K35" s="1508"/>
      <c r="L35" s="1508"/>
      <c r="M35" s="1508"/>
      <c r="N35" s="25"/>
    </row>
    <row r="36" spans="1:14" ht="15.75" x14ac:dyDescent="0.25">
      <c r="A36" s="207"/>
      <c r="B36" s="1509" t="s">
        <v>709</v>
      </c>
      <c r="C36" s="1509"/>
      <c r="D36" s="204"/>
      <c r="E36" s="1509" t="s">
        <v>739</v>
      </c>
      <c r="F36" s="1509"/>
      <c r="G36" s="1509"/>
      <c r="H36" s="205"/>
      <c r="I36" s="205"/>
      <c r="J36" s="1509" t="s">
        <v>738</v>
      </c>
      <c r="K36" s="1509"/>
      <c r="L36" s="1509"/>
      <c r="M36" s="1509"/>
      <c r="N36" s="24"/>
    </row>
    <row r="37" spans="1:14" ht="15.75" x14ac:dyDescent="0.25">
      <c r="A37" s="205"/>
      <c r="B37" s="1508" t="s">
        <v>707</v>
      </c>
      <c r="C37" s="1508"/>
      <c r="D37" s="207"/>
      <c r="E37" s="1508" t="s">
        <v>685</v>
      </c>
      <c r="F37" s="1508"/>
      <c r="G37" s="1508"/>
      <c r="H37" s="205"/>
      <c r="I37" s="205"/>
      <c r="J37" s="1508" t="s">
        <v>493</v>
      </c>
      <c r="K37" s="1508"/>
      <c r="L37" s="1508"/>
      <c r="M37" s="1508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454"/>
      <c r="B41" s="1454"/>
      <c r="C41" s="1454"/>
      <c r="D41" s="1454"/>
      <c r="E41" s="1454"/>
      <c r="F41" s="1454"/>
      <c r="G41" s="1454"/>
      <c r="H41" s="1454"/>
      <c r="I41" s="1454"/>
      <c r="J41" s="1454"/>
      <c r="K41" s="1454"/>
      <c r="L41" s="1454"/>
      <c r="M41" s="1454"/>
      <c r="N41" s="1454"/>
    </row>
    <row r="42" spans="1:14" x14ac:dyDescent="0.25">
      <c r="A42" s="1443"/>
      <c r="B42" s="1443"/>
      <c r="C42" s="1443"/>
      <c r="D42" s="1443"/>
      <c r="E42" s="1443"/>
      <c r="F42" s="1443"/>
      <c r="G42" s="1443"/>
      <c r="H42" s="1443"/>
      <c r="I42" s="1443"/>
      <c r="J42" s="1443"/>
      <c r="K42" s="1443"/>
      <c r="L42" s="1443"/>
      <c r="M42" s="1443"/>
      <c r="N42" s="1443"/>
    </row>
    <row r="43" spans="1:14" x14ac:dyDescent="0.25">
      <c r="A43" s="1454"/>
      <c r="B43" s="1454"/>
      <c r="C43" s="1454"/>
      <c r="D43" s="1454"/>
      <c r="E43" s="1454"/>
      <c r="F43" s="1454"/>
      <c r="G43" s="1454"/>
      <c r="H43" s="1454"/>
      <c r="I43" s="1454"/>
      <c r="J43" s="1454"/>
      <c r="K43" s="1454"/>
      <c r="L43" s="1454"/>
      <c r="M43" s="1454"/>
      <c r="N43" s="1454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A43:N43"/>
    <mergeCell ref="B37:C37"/>
    <mergeCell ref="E37:G37"/>
    <mergeCell ref="J37:M37"/>
    <mergeCell ref="A41:N41"/>
    <mergeCell ref="A42:N4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443" t="s">
        <v>0</v>
      </c>
      <c r="B7" s="1443"/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</row>
    <row r="8" spans="1:13" x14ac:dyDescent="0.25">
      <c r="A8" s="1443" t="s">
        <v>3</v>
      </c>
      <c r="B8" s="1443"/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</row>
    <row r="9" spans="1:13" x14ac:dyDescent="0.25">
      <c r="A9" s="1443" t="s">
        <v>745</v>
      </c>
      <c r="B9" s="1443"/>
      <c r="C9" s="1443"/>
      <c r="D9" s="1443"/>
      <c r="E9" s="1443"/>
      <c r="F9" s="1443"/>
      <c r="G9" s="1443"/>
      <c r="H9" s="1443"/>
      <c r="I9" s="1443"/>
      <c r="J9" s="1443"/>
      <c r="K9" s="1443"/>
      <c r="L9" s="1443"/>
      <c r="M9" s="1443"/>
    </row>
    <row r="10" spans="1:13" x14ac:dyDescent="0.25">
      <c r="A10" s="1442" t="s">
        <v>404</v>
      </c>
      <c r="B10" s="1442"/>
      <c r="C10" s="1442"/>
      <c r="D10" s="1442"/>
      <c r="E10" s="1442"/>
      <c r="F10" s="1442"/>
      <c r="G10" s="1442"/>
      <c r="H10" s="1442"/>
      <c r="I10" s="1442"/>
      <c r="J10" s="1442"/>
      <c r="K10" s="1442"/>
      <c r="L10" s="1442"/>
      <c r="M10" s="1442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459" t="s">
        <v>7</v>
      </c>
      <c r="B12" s="1459" t="s">
        <v>802</v>
      </c>
      <c r="C12" s="1510" t="s">
        <v>9</v>
      </c>
      <c r="D12" s="1459" t="s">
        <v>11</v>
      </c>
      <c r="E12" s="307" t="s">
        <v>12</v>
      </c>
      <c r="F12" s="1525" t="s">
        <v>13</v>
      </c>
      <c r="G12" s="1527" t="s">
        <v>14</v>
      </c>
      <c r="H12" s="1527" t="s">
        <v>15</v>
      </c>
      <c r="I12" s="1527" t="s">
        <v>16</v>
      </c>
      <c r="J12" s="1527" t="s">
        <v>17</v>
      </c>
      <c r="K12" s="1527" t="s">
        <v>18</v>
      </c>
      <c r="L12" s="1522" t="s">
        <v>19</v>
      </c>
      <c r="M12" s="1520" t="s">
        <v>20</v>
      </c>
    </row>
    <row r="13" spans="1:13" ht="13.5" customHeight="1" x14ac:dyDescent="0.25">
      <c r="A13" s="1510"/>
      <c r="B13" s="1510"/>
      <c r="C13" s="1524"/>
      <c r="D13" s="1510"/>
      <c r="E13" s="306" t="s">
        <v>21</v>
      </c>
      <c r="F13" s="1526"/>
      <c r="G13" s="1528"/>
      <c r="H13" s="1528"/>
      <c r="I13" s="1528"/>
      <c r="J13" s="1528"/>
      <c r="K13" s="1528"/>
      <c r="L13" s="1523"/>
      <c r="M13" s="1521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509"/>
      <c r="B181" s="1509"/>
      <c r="C181" s="204"/>
      <c r="D181" s="1509"/>
      <c r="E181" s="1509"/>
      <c r="F181" s="1509"/>
      <c r="G181" s="205"/>
      <c r="H181" s="205"/>
      <c r="I181" s="1509"/>
      <c r="J181" s="1509"/>
      <c r="K181" s="1509"/>
      <c r="L181" s="1509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508" t="s">
        <v>684</v>
      </c>
      <c r="H184" s="1508"/>
      <c r="I184" s="1508"/>
      <c r="J184" s="1508"/>
      <c r="K184" s="1508"/>
    </row>
    <row r="185" spans="1:13" ht="15.75" customHeight="1" x14ac:dyDescent="0.25">
      <c r="A185" s="204" t="s">
        <v>833</v>
      </c>
      <c r="B185" s="204"/>
      <c r="C185" s="204"/>
      <c r="G185" s="1529" t="s">
        <v>852</v>
      </c>
      <c r="H185" s="1529"/>
      <c r="I185" s="1529"/>
      <c r="J185" s="1529"/>
      <c r="K185" s="1529"/>
    </row>
    <row r="186" spans="1:13" ht="15.75" x14ac:dyDescent="0.25">
      <c r="A186" s="207" t="s">
        <v>851</v>
      </c>
      <c r="B186" s="207"/>
      <c r="C186" s="207"/>
      <c r="G186" s="1530" t="s">
        <v>853</v>
      </c>
      <c r="H186" s="1530"/>
      <c r="I186" s="1530"/>
      <c r="J186" s="1530"/>
      <c r="K186" s="1530"/>
    </row>
    <row r="189" spans="1:13" x14ac:dyDescent="0.25">
      <c r="B189" s="1443"/>
      <c r="C189" s="1443"/>
      <c r="D189" s="1443"/>
      <c r="E189" s="1443"/>
      <c r="F189" s="1443"/>
      <c r="G189" s="1443"/>
      <c r="H189" s="1443"/>
      <c r="I189" s="1443"/>
      <c r="J189" s="1443"/>
      <c r="K189" s="1443"/>
      <c r="L189" s="1443"/>
    </row>
    <row r="192" spans="1:13" x14ac:dyDescent="0.25">
      <c r="B192" s="1454"/>
      <c r="C192" s="1454"/>
      <c r="D192" s="1454"/>
      <c r="E192" s="1454"/>
      <c r="F192" s="1454"/>
      <c r="G192" s="1454"/>
      <c r="H192" s="1454"/>
      <c r="I192" s="1454"/>
      <c r="J192" s="1454"/>
      <c r="K192" s="1454"/>
      <c r="L192" s="1454"/>
    </row>
    <row r="193" spans="2:12" x14ac:dyDescent="0.25">
      <c r="B193" s="1443"/>
      <c r="C193" s="1443"/>
      <c r="D193" s="1443"/>
      <c r="E193" s="1443"/>
      <c r="F193" s="1443"/>
      <c r="G193" s="1443"/>
      <c r="H193" s="1443"/>
      <c r="I193" s="1443"/>
      <c r="J193" s="1443"/>
      <c r="K193" s="1443"/>
      <c r="L193" s="1443"/>
    </row>
    <row r="194" spans="2:12" x14ac:dyDescent="0.25">
      <c r="B194" s="1454"/>
      <c r="C194" s="1454"/>
      <c r="D194" s="1454"/>
      <c r="E194" s="1454"/>
      <c r="F194" s="1454"/>
      <c r="G194" s="1454"/>
      <c r="H194" s="1454"/>
      <c r="I194" s="1454"/>
      <c r="J194" s="1454"/>
      <c r="K194" s="1454"/>
      <c r="L194" s="1454"/>
    </row>
  </sheetData>
  <mergeCells count="26"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443" t="s">
        <v>0</v>
      </c>
      <c r="B7" s="1443"/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</row>
    <row r="8" spans="1:15" x14ac:dyDescent="0.25">
      <c r="A8" s="1443" t="s">
        <v>1</v>
      </c>
      <c r="B8" s="1443"/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</row>
    <row r="9" spans="1:15" x14ac:dyDescent="0.25">
      <c r="A9" s="1443" t="s">
        <v>3</v>
      </c>
      <c r="B9" s="1443"/>
      <c r="C9" s="1443"/>
      <c r="D9" s="1443"/>
      <c r="E9" s="1443"/>
      <c r="F9" s="1443"/>
      <c r="G9" s="1443"/>
      <c r="H9" s="1443"/>
      <c r="I9" s="1443"/>
      <c r="J9" s="1443"/>
      <c r="K9" s="1443"/>
      <c r="L9" s="1443"/>
      <c r="M9" s="1443"/>
      <c r="N9" s="1443"/>
      <c r="O9" s="1443"/>
    </row>
    <row r="10" spans="1:15" x14ac:dyDescent="0.25">
      <c r="A10" s="1443" t="s">
        <v>811</v>
      </c>
      <c r="B10" s="1443"/>
      <c r="C10" s="1443"/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</row>
    <row r="11" spans="1:15" x14ac:dyDescent="0.25">
      <c r="A11" s="1442" t="s">
        <v>406</v>
      </c>
      <c r="B11" s="1442"/>
      <c r="C11" s="1442"/>
      <c r="D11" s="1442"/>
      <c r="E11" s="1442"/>
      <c r="F11" s="1442"/>
      <c r="G11" s="1442"/>
      <c r="H11" s="1442"/>
      <c r="I11" s="1442"/>
      <c r="J11" s="1442"/>
      <c r="K11" s="1442"/>
      <c r="L11" s="1442"/>
      <c r="M11" s="1442"/>
      <c r="N11" s="1442"/>
      <c r="O11" s="1442"/>
    </row>
    <row r="13" spans="1:15" ht="15.75" thickBot="1" x14ac:dyDescent="0.3">
      <c r="A13" s="1539" t="s">
        <v>7</v>
      </c>
      <c r="B13" s="1541" t="s">
        <v>802</v>
      </c>
      <c r="C13" s="1542" t="s">
        <v>9</v>
      </c>
      <c r="D13" s="1533" t="s">
        <v>832</v>
      </c>
      <c r="E13" s="1533" t="s">
        <v>834</v>
      </c>
      <c r="F13" s="1537" t="s">
        <v>835</v>
      </c>
      <c r="G13" s="305" t="s">
        <v>12</v>
      </c>
      <c r="H13" s="1544" t="s">
        <v>13</v>
      </c>
      <c r="I13" s="1535" t="s">
        <v>14</v>
      </c>
      <c r="J13" s="1535" t="s">
        <v>15</v>
      </c>
      <c r="K13" s="1535" t="s">
        <v>16</v>
      </c>
      <c r="L13" s="1535" t="s">
        <v>17</v>
      </c>
      <c r="M13" s="1535" t="s">
        <v>18</v>
      </c>
      <c r="N13" s="1536" t="s">
        <v>19</v>
      </c>
      <c r="O13" s="1531" t="s">
        <v>20</v>
      </c>
    </row>
    <row r="14" spans="1:15" x14ac:dyDescent="0.25">
      <c r="A14" s="1540"/>
      <c r="B14" s="1524"/>
      <c r="C14" s="1543"/>
      <c r="D14" s="1534"/>
      <c r="E14" s="1534"/>
      <c r="F14" s="1538"/>
      <c r="G14" s="306" t="s">
        <v>21</v>
      </c>
      <c r="H14" s="1545"/>
      <c r="I14" s="1528"/>
      <c r="J14" s="1528"/>
      <c r="K14" s="1528"/>
      <c r="L14" s="1528"/>
      <c r="M14" s="1528"/>
      <c r="N14" s="1523"/>
      <c r="O14" s="1532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508" t="s">
        <v>684</v>
      </c>
      <c r="H81" s="1508"/>
      <c r="I81" s="1508"/>
      <c r="J81" s="1508"/>
      <c r="K81" s="1508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529" t="s">
        <v>852</v>
      </c>
      <c r="H82" s="1529"/>
      <c r="I82" s="1529"/>
      <c r="J82" s="1529"/>
      <c r="K82" s="1529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530" t="s">
        <v>853</v>
      </c>
      <c r="H83" s="1530"/>
      <c r="I83" s="1530"/>
      <c r="J83" s="1530"/>
      <c r="K83" s="1530"/>
    </row>
  </sheetData>
  <mergeCells count="22">
    <mergeCell ref="A7:O7"/>
    <mergeCell ref="A11:O11"/>
    <mergeCell ref="A13:A14"/>
    <mergeCell ref="B13:B14"/>
    <mergeCell ref="C13:C14"/>
    <mergeCell ref="H13:H14"/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443" t="s">
        <v>0</v>
      </c>
      <c r="B7" s="1443"/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</row>
    <row r="8" spans="1:13" x14ac:dyDescent="0.25">
      <c r="A8" s="1443" t="s">
        <v>1</v>
      </c>
      <c r="B8" s="1443"/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</row>
    <row r="9" spans="1:13" x14ac:dyDescent="0.25">
      <c r="A9" s="1443" t="s">
        <v>3</v>
      </c>
      <c r="B9" s="1443"/>
      <c r="C9" s="1443"/>
      <c r="D9" s="1443"/>
      <c r="E9" s="1443"/>
      <c r="F9" s="1443"/>
      <c r="G9" s="1443"/>
      <c r="H9" s="1443"/>
      <c r="I9" s="1443"/>
      <c r="J9" s="1443"/>
      <c r="K9" s="1443"/>
      <c r="L9" s="1443"/>
      <c r="M9" s="1443"/>
    </row>
    <row r="10" spans="1:13" x14ac:dyDescent="0.25">
      <c r="A10" s="1443" t="s">
        <v>812</v>
      </c>
      <c r="B10" s="1443"/>
      <c r="C10" s="1443"/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</row>
    <row r="11" spans="1:13" x14ac:dyDescent="0.25">
      <c r="A11" s="1442" t="s">
        <v>412</v>
      </c>
      <c r="B11" s="1442"/>
      <c r="C11" s="1442"/>
      <c r="D11" s="1442"/>
      <c r="E11" s="1442"/>
      <c r="F11" s="1442"/>
      <c r="G11" s="1442"/>
      <c r="H11" s="1442"/>
      <c r="I11" s="1442"/>
      <c r="J11" s="1442"/>
      <c r="K11" s="1442"/>
      <c r="L11" s="1442"/>
      <c r="M11" s="1442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546" t="s">
        <v>7</v>
      </c>
      <c r="B13" s="1548" t="s">
        <v>802</v>
      </c>
      <c r="C13" s="1533" t="s">
        <v>9</v>
      </c>
      <c r="D13" s="1533" t="s">
        <v>832</v>
      </c>
      <c r="E13" s="305" t="s">
        <v>12</v>
      </c>
      <c r="F13" s="1544" t="s">
        <v>13</v>
      </c>
      <c r="G13" s="1535" t="s">
        <v>14</v>
      </c>
      <c r="H13" s="1535" t="s">
        <v>15</v>
      </c>
      <c r="I13" s="1535" t="s">
        <v>16</v>
      </c>
      <c r="J13" s="1535" t="s">
        <v>17</v>
      </c>
      <c r="K13" s="1535" t="s">
        <v>18</v>
      </c>
      <c r="L13" s="1536" t="s">
        <v>19</v>
      </c>
      <c r="M13" s="1531" t="s">
        <v>20</v>
      </c>
    </row>
    <row r="14" spans="1:13" x14ac:dyDescent="0.25">
      <c r="A14" s="1547"/>
      <c r="B14" s="1548"/>
      <c r="C14" s="1534"/>
      <c r="D14" s="1534"/>
      <c r="E14" s="306" t="s">
        <v>21</v>
      </c>
      <c r="F14" s="1545"/>
      <c r="G14" s="1528"/>
      <c r="H14" s="1528"/>
      <c r="I14" s="1528"/>
      <c r="J14" s="1528"/>
      <c r="K14" s="1528"/>
      <c r="L14" s="1523"/>
      <c r="M14" s="1532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508" t="s">
        <v>684</v>
      </c>
      <c r="H26" s="1508"/>
      <c r="I26" s="1508"/>
      <c r="J26" s="1508"/>
      <c r="K26" s="1508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529" t="s">
        <v>852</v>
      </c>
      <c r="H27" s="1529"/>
      <c r="I27" s="1529"/>
      <c r="J27" s="1529"/>
      <c r="K27" s="1529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530" t="s">
        <v>853</v>
      </c>
      <c r="H28" s="1530"/>
      <c r="I28" s="1530"/>
      <c r="J28" s="1530"/>
      <c r="K28" s="1530"/>
      <c r="L28" s="213"/>
      <c r="M28" s="213"/>
    </row>
  </sheetData>
  <mergeCells count="20"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556" t="s">
        <v>0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</row>
    <row r="8" spans="1:14" x14ac:dyDescent="0.25">
      <c r="A8" s="1556" t="s">
        <v>1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</row>
    <row r="9" spans="1:14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  <c r="N9" s="1556"/>
    </row>
    <row r="10" spans="1:14" x14ac:dyDescent="0.25">
      <c r="A10" s="1556" t="s">
        <v>850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  <c r="M10" s="1556"/>
      <c r="N10" s="1556"/>
    </row>
    <row r="11" spans="1:14" x14ac:dyDescent="0.25">
      <c r="A11" s="1557" t="s">
        <v>5</v>
      </c>
      <c r="B11" s="1557"/>
      <c r="C11" s="1557"/>
      <c r="D11" s="1557"/>
      <c r="E11" s="1557"/>
      <c r="F11" s="1557"/>
      <c r="G11" s="1557"/>
      <c r="H11" s="1557"/>
      <c r="I11" s="1557"/>
      <c r="J11" s="1557"/>
      <c r="K11" s="1557"/>
      <c r="L11" s="1557"/>
      <c r="M11" s="1557"/>
      <c r="N11" s="1557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548" t="s">
        <v>7</v>
      </c>
      <c r="B13" s="1548" t="s">
        <v>802</v>
      </c>
      <c r="C13" s="1546" t="s">
        <v>8</v>
      </c>
      <c r="D13" s="1546" t="s">
        <v>10</v>
      </c>
      <c r="E13" s="1546" t="s">
        <v>11</v>
      </c>
      <c r="F13" s="220" t="s">
        <v>12</v>
      </c>
      <c r="G13" s="1554" t="s">
        <v>13</v>
      </c>
      <c r="H13" s="1546" t="s">
        <v>14</v>
      </c>
      <c r="I13" s="1546" t="s">
        <v>15</v>
      </c>
      <c r="J13" s="1546" t="s">
        <v>16</v>
      </c>
      <c r="K13" s="1546" t="s">
        <v>17</v>
      </c>
      <c r="L13" s="1546" t="s">
        <v>18</v>
      </c>
      <c r="M13" s="1546" t="s">
        <v>19</v>
      </c>
      <c r="N13" s="1548" t="s">
        <v>20</v>
      </c>
    </row>
    <row r="14" spans="1:14" x14ac:dyDescent="0.25">
      <c r="A14" s="1548"/>
      <c r="B14" s="1548"/>
      <c r="C14" s="1547"/>
      <c r="D14" s="1547"/>
      <c r="E14" s="1547"/>
      <c r="F14" s="220" t="s">
        <v>21</v>
      </c>
      <c r="G14" s="1555"/>
      <c r="H14" s="1547"/>
      <c r="I14" s="1547"/>
      <c r="J14" s="1547"/>
      <c r="K14" s="1547"/>
      <c r="L14" s="1547"/>
      <c r="M14" s="1547"/>
      <c r="N14" s="1548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553" t="s">
        <v>854</v>
      </c>
      <c r="I31" s="1553"/>
      <c r="J31" s="1553"/>
      <c r="K31" s="1553"/>
      <c r="L31" s="1553"/>
      <c r="M31" s="1553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551" t="s">
        <v>852</v>
      </c>
      <c r="I32" s="1551"/>
      <c r="J32" s="1551"/>
      <c r="K32" s="1551"/>
      <c r="L32" s="1551"/>
      <c r="M32" s="1551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552" t="s">
        <v>853</v>
      </c>
      <c r="I33" s="1552"/>
      <c r="J33" s="1552"/>
      <c r="K33" s="1552"/>
      <c r="L33" s="1552"/>
      <c r="M33" s="1552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550"/>
      <c r="J34" s="1550"/>
      <c r="K34" s="1550"/>
      <c r="L34" s="1550"/>
      <c r="M34" s="1550"/>
      <c r="N34" s="1550"/>
    </row>
    <row r="35" spans="1:14" ht="15.75" x14ac:dyDescent="0.25">
      <c r="A35" s="267"/>
      <c r="B35" s="267"/>
      <c r="C35" s="268"/>
      <c r="D35" s="268"/>
      <c r="E35" s="268"/>
      <c r="F35" s="269"/>
      <c r="G35" s="1549"/>
      <c r="H35" s="1549"/>
      <c r="I35" s="1549"/>
      <c r="J35" s="1549"/>
      <c r="K35" s="1549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550"/>
      <c r="H36" s="1550"/>
      <c r="I36" s="1550"/>
      <c r="J36" s="1550"/>
      <c r="K36" s="1550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530"/>
      <c r="H37" s="1530"/>
      <c r="I37" s="1530"/>
      <c r="J37" s="1530"/>
      <c r="K37" s="1530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454"/>
      <c r="B41" s="1454"/>
      <c r="C41" s="1454"/>
      <c r="D41" s="1454"/>
      <c r="E41" s="1454"/>
      <c r="F41" s="1454"/>
      <c r="G41" s="1454"/>
      <c r="H41" s="1454"/>
      <c r="I41" s="1454"/>
      <c r="J41" s="1454"/>
      <c r="K41" s="1454"/>
      <c r="L41" s="1454"/>
      <c r="M41" s="1454"/>
      <c r="N41" s="1454"/>
    </row>
    <row r="42" spans="1:14" x14ac:dyDescent="0.25">
      <c r="A42" s="1443"/>
      <c r="B42" s="1443"/>
      <c r="C42" s="1443"/>
      <c r="D42" s="1443"/>
      <c r="E42" s="1443"/>
      <c r="F42" s="1443"/>
      <c r="G42" s="1443"/>
      <c r="H42" s="1443"/>
      <c r="I42" s="1443"/>
      <c r="J42" s="1443"/>
      <c r="K42" s="1443"/>
      <c r="L42" s="1443"/>
      <c r="M42" s="1443"/>
      <c r="N42" s="1443"/>
    </row>
    <row r="43" spans="1:14" x14ac:dyDescent="0.25">
      <c r="A43" s="1454"/>
      <c r="B43" s="1454"/>
      <c r="C43" s="1454"/>
      <c r="D43" s="1454"/>
      <c r="E43" s="1454"/>
      <c r="F43" s="1454"/>
      <c r="G43" s="1454"/>
      <c r="H43" s="1454"/>
      <c r="I43" s="1454"/>
      <c r="J43" s="1454"/>
      <c r="K43" s="1454"/>
      <c r="L43" s="1454"/>
      <c r="M43" s="1454"/>
      <c r="N43" s="1454"/>
    </row>
  </sheetData>
  <sheetProtection selectLockedCells="1" selectUnlockedCells="1"/>
  <mergeCells count="28">
    <mergeCell ref="L13:L14"/>
    <mergeCell ref="A7:N7"/>
    <mergeCell ref="A8:N8"/>
    <mergeCell ref="A9:N9"/>
    <mergeCell ref="A10:N10"/>
    <mergeCell ref="A11:N11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A41:N41"/>
    <mergeCell ref="A42:N42"/>
    <mergeCell ref="A43:N43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474" t="s">
        <v>0</v>
      </c>
      <c r="B8" s="1474"/>
      <c r="C8" s="1474"/>
      <c r="D8" s="1474"/>
      <c r="E8" s="1474"/>
      <c r="F8" s="1474"/>
      <c r="G8" s="1474"/>
      <c r="H8" s="1474"/>
      <c r="I8" s="1474"/>
      <c r="J8" s="1474"/>
      <c r="K8" s="1474"/>
      <c r="L8" s="1474"/>
      <c r="M8" s="1474"/>
    </row>
    <row r="9" spans="1:13" x14ac:dyDescent="0.25">
      <c r="A9" s="1474" t="s">
        <v>3</v>
      </c>
      <c r="B9" s="1474"/>
      <c r="C9" s="1474"/>
      <c r="D9" s="1474"/>
      <c r="E9" s="1474"/>
      <c r="F9" s="1474"/>
      <c r="G9" s="1474"/>
      <c r="H9" s="1474"/>
      <c r="I9" s="1474"/>
      <c r="J9" s="1474"/>
      <c r="K9" s="1474"/>
      <c r="L9" s="1474"/>
      <c r="M9" s="1474"/>
    </row>
    <row r="10" spans="1:13" x14ac:dyDescent="0.25">
      <c r="A10" s="1474" t="s">
        <v>871</v>
      </c>
      <c r="B10" s="1474"/>
      <c r="C10" s="1474"/>
      <c r="D10" s="1474"/>
      <c r="E10" s="1474"/>
      <c r="F10" s="1474"/>
      <c r="G10" s="1474"/>
      <c r="H10" s="1474"/>
      <c r="I10" s="1474"/>
      <c r="J10" s="1474"/>
      <c r="K10" s="1474"/>
      <c r="L10" s="1474"/>
      <c r="M10" s="1474"/>
    </row>
    <row r="11" spans="1:13" x14ac:dyDescent="0.25">
      <c r="A11" s="1473" t="s">
        <v>404</v>
      </c>
      <c r="B11" s="1473"/>
      <c r="C11" s="1473"/>
      <c r="D11" s="1473"/>
      <c r="E11" s="1473"/>
      <c r="F11" s="1473"/>
      <c r="G11" s="1473"/>
      <c r="H11" s="1473"/>
      <c r="I11" s="1473"/>
      <c r="J11" s="1473"/>
      <c r="K11" s="1473"/>
      <c r="L11" s="1473"/>
      <c r="M11" s="1473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560" t="s">
        <v>7</v>
      </c>
      <c r="B14" s="1560" t="s">
        <v>802</v>
      </c>
      <c r="C14" s="1562" t="s">
        <v>9</v>
      </c>
      <c r="D14" s="1564" t="s">
        <v>11</v>
      </c>
      <c r="E14" s="391" t="s">
        <v>12</v>
      </c>
      <c r="F14" s="1566" t="s">
        <v>13</v>
      </c>
      <c r="G14" s="1568" t="s">
        <v>14</v>
      </c>
      <c r="H14" s="1568" t="s">
        <v>15</v>
      </c>
      <c r="I14" s="1568" t="s">
        <v>16</v>
      </c>
      <c r="J14" s="1568" t="s">
        <v>17</v>
      </c>
      <c r="K14" s="1568" t="s">
        <v>18</v>
      </c>
      <c r="L14" s="1570" t="s">
        <v>19</v>
      </c>
      <c r="M14" s="1558" t="s">
        <v>20</v>
      </c>
    </row>
    <row r="15" spans="1:13" ht="14.25" customHeight="1" thickBot="1" x14ac:dyDescent="0.3">
      <c r="A15" s="1561"/>
      <c r="B15" s="1561"/>
      <c r="C15" s="1563"/>
      <c r="D15" s="1565"/>
      <c r="E15" s="392" t="s">
        <v>21</v>
      </c>
      <c r="F15" s="1567"/>
      <c r="G15" s="1569"/>
      <c r="H15" s="1569"/>
      <c r="I15" s="1569"/>
      <c r="J15" s="1569"/>
      <c r="K15" s="1569"/>
      <c r="L15" s="1571"/>
      <c r="M15" s="1559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474"/>
      <c r="K184" s="1474"/>
      <c r="L184" s="1474"/>
      <c r="M184" s="388"/>
    </row>
    <row r="185" spans="1:13" ht="15" customHeight="1" x14ac:dyDescent="0.25">
      <c r="A185" s="1474"/>
      <c r="B185" s="1474"/>
      <c r="C185" s="125"/>
      <c r="D185" s="1474"/>
      <c r="E185" s="1474"/>
      <c r="F185" s="1474"/>
      <c r="G185" s="99"/>
      <c r="H185" s="99"/>
      <c r="I185" s="1474"/>
      <c r="J185" s="1474"/>
      <c r="K185" s="1474"/>
      <c r="L185" s="1474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473" t="s">
        <v>684</v>
      </c>
      <c r="H188" s="1473"/>
      <c r="I188" s="1473"/>
      <c r="J188" s="1473"/>
      <c r="K188" s="1473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572" t="s">
        <v>852</v>
      </c>
      <c r="H189" s="1572"/>
      <c r="I189" s="1572"/>
      <c r="J189" s="1572"/>
      <c r="K189" s="1572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573" t="s">
        <v>853</v>
      </c>
      <c r="H190" s="1573"/>
      <c r="I190" s="1573"/>
      <c r="J190" s="1573"/>
      <c r="K190" s="1573"/>
      <c r="L190" s="385"/>
      <c r="M190" s="385"/>
    </row>
    <row r="193" spans="2:12" x14ac:dyDescent="0.25">
      <c r="B193" s="1474"/>
      <c r="C193" s="1474"/>
      <c r="D193" s="1474"/>
      <c r="E193" s="1474"/>
      <c r="F193" s="1474"/>
      <c r="G193" s="1474"/>
      <c r="H193" s="1474"/>
      <c r="I193" s="1474"/>
      <c r="J193" s="1474"/>
      <c r="K193" s="1474"/>
      <c r="L193" s="1474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473"/>
      <c r="C196" s="1473"/>
      <c r="D196" s="1473"/>
      <c r="E196" s="1473"/>
      <c r="F196" s="1473"/>
      <c r="G196" s="1473"/>
      <c r="H196" s="1473"/>
      <c r="I196" s="1473"/>
      <c r="J196" s="1473"/>
      <c r="K196" s="1473"/>
      <c r="L196" s="1473"/>
    </row>
    <row r="197" spans="2:12" s="213" customFormat="1" x14ac:dyDescent="0.25">
      <c r="B197" s="1443"/>
      <c r="C197" s="1443"/>
      <c r="D197" s="1443"/>
      <c r="E197" s="1443"/>
      <c r="F197" s="1443"/>
      <c r="G197" s="1443"/>
      <c r="H197" s="1443"/>
      <c r="I197" s="1443"/>
      <c r="J197" s="1443"/>
      <c r="K197" s="1443"/>
      <c r="L197" s="1443"/>
    </row>
    <row r="198" spans="2:12" s="213" customFormat="1" x14ac:dyDescent="0.25">
      <c r="B198" s="1454"/>
      <c r="C198" s="1454"/>
      <c r="D198" s="1454"/>
      <c r="E198" s="1454"/>
      <c r="F198" s="1454"/>
      <c r="G198" s="1454"/>
      <c r="H198" s="1454"/>
      <c r="I198" s="1454"/>
      <c r="J198" s="1454"/>
      <c r="K198" s="1454"/>
      <c r="L198" s="1454"/>
    </row>
  </sheetData>
  <mergeCells count="27"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443" t="s">
        <v>0</v>
      </c>
      <c r="B7" s="1443"/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  <c r="N7" s="1443"/>
      <c r="O7" s="1443"/>
    </row>
    <row r="8" spans="1:15" x14ac:dyDescent="0.25">
      <c r="A8" s="1443" t="s">
        <v>1</v>
      </c>
      <c r="B8" s="1443"/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  <c r="N8" s="1443"/>
      <c r="O8" s="1443"/>
    </row>
    <row r="9" spans="1:15" x14ac:dyDescent="0.25">
      <c r="A9" s="1443" t="s">
        <v>3</v>
      </c>
      <c r="B9" s="1443"/>
      <c r="C9" s="1443"/>
      <c r="D9" s="1443"/>
      <c r="E9" s="1443"/>
      <c r="F9" s="1443"/>
      <c r="G9" s="1443"/>
      <c r="H9" s="1443"/>
      <c r="I9" s="1443"/>
      <c r="J9" s="1443"/>
      <c r="K9" s="1443"/>
      <c r="L9" s="1443"/>
      <c r="M9" s="1443"/>
      <c r="N9" s="1443"/>
      <c r="O9" s="1443"/>
    </row>
    <row r="10" spans="1:15" x14ac:dyDescent="0.25">
      <c r="A10" s="1443" t="s">
        <v>863</v>
      </c>
      <c r="B10" s="1443"/>
      <c r="C10" s="1443"/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  <c r="N10" s="1443"/>
      <c r="O10" s="1443"/>
    </row>
    <row r="11" spans="1:15" x14ac:dyDescent="0.25">
      <c r="A11" s="1576" t="s">
        <v>406</v>
      </c>
      <c r="B11" s="1576"/>
      <c r="C11" s="1576"/>
      <c r="D11" s="1576"/>
      <c r="E11" s="1576"/>
      <c r="F11" s="1576"/>
      <c r="G11" s="1576"/>
      <c r="H11" s="1576"/>
      <c r="I11" s="1576"/>
      <c r="J11" s="1576"/>
      <c r="K11" s="1576"/>
      <c r="L11" s="1576"/>
      <c r="M11" s="1576"/>
      <c r="N11" s="1576"/>
      <c r="O11" s="1576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574" t="s">
        <v>7</v>
      </c>
      <c r="B13" s="1574" t="s">
        <v>802</v>
      </c>
      <c r="C13" s="1575" t="s">
        <v>9</v>
      </c>
      <c r="D13" s="1574" t="s">
        <v>832</v>
      </c>
      <c r="E13" s="1574" t="s">
        <v>834</v>
      </c>
      <c r="F13" s="1574" t="s">
        <v>835</v>
      </c>
      <c r="G13" s="384" t="s">
        <v>12</v>
      </c>
      <c r="H13" s="1578" t="s">
        <v>13</v>
      </c>
      <c r="I13" s="1579" t="s">
        <v>14</v>
      </c>
      <c r="J13" s="1579" t="s">
        <v>15</v>
      </c>
      <c r="K13" s="1579" t="s">
        <v>16</v>
      </c>
      <c r="L13" s="1579" t="s">
        <v>17</v>
      </c>
      <c r="M13" s="1579" t="s">
        <v>18</v>
      </c>
      <c r="N13" s="1579" t="s">
        <v>19</v>
      </c>
      <c r="O13" s="1579" t="s">
        <v>20</v>
      </c>
    </row>
    <row r="14" spans="1:15" x14ac:dyDescent="0.25">
      <c r="A14" s="1574"/>
      <c r="B14" s="1574"/>
      <c r="C14" s="1575"/>
      <c r="D14" s="1574"/>
      <c r="E14" s="1574"/>
      <c r="F14" s="1574"/>
      <c r="G14" s="384" t="s">
        <v>21</v>
      </c>
      <c r="H14" s="1578"/>
      <c r="I14" s="1579"/>
      <c r="J14" s="1579"/>
      <c r="K14" s="1579"/>
      <c r="L14" s="1579"/>
      <c r="M14" s="1579"/>
      <c r="N14" s="1579"/>
      <c r="O14" s="1579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580" t="s">
        <v>684</v>
      </c>
      <c r="H81" s="1580"/>
      <c r="I81" s="1580"/>
      <c r="J81" s="1580"/>
      <c r="K81" s="1580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581" t="s">
        <v>852</v>
      </c>
      <c r="H82" s="1581"/>
      <c r="I82" s="1581"/>
      <c r="J82" s="1581"/>
      <c r="K82" s="1581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577" t="s">
        <v>853</v>
      </c>
      <c r="H83" s="1577"/>
      <c r="I83" s="1577"/>
      <c r="J83" s="1577"/>
      <c r="K83" s="1577"/>
    </row>
  </sheetData>
  <mergeCells count="22">
    <mergeCell ref="M13:M14"/>
    <mergeCell ref="N13:N14"/>
    <mergeCell ref="O13:O14"/>
    <mergeCell ref="G81:K81"/>
    <mergeCell ref="G82:K82"/>
    <mergeCell ref="L13:L14"/>
    <mergeCell ref="G83:K83"/>
    <mergeCell ref="F13:F14"/>
    <mergeCell ref="H13:H14"/>
    <mergeCell ref="I13:I14"/>
    <mergeCell ref="J13:J14"/>
    <mergeCell ref="K13:K14"/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443" t="s">
        <v>0</v>
      </c>
      <c r="B7" s="1443"/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</row>
    <row r="8" spans="1:13" x14ac:dyDescent="0.25">
      <c r="A8" s="1443" t="s">
        <v>1</v>
      </c>
      <c r="B8" s="1443"/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</row>
    <row r="9" spans="1:13" x14ac:dyDescent="0.25">
      <c r="A9" s="1443" t="s">
        <v>3</v>
      </c>
      <c r="B9" s="1443"/>
      <c r="C9" s="1443"/>
      <c r="D9" s="1443"/>
      <c r="E9" s="1443"/>
      <c r="F9" s="1443"/>
      <c r="G9" s="1443"/>
      <c r="H9" s="1443"/>
      <c r="I9" s="1443"/>
      <c r="J9" s="1443"/>
      <c r="K9" s="1443"/>
      <c r="L9" s="1443"/>
      <c r="M9" s="1443"/>
    </row>
    <row r="10" spans="1:13" x14ac:dyDescent="0.25">
      <c r="A10" s="1443" t="s">
        <v>864</v>
      </c>
      <c r="B10" s="1443"/>
      <c r="C10" s="1443"/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</row>
    <row r="11" spans="1:13" x14ac:dyDescent="0.25">
      <c r="A11" s="1442" t="s">
        <v>412</v>
      </c>
      <c r="B11" s="1442"/>
      <c r="C11" s="1442"/>
      <c r="D11" s="1442"/>
      <c r="E11" s="1442"/>
      <c r="F11" s="1442"/>
      <c r="G11" s="1442"/>
      <c r="H11" s="1442"/>
      <c r="I11" s="1442"/>
      <c r="J11" s="1442"/>
      <c r="K11" s="1442"/>
      <c r="L11" s="1442"/>
      <c r="M11" s="1442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548" t="s">
        <v>7</v>
      </c>
      <c r="B13" s="1548" t="s">
        <v>802</v>
      </c>
      <c r="C13" s="1548" t="s">
        <v>9</v>
      </c>
      <c r="D13" s="1548" t="s">
        <v>832</v>
      </c>
      <c r="E13" s="220" t="s">
        <v>12</v>
      </c>
      <c r="F13" s="1582" t="s">
        <v>13</v>
      </c>
      <c r="G13" s="1583" t="s">
        <v>14</v>
      </c>
      <c r="H13" s="1583" t="s">
        <v>15</v>
      </c>
      <c r="I13" s="1583" t="s">
        <v>16</v>
      </c>
      <c r="J13" s="1583" t="s">
        <v>17</v>
      </c>
      <c r="K13" s="1583" t="s">
        <v>18</v>
      </c>
      <c r="L13" s="1583" t="s">
        <v>19</v>
      </c>
      <c r="M13" s="1583" t="s">
        <v>20</v>
      </c>
    </row>
    <row r="14" spans="1:13" x14ac:dyDescent="0.25">
      <c r="A14" s="1548"/>
      <c r="B14" s="1548"/>
      <c r="C14" s="1548"/>
      <c r="D14" s="1548"/>
      <c r="E14" s="220" t="s">
        <v>21</v>
      </c>
      <c r="F14" s="1582"/>
      <c r="G14" s="1583"/>
      <c r="H14" s="1583"/>
      <c r="I14" s="1583"/>
      <c r="J14" s="1583"/>
      <c r="K14" s="1583"/>
      <c r="L14" s="1583"/>
      <c r="M14" s="1583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508" t="s">
        <v>684</v>
      </c>
      <c r="H26" s="1508"/>
      <c r="I26" s="1508"/>
      <c r="J26" s="1508"/>
      <c r="K26" s="1508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529" t="s">
        <v>852</v>
      </c>
      <c r="H27" s="1529"/>
      <c r="I27" s="1529"/>
      <c r="J27" s="1529"/>
      <c r="K27" s="1529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530" t="s">
        <v>853</v>
      </c>
      <c r="H28" s="1530"/>
      <c r="I28" s="1530"/>
      <c r="J28" s="1530"/>
      <c r="K28" s="1530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584" t="s">
        <v>0</v>
      </c>
      <c r="B7" s="1584"/>
      <c r="C7" s="1584"/>
      <c r="D7" s="1584"/>
      <c r="E7" s="1584"/>
      <c r="F7" s="1584"/>
      <c r="G7" s="1584"/>
      <c r="H7" s="1584"/>
      <c r="I7" s="1584"/>
      <c r="J7" s="1584"/>
      <c r="K7" s="1584"/>
      <c r="L7" s="1584"/>
      <c r="M7" s="1584"/>
      <c r="N7" s="1584"/>
    </row>
    <row r="8" spans="1:14" ht="15.75" x14ac:dyDescent="0.25">
      <c r="A8" s="1584" t="s">
        <v>1</v>
      </c>
      <c r="B8" s="1584"/>
      <c r="C8" s="1584"/>
      <c r="D8" s="1584"/>
      <c r="E8" s="1584"/>
      <c r="F8" s="1584"/>
      <c r="G8" s="1584"/>
      <c r="H8" s="1584"/>
      <c r="I8" s="1584"/>
      <c r="J8" s="1584"/>
      <c r="K8" s="1584"/>
      <c r="L8" s="1584"/>
      <c r="M8" s="1584"/>
      <c r="N8" s="1584"/>
    </row>
    <row r="9" spans="1:14" ht="15.75" x14ac:dyDescent="0.25">
      <c r="A9" s="1584" t="s">
        <v>3</v>
      </c>
      <c r="B9" s="1584"/>
      <c r="C9" s="1584"/>
      <c r="D9" s="1584"/>
      <c r="E9" s="1584"/>
      <c r="F9" s="1584"/>
      <c r="G9" s="1584"/>
      <c r="H9" s="1584"/>
      <c r="I9" s="1584"/>
      <c r="J9" s="1584"/>
      <c r="K9" s="1584"/>
      <c r="L9" s="1584"/>
      <c r="M9" s="1584"/>
      <c r="N9" s="1584"/>
    </row>
    <row r="10" spans="1:14" ht="15.75" x14ac:dyDescent="0.25">
      <c r="A10" s="1584" t="s">
        <v>866</v>
      </c>
      <c r="B10" s="1584"/>
      <c r="C10" s="1584"/>
      <c r="D10" s="1584"/>
      <c r="E10" s="1584"/>
      <c r="F10" s="1584"/>
      <c r="G10" s="1584"/>
      <c r="H10" s="1584"/>
      <c r="I10" s="1584"/>
      <c r="J10" s="1584"/>
      <c r="K10" s="1584"/>
      <c r="L10" s="1584"/>
      <c r="M10" s="1584"/>
      <c r="N10" s="1584"/>
    </row>
    <row r="11" spans="1:14" ht="15.75" x14ac:dyDescent="0.25">
      <c r="A11" s="1549" t="s">
        <v>5</v>
      </c>
      <c r="B11" s="1549"/>
      <c r="C11" s="1549"/>
      <c r="D11" s="1549"/>
      <c r="E11" s="1549"/>
      <c r="F11" s="1549"/>
      <c r="G11" s="1549"/>
      <c r="H11" s="1549"/>
      <c r="I11" s="1549"/>
      <c r="J11" s="1549"/>
      <c r="K11" s="1549"/>
      <c r="L11" s="1549"/>
      <c r="M11" s="1549"/>
      <c r="N11" s="1549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548" t="s">
        <v>7</v>
      </c>
      <c r="B13" s="1548" t="s">
        <v>802</v>
      </c>
      <c r="C13" s="1546" t="s">
        <v>8</v>
      </c>
      <c r="D13" s="1546" t="s">
        <v>10</v>
      </c>
      <c r="E13" s="1546" t="s">
        <v>11</v>
      </c>
      <c r="F13" s="220" t="s">
        <v>12</v>
      </c>
      <c r="G13" s="1554" t="s">
        <v>13</v>
      </c>
      <c r="H13" s="1546" t="s">
        <v>14</v>
      </c>
      <c r="I13" s="1546" t="s">
        <v>15</v>
      </c>
      <c r="J13" s="1546" t="s">
        <v>16</v>
      </c>
      <c r="K13" s="1546" t="s">
        <v>17</v>
      </c>
      <c r="L13" s="1546" t="s">
        <v>18</v>
      </c>
      <c r="M13" s="1546" t="s">
        <v>19</v>
      </c>
      <c r="N13" s="1548" t="s">
        <v>20</v>
      </c>
    </row>
    <row r="14" spans="1:14" x14ac:dyDescent="0.25">
      <c r="A14" s="1548"/>
      <c r="B14" s="1548"/>
      <c r="C14" s="1547"/>
      <c r="D14" s="1547"/>
      <c r="E14" s="1547"/>
      <c r="F14" s="220" t="s">
        <v>21</v>
      </c>
      <c r="G14" s="1555"/>
      <c r="H14" s="1547"/>
      <c r="I14" s="1547"/>
      <c r="J14" s="1547"/>
      <c r="K14" s="1547"/>
      <c r="L14" s="1547"/>
      <c r="M14" s="1547"/>
      <c r="N14" s="1548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553" t="s">
        <v>854</v>
      </c>
      <c r="I31" s="1553"/>
      <c r="J31" s="1553"/>
      <c r="K31" s="1553"/>
      <c r="L31" s="1553"/>
      <c r="M31" s="1553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551" t="s">
        <v>852</v>
      </c>
      <c r="I32" s="1551"/>
      <c r="J32" s="1551"/>
      <c r="K32" s="1551"/>
      <c r="L32" s="1551"/>
      <c r="M32" s="1551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552" t="s">
        <v>853</v>
      </c>
      <c r="I33" s="1552"/>
      <c r="J33" s="1552"/>
      <c r="K33" s="1552"/>
      <c r="L33" s="1552"/>
      <c r="M33" s="1552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550"/>
      <c r="J34" s="1550"/>
      <c r="K34" s="1550"/>
      <c r="L34" s="1550"/>
      <c r="M34" s="1550"/>
      <c r="N34" s="1550"/>
    </row>
    <row r="35" spans="1:14" ht="15.75" x14ac:dyDescent="0.25">
      <c r="A35" s="267"/>
      <c r="B35" s="267"/>
      <c r="C35" s="268"/>
      <c r="D35" s="268"/>
      <c r="E35" s="268"/>
      <c r="F35" s="269"/>
      <c r="G35" s="1549"/>
      <c r="H35" s="1549"/>
      <c r="I35" s="1549"/>
      <c r="J35" s="1549"/>
      <c r="K35" s="1549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550"/>
      <c r="H36" s="1550"/>
      <c r="I36" s="1550"/>
      <c r="J36" s="1550"/>
      <c r="K36" s="1550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530"/>
      <c r="H37" s="1530"/>
      <c r="I37" s="1530"/>
      <c r="J37" s="1530"/>
      <c r="K37" s="1530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454"/>
      <c r="B41" s="1454"/>
      <c r="C41" s="1454"/>
      <c r="D41" s="1454"/>
      <c r="E41" s="1454"/>
      <c r="F41" s="1454"/>
      <c r="G41" s="1454"/>
      <c r="H41" s="1454"/>
      <c r="I41" s="1454"/>
      <c r="J41" s="1454"/>
      <c r="K41" s="1454"/>
      <c r="L41" s="1454"/>
      <c r="M41" s="1454"/>
      <c r="N41" s="1454"/>
    </row>
    <row r="42" spans="1:14" x14ac:dyDescent="0.25">
      <c r="A42" s="1443"/>
      <c r="B42" s="1443"/>
      <c r="C42" s="1443"/>
      <c r="D42" s="1443"/>
      <c r="E42" s="1443"/>
      <c r="F42" s="1443"/>
      <c r="G42" s="1443"/>
      <c r="H42" s="1443"/>
      <c r="I42" s="1443"/>
      <c r="J42" s="1443"/>
      <c r="K42" s="1443"/>
      <c r="L42" s="1443"/>
      <c r="M42" s="1443"/>
      <c r="N42" s="1443"/>
    </row>
    <row r="43" spans="1:14" x14ac:dyDescent="0.25">
      <c r="A43" s="1454"/>
      <c r="B43" s="1454"/>
      <c r="C43" s="1454"/>
      <c r="D43" s="1454"/>
      <c r="E43" s="1454"/>
      <c r="F43" s="1454"/>
      <c r="G43" s="1454"/>
      <c r="H43" s="1454"/>
      <c r="I43" s="1454"/>
      <c r="J43" s="1454"/>
      <c r="K43" s="1454"/>
      <c r="L43" s="1454"/>
      <c r="M43" s="1454"/>
      <c r="N43" s="1454"/>
    </row>
  </sheetData>
  <sheetProtection selectLockedCells="1" selectUnlockedCells="1"/>
  <mergeCells count="28">
    <mergeCell ref="G35:K35"/>
    <mergeCell ref="G36:K36"/>
    <mergeCell ref="G37:K37"/>
    <mergeCell ref="A41:N41"/>
    <mergeCell ref="A42:N42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</row>
    <row r="7" spans="1:14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</row>
    <row r="8" spans="1:14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</row>
    <row r="9" spans="1:14" x14ac:dyDescent="0.25">
      <c r="A9" s="1556" t="s">
        <v>873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  <c r="N9" s="1556"/>
    </row>
    <row r="10" spans="1:14" x14ac:dyDescent="0.25">
      <c r="A10" s="1557" t="s">
        <v>870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  <c r="M10" s="1557"/>
      <c r="N10" s="1557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548" t="s">
        <v>7</v>
      </c>
      <c r="B12" s="1548" t="s">
        <v>802</v>
      </c>
      <c r="C12" s="1548" t="s">
        <v>9</v>
      </c>
      <c r="D12" s="1548" t="s">
        <v>832</v>
      </c>
      <c r="E12" s="1548" t="s">
        <v>867</v>
      </c>
      <c r="F12" s="390" t="s">
        <v>12</v>
      </c>
      <c r="G12" s="1586" t="s">
        <v>13</v>
      </c>
      <c r="H12" s="1585" t="s">
        <v>14</v>
      </c>
      <c r="I12" s="1585" t="s">
        <v>15</v>
      </c>
      <c r="J12" s="1585" t="s">
        <v>16</v>
      </c>
      <c r="K12" s="1585" t="s">
        <v>17</v>
      </c>
      <c r="L12" s="1585" t="s">
        <v>18</v>
      </c>
      <c r="M12" s="1585" t="s">
        <v>19</v>
      </c>
      <c r="N12" s="1585" t="s">
        <v>20</v>
      </c>
    </row>
    <row r="13" spans="1:14" ht="16.5" customHeight="1" x14ac:dyDescent="0.25">
      <c r="A13" s="1548"/>
      <c r="B13" s="1548"/>
      <c r="C13" s="1548"/>
      <c r="D13" s="1548"/>
      <c r="E13" s="1548"/>
      <c r="F13" s="390" t="s">
        <v>21</v>
      </c>
      <c r="G13" s="1586"/>
      <c r="H13" s="1585"/>
      <c r="I13" s="1585"/>
      <c r="J13" s="1585"/>
      <c r="K13" s="1585"/>
      <c r="L13" s="1585"/>
      <c r="M13" s="1585"/>
      <c r="N13" s="1585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553" t="s">
        <v>854</v>
      </c>
      <c r="I21" s="1553"/>
      <c r="J21" s="1553"/>
      <c r="K21" s="1553"/>
      <c r="L21" s="1553"/>
      <c r="M21" s="1553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551" t="s">
        <v>852</v>
      </c>
      <c r="I22" s="1551"/>
      <c r="J22" s="1551"/>
      <c r="K22" s="1551"/>
      <c r="L22" s="1551"/>
      <c r="M22" s="1551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552" t="s">
        <v>853</v>
      </c>
      <c r="I23" s="1552"/>
      <c r="J23" s="1552"/>
      <c r="K23" s="1552"/>
      <c r="L23" s="1552"/>
      <c r="M23" s="1552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550"/>
      <c r="J24" s="1550"/>
      <c r="K24" s="1550"/>
      <c r="L24" s="1550"/>
      <c r="M24" s="1550"/>
      <c r="N24" s="1550"/>
    </row>
    <row r="25" spans="1:14" ht="15.75" x14ac:dyDescent="0.25">
      <c r="A25" s="267"/>
      <c r="B25" s="267"/>
      <c r="C25" s="268"/>
      <c r="D25" s="268"/>
      <c r="E25" s="268"/>
      <c r="F25" s="269"/>
      <c r="G25" s="1549"/>
      <c r="H25" s="1549"/>
      <c r="I25" s="1549"/>
      <c r="J25" s="1549"/>
      <c r="K25" s="1549"/>
      <c r="L25" s="271"/>
      <c r="M25" s="271"/>
      <c r="N25" s="259"/>
    </row>
  </sheetData>
  <mergeCells count="23">
    <mergeCell ref="I24:N24"/>
    <mergeCell ref="G25:K25"/>
    <mergeCell ref="D12:D13"/>
    <mergeCell ref="E12:E13"/>
    <mergeCell ref="H21:M21"/>
    <mergeCell ref="H22:M22"/>
    <mergeCell ref="H23:M23"/>
    <mergeCell ref="G12:G13"/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474" t="s">
        <v>0</v>
      </c>
      <c r="B8" s="1474"/>
      <c r="C8" s="1474"/>
      <c r="D8" s="1474"/>
      <c r="E8" s="1474"/>
      <c r="F8" s="1474"/>
      <c r="G8" s="1474"/>
      <c r="H8" s="1474"/>
      <c r="I8" s="1474"/>
      <c r="J8" s="1474"/>
      <c r="K8" s="1474"/>
      <c r="L8" s="1474"/>
      <c r="M8" s="1474"/>
    </row>
    <row r="9" spans="1:13" x14ac:dyDescent="0.25">
      <c r="A9" s="1474" t="s">
        <v>3</v>
      </c>
      <c r="B9" s="1474"/>
      <c r="C9" s="1474"/>
      <c r="D9" s="1474"/>
      <c r="E9" s="1474"/>
      <c r="F9" s="1474"/>
      <c r="G9" s="1474"/>
      <c r="H9" s="1474"/>
      <c r="I9" s="1474"/>
      <c r="J9" s="1474"/>
      <c r="K9" s="1474"/>
      <c r="L9" s="1474"/>
      <c r="M9" s="1474"/>
    </row>
    <row r="10" spans="1:13" x14ac:dyDescent="0.25">
      <c r="A10" s="1474" t="s">
        <v>876</v>
      </c>
      <c r="B10" s="1474"/>
      <c r="C10" s="1474"/>
      <c r="D10" s="1474"/>
      <c r="E10" s="1474"/>
      <c r="F10" s="1474"/>
      <c r="G10" s="1474"/>
      <c r="H10" s="1474"/>
      <c r="I10" s="1474"/>
      <c r="J10" s="1474"/>
      <c r="K10" s="1474"/>
      <c r="L10" s="1474"/>
      <c r="M10" s="1474"/>
    </row>
    <row r="11" spans="1:13" x14ac:dyDescent="0.25">
      <c r="A11" s="1473" t="s">
        <v>404</v>
      </c>
      <c r="B11" s="1473"/>
      <c r="C11" s="1473"/>
      <c r="D11" s="1473"/>
      <c r="E11" s="1473"/>
      <c r="F11" s="1473"/>
      <c r="G11" s="1473"/>
      <c r="H11" s="1473"/>
      <c r="I11" s="1473"/>
      <c r="J11" s="1473"/>
      <c r="K11" s="1473"/>
      <c r="L11" s="1473"/>
      <c r="M11" s="1473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587" t="s">
        <v>7</v>
      </c>
      <c r="B14" s="1587" t="s">
        <v>802</v>
      </c>
      <c r="C14" s="1589" t="s">
        <v>9</v>
      </c>
      <c r="D14" s="1591" t="s">
        <v>11</v>
      </c>
      <c r="E14" s="451" t="s">
        <v>12</v>
      </c>
      <c r="F14" s="1593" t="s">
        <v>13</v>
      </c>
      <c r="G14" s="1597" t="s">
        <v>14</v>
      </c>
      <c r="H14" s="1597" t="s">
        <v>15</v>
      </c>
      <c r="I14" s="1597" t="s">
        <v>16</v>
      </c>
      <c r="J14" s="1597" t="s">
        <v>17</v>
      </c>
      <c r="K14" s="1597" t="s">
        <v>18</v>
      </c>
      <c r="L14" s="1595" t="s">
        <v>19</v>
      </c>
      <c r="M14" s="1600" t="s">
        <v>20</v>
      </c>
    </row>
    <row r="15" spans="1:13" ht="14.25" customHeight="1" thickBot="1" x14ac:dyDescent="0.3">
      <c r="A15" s="1588"/>
      <c r="B15" s="1588"/>
      <c r="C15" s="1590"/>
      <c r="D15" s="1592"/>
      <c r="E15" s="452" t="s">
        <v>21</v>
      </c>
      <c r="F15" s="1594"/>
      <c r="G15" s="1598"/>
      <c r="H15" s="1598"/>
      <c r="I15" s="1598"/>
      <c r="J15" s="1598"/>
      <c r="K15" s="1598"/>
      <c r="L15" s="1596"/>
      <c r="M15" s="1601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604"/>
      <c r="K181" s="1604"/>
      <c r="L181" s="1604"/>
      <c r="M181" s="480"/>
    </row>
    <row r="182" spans="1:13" ht="15" customHeight="1" x14ac:dyDescent="0.25">
      <c r="A182" s="1603" t="s">
        <v>892</v>
      </c>
      <c r="B182" s="1603"/>
      <c r="C182" s="482"/>
      <c r="D182" s="1603"/>
      <c r="E182" s="1603"/>
      <c r="F182" s="1603"/>
      <c r="G182" s="467"/>
      <c r="H182" s="568"/>
      <c r="I182" s="1605"/>
      <c r="J182" s="1605"/>
      <c r="K182" s="1605"/>
      <c r="L182" s="1605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603"/>
      <c r="J183" s="1603"/>
      <c r="K183" s="1603"/>
      <c r="L183" s="1603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606" t="s">
        <v>684</v>
      </c>
      <c r="H185" s="1606"/>
      <c r="I185" s="1606"/>
      <c r="J185" s="1606"/>
      <c r="K185" s="1606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599" t="s">
        <v>895</v>
      </c>
      <c r="H186" s="1599"/>
      <c r="I186" s="1599"/>
      <c r="J186" s="1599"/>
      <c r="K186" s="1599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602" t="s">
        <v>896</v>
      </c>
      <c r="H187" s="1602"/>
      <c r="I187" s="1602"/>
      <c r="J187" s="1602"/>
      <c r="K187" s="1602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474"/>
      <c r="C190" s="1474"/>
      <c r="D190" s="1474"/>
      <c r="E190" s="1474"/>
      <c r="F190" s="1474"/>
      <c r="G190" s="1474"/>
      <c r="H190" s="1474"/>
      <c r="I190" s="1474"/>
      <c r="J190" s="1474"/>
      <c r="K190" s="1474"/>
      <c r="L190" s="1474"/>
      <c r="M190" s="385"/>
    </row>
    <row r="193" spans="2:12" x14ac:dyDescent="0.25">
      <c r="B193" s="1473"/>
      <c r="C193" s="1473"/>
      <c r="D193" s="1473"/>
      <c r="E193" s="1473"/>
      <c r="F193" s="1473"/>
      <c r="G193" s="1473"/>
      <c r="H193" s="1473"/>
      <c r="I193" s="1473"/>
      <c r="J193" s="1473"/>
      <c r="K193" s="1473"/>
      <c r="L193" s="1473"/>
    </row>
    <row r="194" spans="2:12" s="213" customFormat="1" x14ac:dyDescent="0.25">
      <c r="B194" s="1443"/>
      <c r="C194" s="1443"/>
      <c r="D194" s="1443"/>
      <c r="E194" s="1443"/>
      <c r="F194" s="1443"/>
      <c r="G194" s="1443"/>
      <c r="H194" s="1443"/>
      <c r="I194" s="1443"/>
      <c r="J194" s="1443"/>
      <c r="K194" s="1443"/>
      <c r="L194" s="1443"/>
    </row>
    <row r="195" spans="2:12" s="213" customFormat="1" x14ac:dyDescent="0.25">
      <c r="B195" s="1454"/>
      <c r="C195" s="1454"/>
      <c r="D195" s="1454"/>
      <c r="E195" s="1454"/>
      <c r="F195" s="1454"/>
      <c r="G195" s="1454"/>
      <c r="H195" s="1454"/>
      <c r="I195" s="1454"/>
      <c r="J195" s="1454"/>
      <c r="K195" s="1454"/>
      <c r="L195" s="1454"/>
    </row>
  </sheetData>
  <mergeCells count="28"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474" t="s">
        <v>0</v>
      </c>
      <c r="B7" s="1474"/>
      <c r="C7" s="1474"/>
      <c r="D7" s="1474"/>
      <c r="E7" s="1474"/>
      <c r="F7" s="1474"/>
      <c r="G7" s="1474"/>
      <c r="H7" s="1474"/>
      <c r="I7" s="1474"/>
      <c r="J7" s="1474"/>
      <c r="K7" s="1474"/>
      <c r="L7" s="1474"/>
      <c r="M7" s="1474"/>
      <c r="N7" s="1474"/>
      <c r="O7" s="1474"/>
    </row>
    <row r="8" spans="1:15" x14ac:dyDescent="0.25">
      <c r="A8" s="1474" t="s">
        <v>1</v>
      </c>
      <c r="B8" s="1474"/>
      <c r="C8" s="1474"/>
      <c r="D8" s="1474"/>
      <c r="E8" s="1474"/>
      <c r="F8" s="1474"/>
      <c r="G8" s="1474"/>
      <c r="H8" s="1474"/>
      <c r="I8" s="1474"/>
      <c r="J8" s="1474"/>
      <c r="K8" s="1474"/>
      <c r="L8" s="1474"/>
      <c r="M8" s="1474"/>
      <c r="N8" s="1474"/>
      <c r="O8" s="1474"/>
    </row>
    <row r="9" spans="1:15" x14ac:dyDescent="0.25">
      <c r="A9" s="1474" t="s">
        <v>3</v>
      </c>
      <c r="B9" s="1474"/>
      <c r="C9" s="1474"/>
      <c r="D9" s="1474"/>
      <c r="E9" s="1474"/>
      <c r="F9" s="1474"/>
      <c r="G9" s="1474"/>
      <c r="H9" s="1474"/>
      <c r="I9" s="1474"/>
      <c r="J9" s="1474"/>
      <c r="K9" s="1474"/>
      <c r="L9" s="1474"/>
      <c r="M9" s="1474"/>
      <c r="N9" s="1474"/>
      <c r="O9" s="1474"/>
    </row>
    <row r="10" spans="1:15" x14ac:dyDescent="0.25">
      <c r="A10" s="1474" t="s">
        <v>881</v>
      </c>
      <c r="B10" s="1474"/>
      <c r="C10" s="1474"/>
      <c r="D10" s="1474"/>
      <c r="E10" s="1474"/>
      <c r="F10" s="1474"/>
      <c r="G10" s="1474"/>
      <c r="H10" s="1474"/>
      <c r="I10" s="1474"/>
      <c r="J10" s="1474"/>
      <c r="K10" s="1474"/>
      <c r="L10" s="1474"/>
      <c r="M10" s="1474"/>
      <c r="N10" s="1474"/>
      <c r="O10" s="1474"/>
    </row>
    <row r="11" spans="1:15" x14ac:dyDescent="0.25">
      <c r="A11" s="1614" t="s">
        <v>406</v>
      </c>
      <c r="B11" s="1614"/>
      <c r="C11" s="1614"/>
      <c r="D11" s="1614"/>
      <c r="E11" s="1614"/>
      <c r="F11" s="1614"/>
      <c r="G11" s="1614"/>
      <c r="H11" s="1614"/>
      <c r="I11" s="1614"/>
      <c r="J11" s="1614"/>
      <c r="K11" s="1614"/>
      <c r="L11" s="1614"/>
      <c r="M11" s="1614"/>
      <c r="N11" s="1614"/>
      <c r="O11" s="1614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611" t="s">
        <v>7</v>
      </c>
      <c r="B13" s="1611" t="s">
        <v>802</v>
      </c>
      <c r="C13" s="1613" t="s">
        <v>9</v>
      </c>
      <c r="D13" s="1611" t="s">
        <v>832</v>
      </c>
      <c r="E13" s="1611" t="s">
        <v>834</v>
      </c>
      <c r="F13" s="1611" t="s">
        <v>835</v>
      </c>
      <c r="G13" s="476" t="s">
        <v>12</v>
      </c>
      <c r="H13" s="1612" t="s">
        <v>13</v>
      </c>
      <c r="I13" s="1609" t="s">
        <v>14</v>
      </c>
      <c r="J13" s="1609" t="s">
        <v>15</v>
      </c>
      <c r="K13" s="1609" t="s">
        <v>16</v>
      </c>
      <c r="L13" s="1609" t="s">
        <v>17</v>
      </c>
      <c r="M13" s="1609" t="s">
        <v>18</v>
      </c>
      <c r="N13" s="1609" t="s">
        <v>19</v>
      </c>
      <c r="O13" s="1609" t="s">
        <v>20</v>
      </c>
    </row>
    <row r="14" spans="1:15" x14ac:dyDescent="0.25">
      <c r="A14" s="1611"/>
      <c r="B14" s="1611"/>
      <c r="C14" s="1613"/>
      <c r="D14" s="1611"/>
      <c r="E14" s="1611"/>
      <c r="F14" s="1611"/>
      <c r="G14" s="476" t="s">
        <v>21</v>
      </c>
      <c r="H14" s="1612"/>
      <c r="I14" s="1609"/>
      <c r="J14" s="1609"/>
      <c r="K14" s="1609"/>
      <c r="L14" s="1609"/>
      <c r="M14" s="1609"/>
      <c r="N14" s="1609"/>
      <c r="O14" s="1609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610" t="s">
        <v>684</v>
      </c>
      <c r="H63" s="1610"/>
      <c r="I63" s="1610"/>
      <c r="J63" s="1610"/>
      <c r="K63" s="1610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607" t="s">
        <v>852</v>
      </c>
      <c r="H64" s="1607"/>
      <c r="I64" s="1607"/>
      <c r="J64" s="1607"/>
      <c r="K64" s="1607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608" t="s">
        <v>853</v>
      </c>
      <c r="H65" s="1608"/>
      <c r="I65" s="1608"/>
      <c r="J65" s="1608"/>
      <c r="K65" s="1608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3:K63"/>
    <mergeCell ref="F13:F14"/>
    <mergeCell ref="H13:H14"/>
    <mergeCell ref="I13:I14"/>
    <mergeCell ref="J13:J14"/>
    <mergeCell ref="K13:K14"/>
    <mergeCell ref="G64:K64"/>
    <mergeCell ref="G65:K65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474" t="s">
        <v>0</v>
      </c>
      <c r="B7" s="1474"/>
      <c r="C7" s="1474"/>
      <c r="D7" s="1474"/>
      <c r="E7" s="1474"/>
      <c r="F7" s="1474"/>
      <c r="G7" s="1474"/>
      <c r="H7" s="1474"/>
      <c r="I7" s="1474"/>
      <c r="J7" s="1474"/>
      <c r="K7" s="1474"/>
      <c r="L7" s="1474"/>
      <c r="M7" s="1474"/>
      <c r="N7" s="1474"/>
      <c r="O7" s="1474"/>
    </row>
    <row r="8" spans="1:15" x14ac:dyDescent="0.25">
      <c r="A8" s="1474" t="s">
        <v>1</v>
      </c>
      <c r="B8" s="1474"/>
      <c r="C8" s="1474"/>
      <c r="D8" s="1474"/>
      <c r="E8" s="1474"/>
      <c r="F8" s="1474"/>
      <c r="G8" s="1474"/>
      <c r="H8" s="1474"/>
      <c r="I8" s="1474"/>
      <c r="J8" s="1474"/>
      <c r="K8" s="1474"/>
      <c r="L8" s="1474"/>
      <c r="M8" s="1474"/>
      <c r="N8" s="1474"/>
      <c r="O8" s="1474"/>
    </row>
    <row r="9" spans="1:15" x14ac:dyDescent="0.25">
      <c r="A9" s="1474" t="s">
        <v>3</v>
      </c>
      <c r="B9" s="1474"/>
      <c r="C9" s="1474"/>
      <c r="D9" s="1474"/>
      <c r="E9" s="1474"/>
      <c r="F9" s="1474"/>
      <c r="G9" s="1474"/>
      <c r="H9" s="1474"/>
      <c r="I9" s="1474"/>
      <c r="J9" s="1474"/>
      <c r="K9" s="1474"/>
      <c r="L9" s="1474"/>
      <c r="M9" s="1474"/>
      <c r="N9" s="1474"/>
      <c r="O9" s="1474"/>
    </row>
    <row r="10" spans="1:15" x14ac:dyDescent="0.25">
      <c r="A10" s="1474" t="s">
        <v>879</v>
      </c>
      <c r="B10" s="1474"/>
      <c r="C10" s="1474"/>
      <c r="D10" s="1474"/>
      <c r="E10" s="1474"/>
      <c r="F10" s="1474"/>
      <c r="G10" s="1474"/>
      <c r="H10" s="1474"/>
      <c r="I10" s="1474"/>
      <c r="J10" s="1474"/>
      <c r="K10" s="1474"/>
      <c r="L10" s="1474"/>
      <c r="M10" s="1474"/>
      <c r="N10" s="1474"/>
      <c r="O10" s="1474"/>
    </row>
    <row r="11" spans="1:15" x14ac:dyDescent="0.25">
      <c r="A11" s="1614" t="s">
        <v>441</v>
      </c>
      <c r="B11" s="1614"/>
      <c r="C11" s="1614"/>
      <c r="D11" s="1614"/>
      <c r="E11" s="1614"/>
      <c r="F11" s="1614"/>
      <c r="G11" s="1614"/>
      <c r="H11" s="1614"/>
      <c r="I11" s="1614"/>
      <c r="J11" s="1614"/>
      <c r="K11" s="1614"/>
      <c r="L11" s="1614"/>
      <c r="M11" s="1614"/>
      <c r="N11" s="1614"/>
      <c r="O11" s="1614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611" t="s">
        <v>7</v>
      </c>
      <c r="B13" s="1611" t="s">
        <v>802</v>
      </c>
      <c r="C13" s="1613" t="s">
        <v>9</v>
      </c>
      <c r="D13" s="1611" t="s">
        <v>832</v>
      </c>
      <c r="E13" s="1611" t="s">
        <v>834</v>
      </c>
      <c r="F13" s="1611" t="s">
        <v>835</v>
      </c>
      <c r="G13" s="476" t="s">
        <v>12</v>
      </c>
      <c r="H13" s="1612" t="s">
        <v>13</v>
      </c>
      <c r="I13" s="1609" t="s">
        <v>14</v>
      </c>
      <c r="J13" s="1609" t="s">
        <v>15</v>
      </c>
      <c r="K13" s="1609" t="s">
        <v>16</v>
      </c>
      <c r="L13" s="1609" t="s">
        <v>17</v>
      </c>
      <c r="M13" s="1609" t="s">
        <v>18</v>
      </c>
      <c r="N13" s="1609" t="s">
        <v>19</v>
      </c>
      <c r="O13" s="1609" t="s">
        <v>20</v>
      </c>
    </row>
    <row r="14" spans="1:15" x14ac:dyDescent="0.25">
      <c r="A14" s="1611"/>
      <c r="B14" s="1611"/>
      <c r="C14" s="1613"/>
      <c r="D14" s="1611"/>
      <c r="E14" s="1611"/>
      <c r="F14" s="1611"/>
      <c r="G14" s="476" t="s">
        <v>21</v>
      </c>
      <c r="H14" s="1612"/>
      <c r="I14" s="1609"/>
      <c r="J14" s="1609"/>
      <c r="K14" s="1609"/>
      <c r="L14" s="1609"/>
      <c r="M14" s="1609"/>
      <c r="N14" s="1609"/>
      <c r="O14" s="1609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610" t="s">
        <v>684</v>
      </c>
      <c r="H46" s="1610"/>
      <c r="I46" s="1610"/>
      <c r="J46" s="1610"/>
      <c r="K46" s="1610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607" t="s">
        <v>887</v>
      </c>
      <c r="H47" s="1607"/>
      <c r="I47" s="1607"/>
      <c r="J47" s="1607"/>
      <c r="K47" s="1607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608" t="s">
        <v>853</v>
      </c>
      <c r="H48" s="1608"/>
      <c r="I48" s="1608"/>
      <c r="J48" s="1608"/>
      <c r="K48" s="1608"/>
      <c r="L48" s="486"/>
      <c r="M48" s="486"/>
      <c r="N48" s="467"/>
      <c r="O48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46:K46"/>
    <mergeCell ref="F13:F14"/>
    <mergeCell ref="H13:H14"/>
    <mergeCell ref="I13:I14"/>
    <mergeCell ref="J13:J14"/>
    <mergeCell ref="K13:K14"/>
    <mergeCell ref="G47:K47"/>
    <mergeCell ref="G48:K48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443" t="s">
        <v>0</v>
      </c>
      <c r="B7" s="1443"/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</row>
    <row r="8" spans="1:13" x14ac:dyDescent="0.25">
      <c r="A8" s="1443" t="s">
        <v>1</v>
      </c>
      <c r="B8" s="1443"/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</row>
    <row r="9" spans="1:13" x14ac:dyDescent="0.25">
      <c r="A9" s="1443" t="s">
        <v>3</v>
      </c>
      <c r="B9" s="1443"/>
      <c r="C9" s="1443"/>
      <c r="D9" s="1443"/>
      <c r="E9" s="1443"/>
      <c r="F9" s="1443"/>
      <c r="G9" s="1443"/>
      <c r="H9" s="1443"/>
      <c r="I9" s="1443"/>
      <c r="J9" s="1443"/>
      <c r="K9" s="1443"/>
      <c r="L9" s="1443"/>
      <c r="M9" s="1443"/>
    </row>
    <row r="10" spans="1:13" x14ac:dyDescent="0.25">
      <c r="A10" s="1443" t="s">
        <v>880</v>
      </c>
      <c r="B10" s="1443"/>
      <c r="C10" s="1443"/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</row>
    <row r="11" spans="1:13" x14ac:dyDescent="0.25">
      <c r="A11" s="1442" t="s">
        <v>412</v>
      </c>
      <c r="B11" s="1442"/>
      <c r="C11" s="1442"/>
      <c r="D11" s="1442"/>
      <c r="E11" s="1442"/>
      <c r="F11" s="1442"/>
      <c r="G11" s="1442"/>
      <c r="H11" s="1442"/>
      <c r="I11" s="1442"/>
      <c r="J11" s="1442"/>
      <c r="K11" s="1442"/>
      <c r="L11" s="1442"/>
      <c r="M11" s="1442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618" t="s">
        <v>7</v>
      </c>
      <c r="B13" s="1618" t="s">
        <v>802</v>
      </c>
      <c r="C13" s="1618" t="s">
        <v>9</v>
      </c>
      <c r="D13" s="1618" t="s">
        <v>832</v>
      </c>
      <c r="E13" s="421" t="s">
        <v>12</v>
      </c>
      <c r="F13" s="1619" t="s">
        <v>13</v>
      </c>
      <c r="G13" s="1615" t="s">
        <v>14</v>
      </c>
      <c r="H13" s="1615" t="s">
        <v>15</v>
      </c>
      <c r="I13" s="1615" t="s">
        <v>16</v>
      </c>
      <c r="J13" s="1615" t="s">
        <v>17</v>
      </c>
      <c r="K13" s="1615" t="s">
        <v>18</v>
      </c>
      <c r="L13" s="1615" t="s">
        <v>19</v>
      </c>
      <c r="M13" s="1615" t="s">
        <v>20</v>
      </c>
    </row>
    <row r="14" spans="1:13" x14ac:dyDescent="0.25">
      <c r="A14" s="1618"/>
      <c r="B14" s="1618"/>
      <c r="C14" s="1618"/>
      <c r="D14" s="1618"/>
      <c r="E14" s="421" t="s">
        <v>21</v>
      </c>
      <c r="F14" s="1619"/>
      <c r="G14" s="1615"/>
      <c r="H14" s="1615"/>
      <c r="I14" s="1615"/>
      <c r="J14" s="1615"/>
      <c r="K14" s="1615"/>
      <c r="L14" s="1615"/>
      <c r="M14" s="1615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454" t="s">
        <v>684</v>
      </c>
      <c r="H26" s="1454"/>
      <c r="I26" s="1454"/>
      <c r="J26" s="1454"/>
      <c r="K26" s="1454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616" t="s">
        <v>852</v>
      </c>
      <c r="H27" s="1616"/>
      <c r="I27" s="1616"/>
      <c r="J27" s="1616"/>
      <c r="K27" s="1616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617" t="s">
        <v>853</v>
      </c>
      <c r="H28" s="1617"/>
      <c r="I28" s="1617"/>
      <c r="J28" s="1617"/>
      <c r="K28" s="1617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584" t="s">
        <v>0</v>
      </c>
      <c r="B7" s="1584"/>
      <c r="C7" s="1584"/>
      <c r="D7" s="1584"/>
      <c r="E7" s="1584"/>
      <c r="F7" s="1584"/>
      <c r="G7" s="1584"/>
      <c r="H7" s="1584"/>
      <c r="I7" s="1584"/>
      <c r="J7" s="1584"/>
      <c r="K7" s="1584"/>
      <c r="L7" s="1584"/>
      <c r="M7" s="1584"/>
      <c r="N7" s="1584"/>
    </row>
    <row r="8" spans="1:14" ht="15.75" x14ac:dyDescent="0.25">
      <c r="A8" s="1584" t="s">
        <v>1</v>
      </c>
      <c r="B8" s="1584"/>
      <c r="C8" s="1584"/>
      <c r="D8" s="1584"/>
      <c r="E8" s="1584"/>
      <c r="F8" s="1584"/>
      <c r="G8" s="1584"/>
      <c r="H8" s="1584"/>
      <c r="I8" s="1584"/>
      <c r="J8" s="1584"/>
      <c r="K8" s="1584"/>
      <c r="L8" s="1584"/>
      <c r="M8" s="1584"/>
      <c r="N8" s="1584"/>
    </row>
    <row r="9" spans="1:14" ht="15.75" x14ac:dyDescent="0.25">
      <c r="A9" s="1584" t="s">
        <v>3</v>
      </c>
      <c r="B9" s="1584"/>
      <c r="C9" s="1584"/>
      <c r="D9" s="1584"/>
      <c r="E9" s="1584"/>
      <c r="F9" s="1584"/>
      <c r="G9" s="1584"/>
      <c r="H9" s="1584"/>
      <c r="I9" s="1584"/>
      <c r="J9" s="1584"/>
      <c r="K9" s="1584"/>
      <c r="L9" s="1584"/>
      <c r="M9" s="1584"/>
      <c r="N9" s="1584"/>
    </row>
    <row r="10" spans="1:14" ht="15.75" x14ac:dyDescent="0.25">
      <c r="A10" s="1584" t="s">
        <v>882</v>
      </c>
      <c r="B10" s="1584"/>
      <c r="C10" s="1584"/>
      <c r="D10" s="1584"/>
      <c r="E10" s="1584"/>
      <c r="F10" s="1584"/>
      <c r="G10" s="1584"/>
      <c r="H10" s="1584"/>
      <c r="I10" s="1584"/>
      <c r="J10" s="1584"/>
      <c r="K10" s="1584"/>
      <c r="L10" s="1584"/>
      <c r="M10" s="1584"/>
      <c r="N10" s="1584"/>
    </row>
    <row r="11" spans="1:14" ht="15.75" x14ac:dyDescent="0.25">
      <c r="A11" s="1549" t="s">
        <v>5</v>
      </c>
      <c r="B11" s="1549"/>
      <c r="C11" s="1549"/>
      <c r="D11" s="1549"/>
      <c r="E11" s="1549"/>
      <c r="F11" s="1549"/>
      <c r="G11" s="1549"/>
      <c r="H11" s="1549"/>
      <c r="I11" s="1549"/>
      <c r="J11" s="1549"/>
      <c r="K11" s="1549"/>
      <c r="L11" s="1549"/>
      <c r="M11" s="1549"/>
      <c r="N11" s="1549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611" t="s">
        <v>7</v>
      </c>
      <c r="B13" s="1611" t="s">
        <v>802</v>
      </c>
      <c r="C13" s="1620" t="s">
        <v>8</v>
      </c>
      <c r="D13" s="1620" t="s">
        <v>10</v>
      </c>
      <c r="E13" s="1620" t="s">
        <v>11</v>
      </c>
      <c r="F13" s="476" t="s">
        <v>12</v>
      </c>
      <c r="G13" s="1622" t="s">
        <v>13</v>
      </c>
      <c r="H13" s="1620" t="s">
        <v>14</v>
      </c>
      <c r="I13" s="1620" t="s">
        <v>15</v>
      </c>
      <c r="J13" s="1620" t="s">
        <v>16</v>
      </c>
      <c r="K13" s="1620" t="s">
        <v>17</v>
      </c>
      <c r="L13" s="1620" t="s">
        <v>18</v>
      </c>
      <c r="M13" s="1620" t="s">
        <v>19</v>
      </c>
      <c r="N13" s="1611" t="s">
        <v>20</v>
      </c>
    </row>
    <row r="14" spans="1:14" x14ac:dyDescent="0.25">
      <c r="A14" s="1611"/>
      <c r="B14" s="1611"/>
      <c r="C14" s="1621"/>
      <c r="D14" s="1621"/>
      <c r="E14" s="1621"/>
      <c r="F14" s="476" t="s">
        <v>21</v>
      </c>
      <c r="G14" s="1623"/>
      <c r="H14" s="1621"/>
      <c r="I14" s="1621"/>
      <c r="J14" s="1621"/>
      <c r="K14" s="1621"/>
      <c r="L14" s="1621"/>
      <c r="M14" s="1621"/>
      <c r="N14" s="161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553" t="s">
        <v>854</v>
      </c>
      <c r="I31" s="1553"/>
      <c r="J31" s="1553"/>
      <c r="K31" s="1553"/>
      <c r="L31" s="1553"/>
      <c r="M31" s="1553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551" t="s">
        <v>852</v>
      </c>
      <c r="I32" s="1551"/>
      <c r="J32" s="1551"/>
      <c r="K32" s="1551"/>
      <c r="L32" s="1551"/>
      <c r="M32" s="1551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552" t="s">
        <v>853</v>
      </c>
      <c r="I33" s="1552"/>
      <c r="J33" s="1552"/>
      <c r="K33" s="1552"/>
      <c r="L33" s="1552"/>
      <c r="M33" s="1552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550"/>
      <c r="J34" s="1550"/>
      <c r="K34" s="1550"/>
      <c r="L34" s="1550"/>
      <c r="M34" s="1550"/>
      <c r="N34" s="1550"/>
    </row>
    <row r="35" spans="1:14" ht="15.75" x14ac:dyDescent="0.25">
      <c r="A35" s="267"/>
      <c r="B35" s="267"/>
      <c r="C35" s="268"/>
      <c r="D35" s="268"/>
      <c r="E35" s="268"/>
      <c r="F35" s="269"/>
      <c r="G35" s="1549"/>
      <c r="H35" s="1549"/>
      <c r="I35" s="1549"/>
      <c r="J35" s="1549"/>
      <c r="K35" s="1549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550"/>
      <c r="H36" s="1550"/>
      <c r="I36" s="1550"/>
      <c r="J36" s="1550"/>
      <c r="K36" s="1550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530"/>
      <c r="H37" s="1530"/>
      <c r="I37" s="1530"/>
      <c r="J37" s="1530"/>
      <c r="K37" s="1530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454"/>
      <c r="B41" s="1454"/>
      <c r="C41" s="1454"/>
      <c r="D41" s="1454"/>
      <c r="E41" s="1454"/>
      <c r="F41" s="1454"/>
      <c r="G41" s="1454"/>
      <c r="H41" s="1454"/>
      <c r="I41" s="1454"/>
      <c r="J41" s="1454"/>
      <c r="K41" s="1454"/>
      <c r="L41" s="1454"/>
      <c r="M41" s="1454"/>
      <c r="N41" s="1454"/>
    </row>
    <row r="42" spans="1:14" x14ac:dyDescent="0.25">
      <c r="A42" s="1443"/>
      <c r="B42" s="1443"/>
      <c r="C42" s="1443"/>
      <c r="D42" s="1443"/>
      <c r="E42" s="1443"/>
      <c r="F42" s="1443"/>
      <c r="G42" s="1443"/>
      <c r="H42" s="1443"/>
      <c r="I42" s="1443"/>
      <c r="J42" s="1443"/>
      <c r="K42" s="1443"/>
      <c r="L42" s="1443"/>
      <c r="M42" s="1443"/>
      <c r="N42" s="1443"/>
    </row>
    <row r="43" spans="1:14" x14ac:dyDescent="0.25">
      <c r="A43" s="1454"/>
      <c r="B43" s="1454"/>
      <c r="C43" s="1454"/>
      <c r="D43" s="1454"/>
      <c r="E43" s="1454"/>
      <c r="F43" s="1454"/>
      <c r="G43" s="1454"/>
      <c r="H43" s="1454"/>
      <c r="I43" s="1454"/>
      <c r="J43" s="1454"/>
      <c r="K43" s="1454"/>
      <c r="L43" s="1454"/>
      <c r="M43" s="1454"/>
      <c r="N43" s="1454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1:13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6" t="s">
        <v>891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1:13" x14ac:dyDescent="0.25">
      <c r="A10" s="1557" t="s">
        <v>870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  <c r="M10" s="1557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611" t="s">
        <v>7</v>
      </c>
      <c r="B12" s="1611" t="s">
        <v>802</v>
      </c>
      <c r="C12" s="1611" t="s">
        <v>9</v>
      </c>
      <c r="D12" s="1611" t="s">
        <v>832</v>
      </c>
      <c r="E12" s="390" t="s">
        <v>12</v>
      </c>
      <c r="F12" s="1586" t="s">
        <v>13</v>
      </c>
      <c r="G12" s="1585" t="s">
        <v>14</v>
      </c>
      <c r="H12" s="1585" t="s">
        <v>15</v>
      </c>
      <c r="I12" s="1585" t="s">
        <v>16</v>
      </c>
      <c r="J12" s="1585" t="s">
        <v>17</v>
      </c>
      <c r="K12" s="1585" t="s">
        <v>18</v>
      </c>
      <c r="L12" s="1585" t="s">
        <v>19</v>
      </c>
      <c r="M12" s="1585" t="s">
        <v>20</v>
      </c>
    </row>
    <row r="13" spans="1:13" ht="16.5" customHeight="1" x14ac:dyDescent="0.25">
      <c r="A13" s="1611"/>
      <c r="B13" s="1611"/>
      <c r="C13" s="1611"/>
      <c r="D13" s="1611"/>
      <c r="E13" s="390" t="s">
        <v>21</v>
      </c>
      <c r="F13" s="1586"/>
      <c r="G13" s="1585"/>
      <c r="H13" s="1585"/>
      <c r="I13" s="1585"/>
      <c r="J13" s="1585"/>
      <c r="K13" s="1585"/>
      <c r="L13" s="1585"/>
      <c r="M13" s="1585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624" t="s">
        <v>854</v>
      </c>
      <c r="H21" s="1624"/>
      <c r="I21" s="1624"/>
      <c r="J21" s="1624"/>
      <c r="K21" s="1624"/>
      <c r="L21" s="1624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551" t="s">
        <v>852</v>
      </c>
      <c r="H22" s="1551"/>
      <c r="I22" s="1551"/>
      <c r="J22" s="1551"/>
      <c r="K22" s="1551"/>
      <c r="L22" s="1551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552" t="s">
        <v>853</v>
      </c>
      <c r="H23" s="1552"/>
      <c r="I23" s="1552"/>
      <c r="J23" s="1552"/>
      <c r="K23" s="1552"/>
      <c r="L23" s="1552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625"/>
      <c r="I24" s="1625"/>
      <c r="J24" s="1625"/>
      <c r="K24" s="1625"/>
      <c r="L24" s="1625"/>
      <c r="M24" s="1625"/>
    </row>
    <row r="25" spans="1:13" x14ac:dyDescent="0.25">
      <c r="A25" s="531"/>
      <c r="B25" s="531"/>
      <c r="C25" s="259"/>
      <c r="D25" s="259"/>
      <c r="E25" s="269"/>
      <c r="F25" s="1552"/>
      <c r="G25" s="1552"/>
      <c r="H25" s="1552"/>
      <c r="I25" s="1552"/>
      <c r="J25" s="1552"/>
      <c r="K25" s="271"/>
      <c r="L25" s="271"/>
      <c r="M25" s="259"/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1:13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6" t="s">
        <v>885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1:13" x14ac:dyDescent="0.25">
      <c r="A10" s="1557" t="s">
        <v>886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  <c r="M10" s="1557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611" t="s">
        <v>7</v>
      </c>
      <c r="B12" s="1611" t="s">
        <v>802</v>
      </c>
      <c r="C12" s="1611" t="s">
        <v>9</v>
      </c>
      <c r="D12" s="1611" t="s">
        <v>832</v>
      </c>
      <c r="E12" s="390" t="s">
        <v>12</v>
      </c>
      <c r="F12" s="1586" t="s">
        <v>13</v>
      </c>
      <c r="G12" s="1585" t="s">
        <v>14</v>
      </c>
      <c r="H12" s="1585" t="s">
        <v>15</v>
      </c>
      <c r="I12" s="1585" t="s">
        <v>16</v>
      </c>
      <c r="J12" s="1585" t="s">
        <v>17</v>
      </c>
      <c r="K12" s="1585" t="s">
        <v>18</v>
      </c>
      <c r="L12" s="1585" t="s">
        <v>19</v>
      </c>
      <c r="M12" s="1585" t="s">
        <v>20</v>
      </c>
    </row>
    <row r="13" spans="1:13" ht="16.5" customHeight="1" x14ac:dyDescent="0.25">
      <c r="A13" s="1611"/>
      <c r="B13" s="1611"/>
      <c r="C13" s="1611"/>
      <c r="D13" s="1611"/>
      <c r="E13" s="390" t="s">
        <v>21</v>
      </c>
      <c r="F13" s="1586"/>
      <c r="G13" s="1585"/>
      <c r="H13" s="1585"/>
      <c r="I13" s="1585"/>
      <c r="J13" s="1585"/>
      <c r="K13" s="1585"/>
      <c r="L13" s="1585"/>
      <c r="M13" s="1585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626" t="s">
        <v>854</v>
      </c>
      <c r="H21" s="1626"/>
      <c r="I21" s="1626"/>
      <c r="J21" s="1626"/>
      <c r="K21" s="1626"/>
      <c r="L21" s="1626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627" t="s">
        <v>852</v>
      </c>
      <c r="H22" s="1627"/>
      <c r="I22" s="1627"/>
      <c r="J22" s="1627"/>
      <c r="K22" s="1627"/>
      <c r="L22" s="1627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628" t="s">
        <v>853</v>
      </c>
      <c r="H23" s="1628"/>
      <c r="I23" s="1628"/>
      <c r="J23" s="1628"/>
      <c r="K23" s="1628"/>
      <c r="L23" s="1628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629"/>
      <c r="I24" s="1629"/>
      <c r="J24" s="1629"/>
      <c r="K24" s="1629"/>
      <c r="L24" s="1629"/>
      <c r="M24" s="1629"/>
    </row>
    <row r="25" spans="1:13" ht="15.75" x14ac:dyDescent="0.25">
      <c r="A25" s="267"/>
      <c r="B25" s="267"/>
      <c r="C25" s="268"/>
      <c r="D25" s="268"/>
      <c r="E25" s="269"/>
      <c r="F25" s="1549"/>
      <c r="G25" s="1549"/>
      <c r="H25" s="1549"/>
      <c r="I25" s="1549"/>
      <c r="J25" s="1549"/>
      <c r="K25" s="271"/>
      <c r="L25" s="271"/>
      <c r="M25" s="259"/>
    </row>
    <row r="26" spans="1:13" x14ac:dyDescent="0.25">
      <c r="E26" t="s">
        <v>641</v>
      </c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474" t="s">
        <v>0</v>
      </c>
      <c r="B8" s="1474"/>
      <c r="C8" s="1474"/>
      <c r="D8" s="1474"/>
      <c r="E8" s="1474"/>
      <c r="F8" s="1474"/>
      <c r="G8" s="1474"/>
      <c r="H8" s="1474"/>
      <c r="I8" s="1474"/>
      <c r="J8" s="1474"/>
      <c r="K8" s="1474"/>
      <c r="L8" s="1474"/>
      <c r="M8" s="1474"/>
    </row>
    <row r="9" spans="1:13" x14ac:dyDescent="0.25">
      <c r="A9" s="1474" t="s">
        <v>3</v>
      </c>
      <c r="B9" s="1474"/>
      <c r="C9" s="1474"/>
      <c r="D9" s="1474"/>
      <c r="E9" s="1474"/>
      <c r="F9" s="1474"/>
      <c r="G9" s="1474"/>
      <c r="H9" s="1474"/>
      <c r="I9" s="1474"/>
      <c r="J9" s="1474"/>
      <c r="K9" s="1474"/>
      <c r="L9" s="1474"/>
      <c r="M9" s="1474"/>
    </row>
    <row r="10" spans="1:13" x14ac:dyDescent="0.25">
      <c r="A10" s="1474" t="s">
        <v>900</v>
      </c>
      <c r="B10" s="1474"/>
      <c r="C10" s="1474"/>
      <c r="D10" s="1474"/>
      <c r="E10" s="1474"/>
      <c r="F10" s="1474"/>
      <c r="G10" s="1474"/>
      <c r="H10" s="1474"/>
      <c r="I10" s="1474"/>
      <c r="J10" s="1474"/>
      <c r="K10" s="1474"/>
      <c r="L10" s="1474"/>
      <c r="M10" s="1474"/>
    </row>
    <row r="11" spans="1:13" x14ac:dyDescent="0.25">
      <c r="A11" s="1473" t="s">
        <v>404</v>
      </c>
      <c r="B11" s="1473"/>
      <c r="C11" s="1473"/>
      <c r="D11" s="1473"/>
      <c r="E11" s="1473"/>
      <c r="F11" s="1473"/>
      <c r="G11" s="1473"/>
      <c r="H11" s="1473"/>
      <c r="I11" s="1473"/>
      <c r="J11" s="1473"/>
      <c r="K11" s="1473"/>
      <c r="L11" s="1473"/>
      <c r="M11" s="1473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587" t="s">
        <v>7</v>
      </c>
      <c r="B14" s="1587" t="s">
        <v>802</v>
      </c>
      <c r="C14" s="1589" t="s">
        <v>9</v>
      </c>
      <c r="D14" s="1591" t="s">
        <v>11</v>
      </c>
      <c r="E14" s="451" t="s">
        <v>12</v>
      </c>
      <c r="F14" s="1593" t="s">
        <v>13</v>
      </c>
      <c r="G14" s="1597" t="s">
        <v>14</v>
      </c>
      <c r="H14" s="1597" t="s">
        <v>15</v>
      </c>
      <c r="I14" s="1597" t="s">
        <v>16</v>
      </c>
      <c r="J14" s="1597" t="s">
        <v>17</v>
      </c>
      <c r="K14" s="1597" t="s">
        <v>18</v>
      </c>
      <c r="L14" s="1595" t="s">
        <v>19</v>
      </c>
      <c r="M14" s="1600" t="s">
        <v>20</v>
      </c>
    </row>
    <row r="15" spans="1:13" ht="14.25" customHeight="1" thickBot="1" x14ac:dyDescent="0.3">
      <c r="A15" s="1588"/>
      <c r="B15" s="1588"/>
      <c r="C15" s="1590"/>
      <c r="D15" s="1592"/>
      <c r="E15" s="452" t="s">
        <v>21</v>
      </c>
      <c r="F15" s="1594"/>
      <c r="G15" s="1598"/>
      <c r="H15" s="1598"/>
      <c r="I15" s="1598"/>
      <c r="J15" s="1598"/>
      <c r="K15" s="1598"/>
      <c r="L15" s="1596"/>
      <c r="M15" s="1601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604"/>
      <c r="K180" s="1604"/>
      <c r="L180" s="1604"/>
      <c r="M180" s="480"/>
    </row>
    <row r="181" spans="1:13" ht="15" customHeight="1" x14ac:dyDescent="0.25">
      <c r="A181" s="1603" t="s">
        <v>892</v>
      </c>
      <c r="B181" s="1603"/>
      <c r="C181" s="482"/>
      <c r="D181" s="1603"/>
      <c r="E181" s="1603"/>
      <c r="F181" s="1603"/>
      <c r="G181" s="467"/>
      <c r="H181" s="568"/>
      <c r="I181" s="1605"/>
      <c r="J181" s="1605"/>
      <c r="K181" s="1605"/>
      <c r="L181" s="1605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603"/>
      <c r="J182" s="1603"/>
      <c r="K182" s="1603"/>
      <c r="L182" s="1603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606" t="s">
        <v>684</v>
      </c>
      <c r="H184" s="1606"/>
      <c r="I184" s="1606"/>
      <c r="J184" s="1606"/>
      <c r="K184" s="1606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599" t="s">
        <v>895</v>
      </c>
      <c r="H185" s="1599"/>
      <c r="I185" s="1599"/>
      <c r="J185" s="1599"/>
      <c r="K185" s="1599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602" t="s">
        <v>896</v>
      </c>
      <c r="H186" s="1602"/>
      <c r="I186" s="1602"/>
      <c r="J186" s="1602"/>
      <c r="K186" s="1602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474"/>
      <c r="C189" s="1474"/>
      <c r="D189" s="1474"/>
      <c r="E189" s="1474"/>
      <c r="F189" s="1474"/>
      <c r="G189" s="1474"/>
      <c r="H189" s="1474"/>
      <c r="I189" s="1474"/>
      <c r="J189" s="1474"/>
      <c r="K189" s="1474"/>
      <c r="L189" s="1474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473"/>
      <c r="C192" s="1473"/>
      <c r="D192" s="1473"/>
      <c r="E192" s="1473"/>
      <c r="F192" s="1473"/>
      <c r="G192" s="1473"/>
      <c r="H192" s="1473"/>
      <c r="I192" s="1473"/>
      <c r="J192" s="1473"/>
      <c r="K192" s="1473"/>
      <c r="L192" s="1473"/>
      <c r="M192" s="385"/>
    </row>
    <row r="193" spans="2:12" s="213" customFormat="1" x14ac:dyDescent="0.25">
      <c r="B193" s="1443"/>
      <c r="C193" s="1443"/>
      <c r="D193" s="1443"/>
      <c r="E193" s="1443"/>
      <c r="F193" s="1443"/>
      <c r="G193" s="1443"/>
      <c r="H193" s="1443"/>
      <c r="I193" s="1443"/>
      <c r="J193" s="1443"/>
      <c r="K193" s="1443"/>
      <c r="L193" s="1443"/>
    </row>
    <row r="194" spans="2:12" s="213" customFormat="1" x14ac:dyDescent="0.25">
      <c r="B194" s="1454"/>
      <c r="C194" s="1454"/>
      <c r="D194" s="1454"/>
      <c r="E194" s="1454"/>
      <c r="F194" s="1454"/>
      <c r="G194" s="1454"/>
      <c r="H194" s="1454"/>
      <c r="I194" s="1454"/>
      <c r="J194" s="1454"/>
      <c r="K194" s="1454"/>
      <c r="L194" s="1454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  <mergeCell ref="J180:L180"/>
    <mergeCell ref="A181:B181"/>
    <mergeCell ref="D181:F181"/>
    <mergeCell ref="I181:L181"/>
    <mergeCell ref="I182:L182"/>
    <mergeCell ref="B193:L193"/>
    <mergeCell ref="B194:L194"/>
    <mergeCell ref="G184:K184"/>
    <mergeCell ref="G185:K185"/>
    <mergeCell ref="G186:K186"/>
    <mergeCell ref="B189:L189"/>
    <mergeCell ref="B192:L192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474" t="s">
        <v>0</v>
      </c>
      <c r="B7" s="1474"/>
      <c r="C7" s="1474"/>
      <c r="D7" s="1474"/>
      <c r="E7" s="1474"/>
      <c r="F7" s="1474"/>
      <c r="G7" s="1474"/>
      <c r="H7" s="1474"/>
      <c r="I7" s="1474"/>
      <c r="J7" s="1474"/>
      <c r="K7" s="1474"/>
      <c r="L7" s="1474"/>
      <c r="M7" s="1474"/>
      <c r="N7" s="1474"/>
      <c r="O7" s="1474"/>
    </row>
    <row r="8" spans="1:15" x14ac:dyDescent="0.25">
      <c r="A8" s="1474" t="s">
        <v>1</v>
      </c>
      <c r="B8" s="1474"/>
      <c r="C8" s="1474"/>
      <c r="D8" s="1474"/>
      <c r="E8" s="1474"/>
      <c r="F8" s="1474"/>
      <c r="G8" s="1474"/>
      <c r="H8" s="1474"/>
      <c r="I8" s="1474"/>
      <c r="J8" s="1474"/>
      <c r="K8" s="1474"/>
      <c r="L8" s="1474"/>
      <c r="M8" s="1474"/>
      <c r="N8" s="1474"/>
      <c r="O8" s="1474"/>
    </row>
    <row r="9" spans="1:15" x14ac:dyDescent="0.25">
      <c r="A9" s="1474" t="s">
        <v>3</v>
      </c>
      <c r="B9" s="1474"/>
      <c r="C9" s="1474"/>
      <c r="D9" s="1474"/>
      <c r="E9" s="1474"/>
      <c r="F9" s="1474"/>
      <c r="G9" s="1474"/>
      <c r="H9" s="1474"/>
      <c r="I9" s="1474"/>
      <c r="J9" s="1474"/>
      <c r="K9" s="1474"/>
      <c r="L9" s="1474"/>
      <c r="M9" s="1474"/>
      <c r="N9" s="1474"/>
      <c r="O9" s="1474"/>
    </row>
    <row r="10" spans="1:15" x14ac:dyDescent="0.25">
      <c r="A10" s="1474" t="s">
        <v>901</v>
      </c>
      <c r="B10" s="1474"/>
      <c r="C10" s="1474"/>
      <c r="D10" s="1474"/>
      <c r="E10" s="1474"/>
      <c r="F10" s="1474"/>
      <c r="G10" s="1474"/>
      <c r="H10" s="1474"/>
      <c r="I10" s="1474"/>
      <c r="J10" s="1474"/>
      <c r="K10" s="1474"/>
      <c r="L10" s="1474"/>
      <c r="M10" s="1474"/>
      <c r="N10" s="1474"/>
      <c r="O10" s="1474"/>
    </row>
    <row r="11" spans="1:15" x14ac:dyDescent="0.25">
      <c r="A11" s="1614" t="s">
        <v>406</v>
      </c>
      <c r="B11" s="1614"/>
      <c r="C11" s="1614"/>
      <c r="D11" s="1614"/>
      <c r="E11" s="1614"/>
      <c r="F11" s="1614"/>
      <c r="G11" s="1614"/>
      <c r="H11" s="1614"/>
      <c r="I11" s="1614"/>
      <c r="J11" s="1614"/>
      <c r="K11" s="1614"/>
      <c r="L11" s="1614"/>
      <c r="M11" s="1614"/>
      <c r="N11" s="1614"/>
      <c r="O11" s="1614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618" t="s">
        <v>7</v>
      </c>
      <c r="B13" s="1618" t="s">
        <v>802</v>
      </c>
      <c r="C13" s="1630" t="s">
        <v>9</v>
      </c>
      <c r="D13" s="1618" t="s">
        <v>832</v>
      </c>
      <c r="E13" s="1618" t="s">
        <v>834</v>
      </c>
      <c r="F13" s="1618" t="s">
        <v>835</v>
      </c>
      <c r="G13" s="421" t="s">
        <v>12</v>
      </c>
      <c r="H13" s="1619" t="s">
        <v>13</v>
      </c>
      <c r="I13" s="1615" t="s">
        <v>14</v>
      </c>
      <c r="J13" s="1615" t="s">
        <v>15</v>
      </c>
      <c r="K13" s="1615" t="s">
        <v>16</v>
      </c>
      <c r="L13" s="1615" t="s">
        <v>17</v>
      </c>
      <c r="M13" s="1615" t="s">
        <v>18</v>
      </c>
      <c r="N13" s="1615" t="s">
        <v>19</v>
      </c>
      <c r="O13" s="1615" t="s">
        <v>20</v>
      </c>
    </row>
    <row r="14" spans="1:15" x14ac:dyDescent="0.25">
      <c r="A14" s="1618"/>
      <c r="B14" s="1618"/>
      <c r="C14" s="1630"/>
      <c r="D14" s="1618"/>
      <c r="E14" s="1618"/>
      <c r="F14" s="1618"/>
      <c r="G14" s="421" t="s">
        <v>21</v>
      </c>
      <c r="H14" s="1619"/>
      <c r="I14" s="1615"/>
      <c r="J14" s="1615"/>
      <c r="K14" s="1615"/>
      <c r="L14" s="1615"/>
      <c r="M14" s="1615"/>
      <c r="N14" s="1615"/>
      <c r="O14" s="1615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610" t="s">
        <v>684</v>
      </c>
      <c r="H50" s="1610"/>
      <c r="I50" s="1610"/>
      <c r="J50" s="1610"/>
      <c r="K50" s="1610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607" t="s">
        <v>852</v>
      </c>
      <c r="H51" s="1607"/>
      <c r="I51" s="1607"/>
      <c r="J51" s="1607"/>
      <c r="K51" s="1607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608" t="s">
        <v>853</v>
      </c>
      <c r="H52" s="1608"/>
      <c r="I52" s="1608"/>
      <c r="J52" s="1608"/>
      <c r="K52" s="1608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50:K50"/>
    <mergeCell ref="F13:F14"/>
    <mergeCell ref="H13:H14"/>
    <mergeCell ref="I13:I14"/>
    <mergeCell ref="J13:J14"/>
    <mergeCell ref="K13:K14"/>
    <mergeCell ref="G51:K51"/>
    <mergeCell ref="G52:K52"/>
    <mergeCell ref="L13:L14"/>
    <mergeCell ref="M13:M14"/>
    <mergeCell ref="N13:N14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474" t="s">
        <v>0</v>
      </c>
      <c r="B7" s="1474"/>
      <c r="C7" s="1474"/>
      <c r="D7" s="1474"/>
      <c r="E7" s="1474"/>
      <c r="F7" s="1474"/>
      <c r="G7" s="1474"/>
      <c r="H7" s="1474"/>
      <c r="I7" s="1474"/>
      <c r="J7" s="1474"/>
      <c r="K7" s="1474"/>
      <c r="L7" s="1474"/>
      <c r="M7" s="1474"/>
      <c r="N7" s="1474"/>
      <c r="O7" s="1474"/>
    </row>
    <row r="8" spans="1:15" x14ac:dyDescent="0.25">
      <c r="A8" s="1474" t="s">
        <v>1</v>
      </c>
      <c r="B8" s="1474"/>
      <c r="C8" s="1474"/>
      <c r="D8" s="1474"/>
      <c r="E8" s="1474"/>
      <c r="F8" s="1474"/>
      <c r="G8" s="1474"/>
      <c r="H8" s="1474"/>
      <c r="I8" s="1474"/>
      <c r="J8" s="1474"/>
      <c r="K8" s="1474"/>
      <c r="L8" s="1474"/>
      <c r="M8" s="1474"/>
      <c r="N8" s="1474"/>
      <c r="O8" s="1474"/>
    </row>
    <row r="9" spans="1:15" x14ac:dyDescent="0.25">
      <c r="A9" s="1474" t="s">
        <v>3</v>
      </c>
      <c r="B9" s="1474"/>
      <c r="C9" s="1474"/>
      <c r="D9" s="1474"/>
      <c r="E9" s="1474"/>
      <c r="F9" s="1474"/>
      <c r="G9" s="1474"/>
      <c r="H9" s="1474"/>
      <c r="I9" s="1474"/>
      <c r="J9" s="1474"/>
      <c r="K9" s="1474"/>
      <c r="L9" s="1474"/>
      <c r="M9" s="1474"/>
      <c r="N9" s="1474"/>
      <c r="O9" s="1474"/>
    </row>
    <row r="10" spans="1:15" x14ac:dyDescent="0.25">
      <c r="A10" s="1474" t="s">
        <v>903</v>
      </c>
      <c r="B10" s="1474"/>
      <c r="C10" s="1474"/>
      <c r="D10" s="1474"/>
      <c r="E10" s="1474"/>
      <c r="F10" s="1474"/>
      <c r="G10" s="1474"/>
      <c r="H10" s="1474"/>
      <c r="I10" s="1474"/>
      <c r="J10" s="1474"/>
      <c r="K10" s="1474"/>
      <c r="L10" s="1474"/>
      <c r="M10" s="1474"/>
      <c r="N10" s="1474"/>
      <c r="O10" s="1474"/>
    </row>
    <row r="11" spans="1:15" x14ac:dyDescent="0.25">
      <c r="A11" s="1614" t="s">
        <v>441</v>
      </c>
      <c r="B11" s="1614"/>
      <c r="C11" s="1614"/>
      <c r="D11" s="1614"/>
      <c r="E11" s="1614"/>
      <c r="F11" s="1614"/>
      <c r="G11" s="1614"/>
      <c r="H11" s="1614"/>
      <c r="I11" s="1614"/>
      <c r="J11" s="1614"/>
      <c r="K11" s="1614"/>
      <c r="L11" s="1614"/>
      <c r="M11" s="1614"/>
      <c r="N11" s="1614"/>
      <c r="O11" s="1614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611" t="s">
        <v>7</v>
      </c>
      <c r="B13" s="1611" t="s">
        <v>802</v>
      </c>
      <c r="C13" s="1613" t="s">
        <v>9</v>
      </c>
      <c r="D13" s="1611" t="s">
        <v>832</v>
      </c>
      <c r="E13" s="1611" t="s">
        <v>834</v>
      </c>
      <c r="F13" s="1611" t="s">
        <v>835</v>
      </c>
      <c r="G13" s="476" t="s">
        <v>12</v>
      </c>
      <c r="H13" s="1612" t="s">
        <v>13</v>
      </c>
      <c r="I13" s="1609" t="s">
        <v>14</v>
      </c>
      <c r="J13" s="1609" t="s">
        <v>15</v>
      </c>
      <c r="K13" s="1609" t="s">
        <v>16</v>
      </c>
      <c r="L13" s="1609" t="s">
        <v>17</v>
      </c>
      <c r="M13" s="1609" t="s">
        <v>18</v>
      </c>
      <c r="N13" s="1609" t="s">
        <v>19</v>
      </c>
      <c r="O13" s="1609" t="s">
        <v>20</v>
      </c>
    </row>
    <row r="14" spans="1:15" x14ac:dyDescent="0.25">
      <c r="A14" s="1611"/>
      <c r="B14" s="1611"/>
      <c r="C14" s="1613"/>
      <c r="D14" s="1611"/>
      <c r="E14" s="1611"/>
      <c r="F14" s="1611"/>
      <c r="G14" s="476" t="s">
        <v>21</v>
      </c>
      <c r="H14" s="1612"/>
      <c r="I14" s="1609"/>
      <c r="J14" s="1609"/>
      <c r="K14" s="1609"/>
      <c r="L14" s="1609"/>
      <c r="M14" s="1609"/>
      <c r="N14" s="1609"/>
      <c r="O14" s="1609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610" t="s">
        <v>684</v>
      </c>
      <c r="H61" s="1610"/>
      <c r="I61" s="1610"/>
      <c r="J61" s="1610"/>
      <c r="K61" s="1610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607" t="s">
        <v>887</v>
      </c>
      <c r="H62" s="1607"/>
      <c r="I62" s="1607"/>
      <c r="J62" s="1607"/>
      <c r="K62" s="1607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608" t="s">
        <v>853</v>
      </c>
      <c r="H63" s="1608"/>
      <c r="I63" s="1608"/>
      <c r="J63" s="1608"/>
      <c r="K63" s="1608"/>
      <c r="L63" s="486"/>
      <c r="M63" s="486"/>
      <c r="N63" s="467"/>
      <c r="O63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1:K61"/>
    <mergeCell ref="F13:F14"/>
    <mergeCell ref="H13:H14"/>
    <mergeCell ref="I13:I14"/>
    <mergeCell ref="J13:J14"/>
    <mergeCell ref="K13:K14"/>
    <mergeCell ref="G62:K62"/>
    <mergeCell ref="G63:K63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443" t="s">
        <v>0</v>
      </c>
      <c r="B7" s="1443"/>
      <c r="C7" s="1443"/>
      <c r="D7" s="1443"/>
      <c r="E7" s="1443"/>
      <c r="F7" s="1443"/>
      <c r="G7" s="1443"/>
      <c r="H7" s="1443"/>
      <c r="I7" s="1443"/>
      <c r="J7" s="1443"/>
      <c r="K7" s="1443"/>
      <c r="L7" s="1443"/>
      <c r="M7" s="1443"/>
    </row>
    <row r="8" spans="1:13" x14ac:dyDescent="0.25">
      <c r="A8" s="1443" t="s">
        <v>1</v>
      </c>
      <c r="B8" s="1443"/>
      <c r="C8" s="1443"/>
      <c r="D8" s="1443"/>
      <c r="E8" s="1443"/>
      <c r="F8" s="1443"/>
      <c r="G8" s="1443"/>
      <c r="H8" s="1443"/>
      <c r="I8" s="1443"/>
      <c r="J8" s="1443"/>
      <c r="K8" s="1443"/>
      <c r="L8" s="1443"/>
      <c r="M8" s="1443"/>
    </row>
    <row r="9" spans="1:13" x14ac:dyDescent="0.25">
      <c r="A9" s="1443" t="s">
        <v>3</v>
      </c>
      <c r="B9" s="1443"/>
      <c r="C9" s="1443"/>
      <c r="D9" s="1443"/>
      <c r="E9" s="1443"/>
      <c r="F9" s="1443"/>
      <c r="G9" s="1443"/>
      <c r="H9" s="1443"/>
      <c r="I9" s="1443"/>
      <c r="J9" s="1443"/>
      <c r="K9" s="1443"/>
      <c r="L9" s="1443"/>
      <c r="M9" s="1443"/>
    </row>
    <row r="10" spans="1:13" x14ac:dyDescent="0.25">
      <c r="A10" s="1443" t="s">
        <v>906</v>
      </c>
      <c r="B10" s="1443"/>
      <c r="C10" s="1443"/>
      <c r="D10" s="1443"/>
      <c r="E10" s="1443"/>
      <c r="F10" s="1443"/>
      <c r="G10" s="1443"/>
      <c r="H10" s="1443"/>
      <c r="I10" s="1443"/>
      <c r="J10" s="1443"/>
      <c r="K10" s="1443"/>
      <c r="L10" s="1443"/>
      <c r="M10" s="1443"/>
    </row>
    <row r="11" spans="1:13" x14ac:dyDescent="0.25">
      <c r="A11" s="1442" t="s">
        <v>412</v>
      </c>
      <c r="B11" s="1442"/>
      <c r="C11" s="1442"/>
      <c r="D11" s="1442"/>
      <c r="E11" s="1442"/>
      <c r="F11" s="1442"/>
      <c r="G11" s="1442"/>
      <c r="H11" s="1442"/>
      <c r="I11" s="1442"/>
      <c r="J11" s="1442"/>
      <c r="K11" s="1442"/>
      <c r="L11" s="1442"/>
      <c r="M11" s="1442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618" t="s">
        <v>7</v>
      </c>
      <c r="B13" s="1618" t="s">
        <v>802</v>
      </c>
      <c r="C13" s="1618" t="s">
        <v>9</v>
      </c>
      <c r="D13" s="1618" t="s">
        <v>832</v>
      </c>
      <c r="E13" s="421" t="s">
        <v>12</v>
      </c>
      <c r="F13" s="1619" t="s">
        <v>13</v>
      </c>
      <c r="G13" s="1615" t="s">
        <v>14</v>
      </c>
      <c r="H13" s="1615" t="s">
        <v>15</v>
      </c>
      <c r="I13" s="1615" t="s">
        <v>16</v>
      </c>
      <c r="J13" s="1615" t="s">
        <v>17</v>
      </c>
      <c r="K13" s="1615" t="s">
        <v>18</v>
      </c>
      <c r="L13" s="1615" t="s">
        <v>19</v>
      </c>
      <c r="M13" s="1615" t="s">
        <v>20</v>
      </c>
    </row>
    <row r="14" spans="1:13" x14ac:dyDescent="0.25">
      <c r="A14" s="1618"/>
      <c r="B14" s="1618"/>
      <c r="C14" s="1618"/>
      <c r="D14" s="1618"/>
      <c r="E14" s="421" t="s">
        <v>21</v>
      </c>
      <c r="F14" s="1619"/>
      <c r="G14" s="1615"/>
      <c r="H14" s="1615"/>
      <c r="I14" s="1615"/>
      <c r="J14" s="1615"/>
      <c r="K14" s="1615"/>
      <c r="L14" s="1615"/>
      <c r="M14" s="1615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454" t="s">
        <v>684</v>
      </c>
      <c r="H26" s="1454"/>
      <c r="I26" s="1454"/>
      <c r="J26" s="1454"/>
      <c r="K26" s="1454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616" t="s">
        <v>852</v>
      </c>
      <c r="H27" s="1616"/>
      <c r="I27" s="1616"/>
      <c r="J27" s="1616"/>
      <c r="K27" s="1616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617" t="s">
        <v>853</v>
      </c>
      <c r="H28" s="1617"/>
      <c r="I28" s="1617"/>
      <c r="J28" s="1617"/>
      <c r="K28" s="1617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584" t="s">
        <v>0</v>
      </c>
      <c r="B7" s="1584"/>
      <c r="C7" s="1584"/>
      <c r="D7" s="1584"/>
      <c r="E7" s="1584"/>
      <c r="F7" s="1584"/>
      <c r="G7" s="1584"/>
      <c r="H7" s="1584"/>
      <c r="I7" s="1584"/>
      <c r="J7" s="1584"/>
      <c r="K7" s="1584"/>
      <c r="L7" s="1584"/>
      <c r="M7" s="1584"/>
      <c r="N7" s="1584"/>
    </row>
    <row r="8" spans="1:14" ht="15.75" x14ac:dyDescent="0.25">
      <c r="A8" s="1584" t="s">
        <v>1</v>
      </c>
      <c r="B8" s="1584"/>
      <c r="C8" s="1584"/>
      <c r="D8" s="1584"/>
      <c r="E8" s="1584"/>
      <c r="F8" s="1584"/>
      <c r="G8" s="1584"/>
      <c r="H8" s="1584"/>
      <c r="I8" s="1584"/>
      <c r="J8" s="1584"/>
      <c r="K8" s="1584"/>
      <c r="L8" s="1584"/>
      <c r="M8" s="1584"/>
      <c r="N8" s="1584"/>
    </row>
    <row r="9" spans="1:14" ht="15.75" x14ac:dyDescent="0.25">
      <c r="A9" s="1584" t="s">
        <v>3</v>
      </c>
      <c r="B9" s="1584"/>
      <c r="C9" s="1584"/>
      <c r="D9" s="1584"/>
      <c r="E9" s="1584"/>
      <c r="F9" s="1584"/>
      <c r="G9" s="1584"/>
      <c r="H9" s="1584"/>
      <c r="I9" s="1584"/>
      <c r="J9" s="1584"/>
      <c r="K9" s="1584"/>
      <c r="L9" s="1584"/>
      <c r="M9" s="1584"/>
      <c r="N9" s="1584"/>
    </row>
    <row r="10" spans="1:14" ht="15.75" x14ac:dyDescent="0.25">
      <c r="A10" s="1584" t="s">
        <v>907</v>
      </c>
      <c r="B10" s="1584"/>
      <c r="C10" s="1584"/>
      <c r="D10" s="1584"/>
      <c r="E10" s="1584"/>
      <c r="F10" s="1584"/>
      <c r="G10" s="1584"/>
      <c r="H10" s="1584"/>
      <c r="I10" s="1584"/>
      <c r="J10" s="1584"/>
      <c r="K10" s="1584"/>
      <c r="L10" s="1584"/>
      <c r="M10" s="1584"/>
      <c r="N10" s="1584"/>
    </row>
    <row r="11" spans="1:14" ht="15.75" x14ac:dyDescent="0.25">
      <c r="A11" s="1549" t="s">
        <v>5</v>
      </c>
      <c r="B11" s="1549"/>
      <c r="C11" s="1549"/>
      <c r="D11" s="1549"/>
      <c r="E11" s="1549"/>
      <c r="F11" s="1549"/>
      <c r="G11" s="1549"/>
      <c r="H11" s="1549"/>
      <c r="I11" s="1549"/>
      <c r="J11" s="1549"/>
      <c r="K11" s="1549"/>
      <c r="L11" s="1549"/>
      <c r="M11" s="1549"/>
      <c r="N11" s="1549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611" t="s">
        <v>7</v>
      </c>
      <c r="B13" s="1611" t="s">
        <v>802</v>
      </c>
      <c r="C13" s="1620" t="s">
        <v>8</v>
      </c>
      <c r="D13" s="1620" t="s">
        <v>10</v>
      </c>
      <c r="E13" s="1620" t="s">
        <v>11</v>
      </c>
      <c r="F13" s="476" t="s">
        <v>12</v>
      </c>
      <c r="G13" s="1622" t="s">
        <v>13</v>
      </c>
      <c r="H13" s="1620" t="s">
        <v>14</v>
      </c>
      <c r="I13" s="1620" t="s">
        <v>15</v>
      </c>
      <c r="J13" s="1620" t="s">
        <v>16</v>
      </c>
      <c r="K13" s="1620" t="s">
        <v>17</v>
      </c>
      <c r="L13" s="1620" t="s">
        <v>18</v>
      </c>
      <c r="M13" s="1620" t="s">
        <v>19</v>
      </c>
      <c r="N13" s="1611" t="s">
        <v>20</v>
      </c>
    </row>
    <row r="14" spans="1:14" x14ac:dyDescent="0.25">
      <c r="A14" s="1611"/>
      <c r="B14" s="1611"/>
      <c r="C14" s="1621"/>
      <c r="D14" s="1621"/>
      <c r="E14" s="1621"/>
      <c r="F14" s="476" t="s">
        <v>21</v>
      </c>
      <c r="G14" s="1623"/>
      <c r="H14" s="1621"/>
      <c r="I14" s="1621"/>
      <c r="J14" s="1621"/>
      <c r="K14" s="1621"/>
      <c r="L14" s="1621"/>
      <c r="M14" s="1621"/>
      <c r="N14" s="161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553" t="s">
        <v>854</v>
      </c>
      <c r="I31" s="1553"/>
      <c r="J31" s="1553"/>
      <c r="K31" s="1553"/>
      <c r="L31" s="1553"/>
      <c r="M31" s="1553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551" t="s">
        <v>852</v>
      </c>
      <c r="I32" s="1551"/>
      <c r="J32" s="1551"/>
      <c r="K32" s="1551"/>
      <c r="L32" s="1551"/>
      <c r="M32" s="1551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552" t="s">
        <v>853</v>
      </c>
      <c r="I33" s="1552"/>
      <c r="J33" s="1552"/>
      <c r="K33" s="1552"/>
      <c r="L33" s="1552"/>
      <c r="M33" s="1552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550"/>
      <c r="J34" s="1550"/>
      <c r="K34" s="1550"/>
      <c r="L34" s="1550"/>
      <c r="M34" s="1550"/>
      <c r="N34" s="1550"/>
    </row>
    <row r="35" spans="1:14" ht="15.75" x14ac:dyDescent="0.25">
      <c r="A35" s="267"/>
      <c r="B35" s="267"/>
      <c r="C35" s="268"/>
      <c r="D35" s="268"/>
      <c r="E35" s="268"/>
      <c r="F35" s="269"/>
      <c r="G35" s="1549"/>
      <c r="H35" s="1549"/>
      <c r="I35" s="1549"/>
      <c r="J35" s="1549"/>
      <c r="K35" s="1549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550"/>
      <c r="H36" s="1550"/>
      <c r="I36" s="1550"/>
      <c r="J36" s="1550"/>
      <c r="K36" s="1550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530"/>
      <c r="H37" s="1530"/>
      <c r="I37" s="1530"/>
      <c r="J37" s="1530"/>
      <c r="K37" s="1530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454"/>
      <c r="B41" s="1454"/>
      <c r="C41" s="1454"/>
      <c r="D41" s="1454"/>
      <c r="E41" s="1454"/>
      <c r="F41" s="1454"/>
      <c r="G41" s="1454"/>
      <c r="H41" s="1454"/>
      <c r="I41" s="1454"/>
      <c r="J41" s="1454"/>
      <c r="K41" s="1454"/>
      <c r="L41" s="1454"/>
      <c r="M41" s="1454"/>
      <c r="N41" s="1454"/>
    </row>
    <row r="42" spans="1:14" x14ac:dyDescent="0.25">
      <c r="A42" s="1443"/>
      <c r="B42" s="1443"/>
      <c r="C42" s="1443"/>
      <c r="D42" s="1443"/>
      <c r="E42" s="1443"/>
      <c r="F42" s="1443"/>
      <c r="G42" s="1443"/>
      <c r="H42" s="1443"/>
      <c r="I42" s="1443"/>
      <c r="J42" s="1443"/>
      <c r="K42" s="1443"/>
      <c r="L42" s="1443"/>
      <c r="M42" s="1443"/>
      <c r="N42" s="1443"/>
    </row>
    <row r="43" spans="1:14" x14ac:dyDescent="0.25">
      <c r="A43" s="1454"/>
      <c r="B43" s="1454"/>
      <c r="C43" s="1454"/>
      <c r="D43" s="1454"/>
      <c r="E43" s="1454"/>
      <c r="F43" s="1454"/>
      <c r="G43" s="1454"/>
      <c r="H43" s="1454"/>
      <c r="I43" s="1454"/>
      <c r="J43" s="1454"/>
      <c r="K43" s="1454"/>
      <c r="L43" s="1454"/>
      <c r="M43" s="1454"/>
      <c r="N43" s="1454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1:13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6" t="s">
        <v>908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1:13" x14ac:dyDescent="0.25">
      <c r="A10" s="1557" t="s">
        <v>870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  <c r="M10" s="1557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611" t="s">
        <v>7</v>
      </c>
      <c r="B12" s="1611" t="s">
        <v>802</v>
      </c>
      <c r="C12" s="1611" t="s">
        <v>9</v>
      </c>
      <c r="D12" s="1611" t="s">
        <v>832</v>
      </c>
      <c r="E12" s="390" t="s">
        <v>12</v>
      </c>
      <c r="F12" s="1586" t="s">
        <v>13</v>
      </c>
      <c r="G12" s="1585" t="s">
        <v>14</v>
      </c>
      <c r="H12" s="1585" t="s">
        <v>15</v>
      </c>
      <c r="I12" s="1585" t="s">
        <v>16</v>
      </c>
      <c r="J12" s="1585" t="s">
        <v>17</v>
      </c>
      <c r="K12" s="1585" t="s">
        <v>18</v>
      </c>
      <c r="L12" s="1585" t="s">
        <v>19</v>
      </c>
      <c r="M12" s="1585" t="s">
        <v>20</v>
      </c>
    </row>
    <row r="13" spans="1:13" ht="16.5" customHeight="1" x14ac:dyDescent="0.25">
      <c r="A13" s="1611"/>
      <c r="B13" s="1611"/>
      <c r="C13" s="1611"/>
      <c r="D13" s="1611"/>
      <c r="E13" s="390" t="s">
        <v>21</v>
      </c>
      <c r="F13" s="1586"/>
      <c r="G13" s="1585"/>
      <c r="H13" s="1585"/>
      <c r="I13" s="1585"/>
      <c r="J13" s="1585"/>
      <c r="K13" s="1585"/>
      <c r="L13" s="1585"/>
      <c r="M13" s="1585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624" t="s">
        <v>854</v>
      </c>
      <c r="H21" s="1624"/>
      <c r="I21" s="1624"/>
      <c r="J21" s="1624"/>
      <c r="K21" s="1624"/>
      <c r="L21" s="1624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551" t="s">
        <v>852</v>
      </c>
      <c r="H22" s="1551"/>
      <c r="I22" s="1551"/>
      <c r="J22" s="1551"/>
      <c r="K22" s="1551"/>
      <c r="L22" s="1551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552" t="s">
        <v>853</v>
      </c>
      <c r="H23" s="1552"/>
      <c r="I23" s="1552"/>
      <c r="J23" s="1552"/>
      <c r="K23" s="1552"/>
      <c r="L23" s="1552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625"/>
      <c r="I24" s="1625"/>
      <c r="J24" s="1625"/>
      <c r="K24" s="1625"/>
      <c r="L24" s="1625"/>
      <c r="M24" s="1625"/>
    </row>
    <row r="25" spans="1:13" x14ac:dyDescent="0.25">
      <c r="A25" s="531"/>
      <c r="B25" s="531"/>
      <c r="C25" s="259"/>
      <c r="D25" s="259"/>
      <c r="E25" s="269"/>
      <c r="F25" s="1552"/>
      <c r="G25" s="1552"/>
      <c r="H25" s="1552"/>
      <c r="I25" s="1552"/>
      <c r="J25" s="1552"/>
      <c r="K25" s="271"/>
      <c r="L25" s="271"/>
      <c r="M25" s="259"/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1:13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6" t="s">
        <v>909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1:13" x14ac:dyDescent="0.25">
      <c r="A10" s="1557" t="s">
        <v>886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  <c r="M10" s="1557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611" t="s">
        <v>7</v>
      </c>
      <c r="B12" s="1611" t="s">
        <v>802</v>
      </c>
      <c r="C12" s="1611" t="s">
        <v>9</v>
      </c>
      <c r="D12" s="1611" t="s">
        <v>832</v>
      </c>
      <c r="E12" s="390" t="s">
        <v>12</v>
      </c>
      <c r="F12" s="1586" t="s">
        <v>13</v>
      </c>
      <c r="G12" s="1585" t="s">
        <v>14</v>
      </c>
      <c r="H12" s="1585" t="s">
        <v>15</v>
      </c>
      <c r="I12" s="1585" t="s">
        <v>16</v>
      </c>
      <c r="J12" s="1585" t="s">
        <v>17</v>
      </c>
      <c r="K12" s="1585" t="s">
        <v>18</v>
      </c>
      <c r="L12" s="1585" t="s">
        <v>19</v>
      </c>
      <c r="M12" s="1585" t="s">
        <v>20</v>
      </c>
    </row>
    <row r="13" spans="1:13" ht="16.5" customHeight="1" x14ac:dyDescent="0.25">
      <c r="A13" s="1611"/>
      <c r="B13" s="1611"/>
      <c r="C13" s="1611"/>
      <c r="D13" s="1611"/>
      <c r="E13" s="390" t="s">
        <v>21</v>
      </c>
      <c r="F13" s="1586"/>
      <c r="G13" s="1585"/>
      <c r="H13" s="1585"/>
      <c r="I13" s="1585"/>
      <c r="J13" s="1585"/>
      <c r="K13" s="1585"/>
      <c r="L13" s="1585"/>
      <c r="M13" s="1585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626" t="s">
        <v>854</v>
      </c>
      <c r="H21" s="1626"/>
      <c r="I21" s="1626"/>
      <c r="J21" s="1626"/>
      <c r="K21" s="1626"/>
      <c r="L21" s="1626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627" t="s">
        <v>852</v>
      </c>
      <c r="H22" s="1627"/>
      <c r="I22" s="1627"/>
      <c r="J22" s="1627"/>
      <c r="K22" s="1627"/>
      <c r="L22" s="1627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628" t="s">
        <v>853</v>
      </c>
      <c r="H23" s="1628"/>
      <c r="I23" s="1628"/>
      <c r="J23" s="1628"/>
      <c r="K23" s="1628"/>
      <c r="L23" s="1628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629"/>
      <c r="I24" s="1629"/>
      <c r="J24" s="1629"/>
      <c r="K24" s="1629"/>
      <c r="L24" s="1629"/>
      <c r="M24" s="1629"/>
    </row>
    <row r="25" spans="1:13" ht="15.75" x14ac:dyDescent="0.25">
      <c r="A25" s="267"/>
      <c r="B25" s="267"/>
      <c r="C25" s="268"/>
      <c r="D25" s="268"/>
      <c r="E25" s="269"/>
      <c r="F25" s="1549"/>
      <c r="G25" s="1549"/>
      <c r="H25" s="1549"/>
      <c r="I25" s="1549"/>
      <c r="J25" s="1549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556" t="s">
        <v>0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6" t="s">
        <v>911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</row>
    <row r="11" spans="1:12" x14ac:dyDescent="0.25">
      <c r="A11" s="1557" t="s">
        <v>404</v>
      </c>
      <c r="B11" s="1557"/>
      <c r="C11" s="1557"/>
      <c r="D11" s="1557"/>
      <c r="E11" s="1557"/>
      <c r="F11" s="1557"/>
      <c r="G11" s="1557"/>
      <c r="H11" s="1557"/>
      <c r="I11" s="1557"/>
      <c r="J11" s="1557"/>
      <c r="K11" s="1557"/>
      <c r="L11" s="1557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87" t="s">
        <v>7</v>
      </c>
      <c r="B14" s="1587" t="s">
        <v>802</v>
      </c>
      <c r="C14" s="1589" t="s">
        <v>9</v>
      </c>
      <c r="D14" s="451" t="s">
        <v>12</v>
      </c>
      <c r="E14" s="1593" t="s">
        <v>13</v>
      </c>
      <c r="F14" s="1597" t="s">
        <v>14</v>
      </c>
      <c r="G14" s="1597" t="s">
        <v>15</v>
      </c>
      <c r="H14" s="1597" t="s">
        <v>16</v>
      </c>
      <c r="I14" s="1597" t="s">
        <v>17</v>
      </c>
      <c r="J14" s="1597" t="s">
        <v>18</v>
      </c>
      <c r="K14" s="1595" t="s">
        <v>19</v>
      </c>
      <c r="L14" s="1600" t="s">
        <v>20</v>
      </c>
    </row>
    <row r="15" spans="1:12" ht="15.75" thickBot="1" x14ac:dyDescent="0.3">
      <c r="A15" s="1588"/>
      <c r="B15" s="1588"/>
      <c r="C15" s="1590"/>
      <c r="D15" s="452" t="s">
        <v>21</v>
      </c>
      <c r="E15" s="1594"/>
      <c r="F15" s="1598"/>
      <c r="G15" s="1598"/>
      <c r="H15" s="1598"/>
      <c r="I15" s="1598"/>
      <c r="J15" s="1598"/>
      <c r="K15" s="1596"/>
      <c r="L15" s="1601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632" t="s">
        <v>854</v>
      </c>
      <c r="I187" s="1632"/>
      <c r="J187" s="1632"/>
      <c r="K187" s="1632"/>
      <c r="L187" s="1632"/>
      <c r="M187" s="1632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633" t="s">
        <v>939</v>
      </c>
      <c r="I188" s="1633"/>
      <c r="J188" s="1633"/>
      <c r="K188" s="1633"/>
      <c r="L188" s="1633"/>
      <c r="M188" s="1633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631" t="s">
        <v>938</v>
      </c>
      <c r="I189" s="1631"/>
      <c r="J189" s="1631"/>
      <c r="K189" s="1631"/>
      <c r="L189" s="1631"/>
      <c r="M189" s="1631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629"/>
      <c r="J190" s="1629"/>
      <c r="K190" s="1629"/>
      <c r="L190" s="1629"/>
      <c r="M190" s="1629"/>
      <c r="N190" s="1629"/>
    </row>
    <row r="191" spans="1:14" ht="15.75" x14ac:dyDescent="0.25">
      <c r="A191" s="267"/>
      <c r="B191" s="308"/>
      <c r="C191" s="267"/>
      <c r="D191" s="268"/>
      <c r="E191" s="268"/>
      <c r="F191" s="269"/>
      <c r="G191" s="1549"/>
      <c r="H191" s="1549"/>
      <c r="I191" s="1549"/>
      <c r="J191" s="1549"/>
      <c r="K191" s="1549"/>
      <c r="L191" s="271"/>
      <c r="M191" s="271"/>
      <c r="N191" s="259"/>
    </row>
  </sheetData>
  <mergeCells count="20"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556" t="s">
        <v>0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  <c r="N9" s="1556"/>
      <c r="O9" s="1556"/>
    </row>
    <row r="10" spans="1:15" x14ac:dyDescent="0.25">
      <c r="A10" s="1556" t="s">
        <v>916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  <c r="M10" s="1556"/>
      <c r="N10" s="1556"/>
      <c r="O10" s="1556"/>
    </row>
    <row r="11" spans="1:15" x14ac:dyDescent="0.25">
      <c r="A11" s="1634" t="s">
        <v>406</v>
      </c>
      <c r="B11" s="1634"/>
      <c r="C11" s="1634"/>
      <c r="D11" s="1634"/>
      <c r="E11" s="1634"/>
      <c r="F11" s="1634"/>
      <c r="G11" s="1634"/>
      <c r="H11" s="1634"/>
      <c r="I11" s="1634"/>
      <c r="J11" s="1634"/>
      <c r="K11" s="1634"/>
      <c r="L11" s="1634"/>
      <c r="M11" s="1634"/>
      <c r="N11" s="1634"/>
      <c r="O11" s="1634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611" t="s">
        <v>7</v>
      </c>
      <c r="B13" s="1635" t="s">
        <v>937</v>
      </c>
      <c r="C13" s="1613" t="s">
        <v>9</v>
      </c>
      <c r="D13" s="1618" t="s">
        <v>832</v>
      </c>
      <c r="E13" s="1618" t="s">
        <v>834</v>
      </c>
      <c r="F13" s="1618" t="s">
        <v>835</v>
      </c>
      <c r="G13" s="476" t="s">
        <v>12</v>
      </c>
      <c r="H13" s="1612" t="s">
        <v>13</v>
      </c>
      <c r="I13" s="1609" t="s">
        <v>14</v>
      </c>
      <c r="J13" s="1609" t="s">
        <v>15</v>
      </c>
      <c r="K13" s="1609" t="s">
        <v>16</v>
      </c>
      <c r="L13" s="1609" t="s">
        <v>17</v>
      </c>
      <c r="M13" s="1609" t="s">
        <v>18</v>
      </c>
      <c r="N13" s="1609" t="s">
        <v>19</v>
      </c>
      <c r="O13" s="1609" t="s">
        <v>20</v>
      </c>
    </row>
    <row r="14" spans="1:15" x14ac:dyDescent="0.25">
      <c r="A14" s="1611"/>
      <c r="B14" s="1636"/>
      <c r="C14" s="1613"/>
      <c r="D14" s="1618"/>
      <c r="E14" s="1618"/>
      <c r="F14" s="1618"/>
      <c r="G14" s="476" t="s">
        <v>21</v>
      </c>
      <c r="H14" s="1612"/>
      <c r="I14" s="1609"/>
      <c r="J14" s="1609"/>
      <c r="K14" s="1609"/>
      <c r="L14" s="1609"/>
      <c r="M14" s="1609"/>
      <c r="N14" s="1609"/>
      <c r="O14" s="1609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626" t="s">
        <v>854</v>
      </c>
      <c r="L47" s="1626"/>
      <c r="M47" s="1626"/>
      <c r="N47" s="1626"/>
      <c r="O47" s="1626"/>
      <c r="P47" s="1626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627" t="s">
        <v>852</v>
      </c>
      <c r="L48" s="1627"/>
      <c r="M48" s="1627"/>
      <c r="N48" s="1627"/>
      <c r="O48" s="1627"/>
      <c r="P48" s="1627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628" t="s">
        <v>853</v>
      </c>
      <c r="L49" s="1628"/>
      <c r="M49" s="1628"/>
      <c r="N49" s="1628"/>
      <c r="O49" s="1628"/>
      <c r="P49" s="1628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629"/>
      <c r="M50" s="1629"/>
      <c r="N50" s="1629"/>
      <c r="O50" s="1629"/>
      <c r="P50" s="1629"/>
      <c r="Q50" s="1629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549"/>
      <c r="K51" s="1549"/>
      <c r="L51" s="1549"/>
      <c r="M51" s="1549"/>
      <c r="N51" s="1549"/>
      <c r="O51" s="271"/>
      <c r="P51" s="271"/>
      <c r="Q51" s="259"/>
    </row>
  </sheetData>
  <mergeCells count="24"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  <mergeCell ref="A13:A14"/>
    <mergeCell ref="I13:I14"/>
    <mergeCell ref="J13:J14"/>
    <mergeCell ref="A7:O7"/>
    <mergeCell ref="A8:O8"/>
    <mergeCell ref="A9:O9"/>
    <mergeCell ref="A10:O10"/>
    <mergeCell ref="A11:O11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556" t="s">
        <v>0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1:13" x14ac:dyDescent="0.25">
      <c r="A10" s="1556" t="s">
        <v>922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  <c r="M10" s="1556"/>
    </row>
    <row r="11" spans="1:13" x14ac:dyDescent="0.25">
      <c r="A11" s="1634" t="s">
        <v>441</v>
      </c>
      <c r="B11" s="1634"/>
      <c r="C11" s="1634"/>
      <c r="D11" s="1634"/>
      <c r="E11" s="1634"/>
      <c r="F11" s="1634"/>
      <c r="G11" s="1634"/>
      <c r="H11" s="1634"/>
      <c r="I11" s="1634"/>
      <c r="J11" s="1634"/>
      <c r="K11" s="1634"/>
      <c r="L11" s="1634"/>
      <c r="M11" s="163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611" t="s">
        <v>7</v>
      </c>
      <c r="B13" s="1635" t="s">
        <v>937</v>
      </c>
      <c r="C13" s="1613" t="s">
        <v>9</v>
      </c>
      <c r="D13" s="1611" t="s">
        <v>832</v>
      </c>
      <c r="E13" s="476" t="s">
        <v>12</v>
      </c>
      <c r="F13" s="1612" t="s">
        <v>13</v>
      </c>
      <c r="G13" s="1609" t="s">
        <v>14</v>
      </c>
      <c r="H13" s="1609" t="s">
        <v>15</v>
      </c>
      <c r="I13" s="1609" t="s">
        <v>16</v>
      </c>
      <c r="J13" s="1609" t="s">
        <v>17</v>
      </c>
      <c r="K13" s="1609" t="s">
        <v>18</v>
      </c>
      <c r="L13" s="1609" t="s">
        <v>19</v>
      </c>
      <c r="M13" s="1609" t="s">
        <v>20</v>
      </c>
    </row>
    <row r="14" spans="1:13" x14ac:dyDescent="0.25">
      <c r="A14" s="1611"/>
      <c r="B14" s="1636"/>
      <c r="C14" s="1613"/>
      <c r="D14" s="1611"/>
      <c r="E14" s="476" t="s">
        <v>21</v>
      </c>
      <c r="F14" s="1612"/>
      <c r="G14" s="1609"/>
      <c r="H14" s="1609"/>
      <c r="I14" s="1609"/>
      <c r="J14" s="1609"/>
      <c r="K14" s="1609"/>
      <c r="L14" s="1609"/>
      <c r="M14" s="1609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626" t="s">
        <v>854</v>
      </c>
      <c r="I63" s="1626"/>
      <c r="J63" s="1626"/>
      <c r="K63" s="1626"/>
      <c r="L63" s="1626"/>
      <c r="M63" s="1626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627" t="s">
        <v>852</v>
      </c>
      <c r="I64" s="1627"/>
      <c r="J64" s="1627"/>
      <c r="K64" s="1627"/>
      <c r="L64" s="1627"/>
      <c r="M64" s="1627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628" t="s">
        <v>853</v>
      </c>
      <c r="I65" s="1628"/>
      <c r="J65" s="1628"/>
      <c r="K65" s="1628"/>
      <c r="L65" s="1628"/>
      <c r="M65" s="1628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629"/>
      <c r="J66" s="1629"/>
      <c r="K66" s="1629"/>
      <c r="L66" s="1629"/>
      <c r="M66" s="1629"/>
      <c r="N66" s="1629"/>
    </row>
    <row r="67" spans="1:14" ht="15.75" x14ac:dyDescent="0.25">
      <c r="A67" s="267"/>
      <c r="B67" s="267"/>
      <c r="C67" s="267"/>
      <c r="D67" s="268"/>
      <c r="E67" s="268"/>
      <c r="F67" s="269"/>
      <c r="G67" s="1549"/>
      <c r="H67" s="1549"/>
      <c r="I67" s="1549"/>
      <c r="J67" s="1549"/>
      <c r="K67" s="1549"/>
      <c r="L67" s="271"/>
      <c r="M67" s="271"/>
      <c r="N67" s="259"/>
    </row>
  </sheetData>
  <mergeCells count="22"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1:13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1:13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1:13" x14ac:dyDescent="0.25">
      <c r="A10" s="1551" t="s">
        <v>926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</row>
    <row r="11" spans="1:13" x14ac:dyDescent="0.25">
      <c r="A11" s="1637" t="s">
        <v>412</v>
      </c>
      <c r="B11" s="1637"/>
      <c r="C11" s="1637"/>
      <c r="D11" s="1637"/>
      <c r="E11" s="1637"/>
      <c r="F11" s="1637"/>
      <c r="G11" s="1637"/>
      <c r="H11" s="1637"/>
      <c r="I11" s="1637"/>
      <c r="J11" s="1637"/>
      <c r="K11" s="1637"/>
      <c r="L11" s="1637"/>
      <c r="M11" s="1637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618" t="s">
        <v>7</v>
      </c>
      <c r="B13" s="1638" t="s">
        <v>937</v>
      </c>
      <c r="C13" s="1618" t="s">
        <v>9</v>
      </c>
      <c r="D13" s="1618" t="s">
        <v>832</v>
      </c>
      <c r="E13" s="421" t="s">
        <v>12</v>
      </c>
      <c r="F13" s="1619" t="s">
        <v>13</v>
      </c>
      <c r="G13" s="1615" t="s">
        <v>14</v>
      </c>
      <c r="H13" s="1615" t="s">
        <v>15</v>
      </c>
      <c r="I13" s="1615" t="s">
        <v>16</v>
      </c>
      <c r="J13" s="1615" t="s">
        <v>17</v>
      </c>
      <c r="K13" s="1615" t="s">
        <v>18</v>
      </c>
      <c r="L13" s="1615" t="s">
        <v>19</v>
      </c>
      <c r="M13" s="1615" t="s">
        <v>20</v>
      </c>
    </row>
    <row r="14" spans="1:13" x14ac:dyDescent="0.25">
      <c r="A14" s="1618"/>
      <c r="B14" s="1639"/>
      <c r="C14" s="1618"/>
      <c r="D14" s="1618"/>
      <c r="E14" s="421" t="s">
        <v>21</v>
      </c>
      <c r="F14" s="1619"/>
      <c r="G14" s="1615"/>
      <c r="H14" s="1615"/>
      <c r="I14" s="1615"/>
      <c r="J14" s="1615"/>
      <c r="K14" s="1615"/>
      <c r="L14" s="1615"/>
      <c r="M14" s="1615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626" t="s">
        <v>854</v>
      </c>
      <c r="I30" s="1626"/>
      <c r="J30" s="1626"/>
      <c r="K30" s="1626"/>
      <c r="L30" s="1626"/>
      <c r="M30" s="1626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627" t="s">
        <v>852</v>
      </c>
      <c r="I31" s="1627"/>
      <c r="J31" s="1627"/>
      <c r="K31" s="1627"/>
      <c r="L31" s="1627"/>
      <c r="M31" s="1627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628" t="s">
        <v>853</v>
      </c>
      <c r="I32" s="1628"/>
      <c r="J32" s="1628"/>
      <c r="K32" s="1628"/>
      <c r="L32" s="1628"/>
      <c r="M32" s="1628"/>
    </row>
    <row r="33" spans="7:14" x14ac:dyDescent="0.25">
      <c r="G33" s="540"/>
      <c r="H33" s="537"/>
      <c r="I33" s="1629"/>
      <c r="J33" s="1629"/>
      <c r="K33" s="1629"/>
      <c r="L33" s="1629"/>
      <c r="M33" s="1629"/>
      <c r="N33" s="1629"/>
    </row>
    <row r="34" spans="7:14" ht="15.75" x14ac:dyDescent="0.25">
      <c r="G34" s="1549"/>
      <c r="H34" s="1549"/>
      <c r="I34" s="1549"/>
      <c r="J34" s="1549"/>
      <c r="K34" s="1549"/>
      <c r="L34" s="271"/>
      <c r="M34" s="271"/>
      <c r="N34" s="259"/>
    </row>
  </sheetData>
  <mergeCells count="22"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  <mergeCell ref="A13:A14"/>
    <mergeCell ref="A7:M7"/>
    <mergeCell ref="A8:M8"/>
    <mergeCell ref="A9:M9"/>
    <mergeCell ref="A10:M10"/>
    <mergeCell ref="A11:M11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E49" sqref="E4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931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11" t="s">
        <v>7</v>
      </c>
      <c r="B13" s="1635" t="s">
        <v>937</v>
      </c>
      <c r="C13" s="1620" t="s">
        <v>8</v>
      </c>
      <c r="D13" s="1620" t="s">
        <v>10</v>
      </c>
      <c r="E13" s="1620" t="s">
        <v>11</v>
      </c>
      <c r="F13" s="476" t="s">
        <v>12</v>
      </c>
      <c r="G13" s="1622" t="s">
        <v>13</v>
      </c>
      <c r="H13" s="1620" t="s">
        <v>14</v>
      </c>
      <c r="I13" s="1620" t="s">
        <v>15</v>
      </c>
      <c r="J13" s="1620" t="s">
        <v>16</v>
      </c>
      <c r="K13" s="1620" t="s">
        <v>17</v>
      </c>
      <c r="L13" s="1620" t="s">
        <v>18</v>
      </c>
      <c r="M13" s="1620" t="s">
        <v>19</v>
      </c>
      <c r="N13" s="1611" t="s">
        <v>20</v>
      </c>
    </row>
    <row r="14" spans="1:14" x14ac:dyDescent="0.25">
      <c r="A14" s="1611"/>
      <c r="B14" s="1636"/>
      <c r="C14" s="1621"/>
      <c r="D14" s="1621"/>
      <c r="E14" s="1621"/>
      <c r="F14" s="476" t="s">
        <v>21</v>
      </c>
      <c r="G14" s="1623"/>
      <c r="H14" s="1621"/>
      <c r="I14" s="1621"/>
      <c r="J14" s="1621"/>
      <c r="K14" s="1621"/>
      <c r="L14" s="1621"/>
      <c r="M14" s="1621"/>
      <c r="N14" s="161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626" t="s">
        <v>854</v>
      </c>
      <c r="I37" s="1626"/>
      <c r="J37" s="1626"/>
      <c r="K37" s="1626"/>
      <c r="L37" s="1626"/>
      <c r="M37" s="162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627" t="s">
        <v>852</v>
      </c>
      <c r="I38" s="1627"/>
      <c r="J38" s="1627"/>
      <c r="K38" s="1627"/>
      <c r="L38" s="1627"/>
      <c r="M38" s="1627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628" t="s">
        <v>853</v>
      </c>
      <c r="I39" s="1628"/>
      <c r="J39" s="1628"/>
      <c r="K39" s="1628"/>
      <c r="L39" s="1628"/>
      <c r="M39" s="162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9"/>
      <c r="J40" s="1629"/>
      <c r="K40" s="1629"/>
      <c r="L40" s="1629"/>
      <c r="M40" s="1629"/>
      <c r="N40" s="1629"/>
    </row>
    <row r="41" spans="1:14" ht="15.75" x14ac:dyDescent="0.25">
      <c r="A41" s="267"/>
      <c r="B41" s="267"/>
      <c r="C41" s="267"/>
      <c r="D41" s="268"/>
      <c r="E41" s="268"/>
      <c r="F41" s="269"/>
      <c r="G41" s="1549"/>
      <c r="H41" s="1549"/>
      <c r="I41" s="1549"/>
      <c r="J41" s="1549"/>
      <c r="K41" s="1549"/>
      <c r="L41" s="271"/>
      <c r="M41" s="271"/>
      <c r="N41" s="259"/>
    </row>
  </sheetData>
  <mergeCells count="23"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  <mergeCell ref="A7:N7"/>
    <mergeCell ref="A8:N8"/>
    <mergeCell ref="A9:N9"/>
    <mergeCell ref="A10:N10"/>
    <mergeCell ref="A11:N11"/>
    <mergeCell ref="A13:A14"/>
    <mergeCell ref="C13:C14"/>
    <mergeCell ref="D13:D14"/>
    <mergeCell ref="E13:E14"/>
    <mergeCell ref="G13:G14"/>
    <mergeCell ref="B13:B14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1:13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6" t="s">
        <v>932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1:13" x14ac:dyDescent="0.25">
      <c r="A10" s="1557" t="s">
        <v>870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  <c r="M10" s="1557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611" t="s">
        <v>7</v>
      </c>
      <c r="B12" s="1611" t="s">
        <v>802</v>
      </c>
      <c r="C12" s="1611" t="s">
        <v>9</v>
      </c>
      <c r="D12" s="1611" t="s">
        <v>832</v>
      </c>
      <c r="E12" s="390" t="s">
        <v>12</v>
      </c>
      <c r="F12" s="1586" t="s">
        <v>13</v>
      </c>
      <c r="G12" s="1585" t="s">
        <v>14</v>
      </c>
      <c r="H12" s="1585" t="s">
        <v>15</v>
      </c>
      <c r="I12" s="1585" t="s">
        <v>16</v>
      </c>
      <c r="J12" s="1585" t="s">
        <v>17</v>
      </c>
      <c r="K12" s="1585" t="s">
        <v>18</v>
      </c>
      <c r="L12" s="1585" t="s">
        <v>19</v>
      </c>
      <c r="M12" s="1585" t="s">
        <v>20</v>
      </c>
    </row>
    <row r="13" spans="1:13" ht="16.5" customHeight="1" x14ac:dyDescent="0.25">
      <c r="A13" s="1611"/>
      <c r="B13" s="1611"/>
      <c r="C13" s="1611"/>
      <c r="D13" s="1611"/>
      <c r="E13" s="390" t="s">
        <v>21</v>
      </c>
      <c r="F13" s="1586"/>
      <c r="G13" s="1585"/>
      <c r="H13" s="1585"/>
      <c r="I13" s="1585"/>
      <c r="J13" s="1585"/>
      <c r="K13" s="1585"/>
      <c r="L13" s="1585"/>
      <c r="M13" s="1585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624" t="s">
        <v>854</v>
      </c>
      <c r="H21" s="1624"/>
      <c r="I21" s="1624"/>
      <c r="J21" s="1624"/>
      <c r="K21" s="1624"/>
      <c r="L21" s="1624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551" t="s">
        <v>852</v>
      </c>
      <c r="H22" s="1551"/>
      <c r="I22" s="1551"/>
      <c r="J22" s="1551"/>
      <c r="K22" s="1551"/>
      <c r="L22" s="1551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552" t="s">
        <v>853</v>
      </c>
      <c r="H23" s="1552"/>
      <c r="I23" s="1552"/>
      <c r="J23" s="1552"/>
      <c r="K23" s="1552"/>
      <c r="L23" s="1552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625"/>
      <c r="I24" s="1625"/>
      <c r="J24" s="1625"/>
      <c r="K24" s="1625"/>
      <c r="L24" s="1625"/>
      <c r="M24" s="1625"/>
    </row>
    <row r="25" spans="1:13" x14ac:dyDescent="0.25">
      <c r="A25" s="531"/>
      <c r="B25" s="531"/>
      <c r="C25" s="259"/>
      <c r="D25" s="259"/>
      <c r="E25" s="269"/>
      <c r="F25" s="1552"/>
      <c r="G25" s="1552"/>
      <c r="H25" s="1552"/>
      <c r="I25" s="1552"/>
      <c r="J25" s="1552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1:13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6" t="s">
        <v>934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1:13" x14ac:dyDescent="0.25">
      <c r="A10" s="1557" t="s">
        <v>886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  <c r="M10" s="1557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611" t="s">
        <v>7</v>
      </c>
      <c r="B12" s="1611" t="s">
        <v>802</v>
      </c>
      <c r="C12" s="1611" t="s">
        <v>9</v>
      </c>
      <c r="D12" s="1611" t="s">
        <v>832</v>
      </c>
      <c r="E12" s="390" t="s">
        <v>12</v>
      </c>
      <c r="F12" s="1586" t="s">
        <v>13</v>
      </c>
      <c r="G12" s="1585" t="s">
        <v>14</v>
      </c>
      <c r="H12" s="1585" t="s">
        <v>15</v>
      </c>
      <c r="I12" s="1585" t="s">
        <v>16</v>
      </c>
      <c r="J12" s="1585" t="s">
        <v>17</v>
      </c>
      <c r="K12" s="1585" t="s">
        <v>18</v>
      </c>
      <c r="L12" s="1585" t="s">
        <v>19</v>
      </c>
      <c r="M12" s="1585" t="s">
        <v>20</v>
      </c>
    </row>
    <row r="13" spans="1:13" ht="16.5" customHeight="1" x14ac:dyDescent="0.25">
      <c r="A13" s="1611"/>
      <c r="B13" s="1611"/>
      <c r="C13" s="1611"/>
      <c r="D13" s="1611"/>
      <c r="E13" s="390" t="s">
        <v>21</v>
      </c>
      <c r="F13" s="1586"/>
      <c r="G13" s="1585"/>
      <c r="H13" s="1585"/>
      <c r="I13" s="1585"/>
      <c r="J13" s="1585"/>
      <c r="K13" s="1585"/>
      <c r="L13" s="1585"/>
      <c r="M13" s="1585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626" t="s">
        <v>854</v>
      </c>
      <c r="H21" s="1626"/>
      <c r="I21" s="1626"/>
      <c r="J21" s="1626"/>
      <c r="K21" s="1626"/>
      <c r="L21" s="1626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627" t="s">
        <v>852</v>
      </c>
      <c r="H22" s="1627"/>
      <c r="I22" s="1627"/>
      <c r="J22" s="1627"/>
      <c r="K22" s="1627"/>
      <c r="L22" s="1627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628" t="s">
        <v>853</v>
      </c>
      <c r="H23" s="1628"/>
      <c r="I23" s="1628"/>
      <c r="J23" s="1628"/>
      <c r="K23" s="1628"/>
      <c r="L23" s="1628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629"/>
      <c r="I24" s="1629"/>
      <c r="J24" s="1629"/>
      <c r="K24" s="1629"/>
      <c r="L24" s="1629"/>
      <c r="M24" s="1629"/>
    </row>
    <row r="25" spans="1:13" ht="15.75" x14ac:dyDescent="0.25">
      <c r="A25" s="267"/>
      <c r="B25" s="267"/>
      <c r="C25" s="268"/>
      <c r="D25" s="268"/>
      <c r="E25" s="269"/>
      <c r="F25" s="1549"/>
      <c r="G25" s="1549"/>
      <c r="H25" s="1549"/>
      <c r="I25" s="1549"/>
      <c r="J25" s="1549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556" t="s">
        <v>0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6" t="s">
        <v>942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</row>
    <row r="11" spans="1:12" x14ac:dyDescent="0.25">
      <c r="A11" s="1557" t="s">
        <v>404</v>
      </c>
      <c r="B11" s="1557"/>
      <c r="C11" s="1557"/>
      <c r="D11" s="1557"/>
      <c r="E11" s="1557"/>
      <c r="F11" s="1557"/>
      <c r="G11" s="1557"/>
      <c r="H11" s="1557"/>
      <c r="I11" s="1557"/>
      <c r="J11" s="1557"/>
      <c r="K11" s="1557"/>
      <c r="L11" s="1557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87" t="s">
        <v>7</v>
      </c>
      <c r="B14" s="1587" t="s">
        <v>802</v>
      </c>
      <c r="C14" s="1589" t="s">
        <v>9</v>
      </c>
      <c r="D14" s="451" t="s">
        <v>12</v>
      </c>
      <c r="E14" s="1593" t="s">
        <v>13</v>
      </c>
      <c r="F14" s="1597" t="s">
        <v>14</v>
      </c>
      <c r="G14" s="1597" t="s">
        <v>15</v>
      </c>
      <c r="H14" s="1597" t="s">
        <v>16</v>
      </c>
      <c r="I14" s="1597" t="s">
        <v>17</v>
      </c>
      <c r="J14" s="1597" t="s">
        <v>18</v>
      </c>
      <c r="K14" s="1595" t="s">
        <v>19</v>
      </c>
      <c r="L14" s="1600" t="s">
        <v>20</v>
      </c>
    </row>
    <row r="15" spans="1:12" ht="15.75" thickBot="1" x14ac:dyDescent="0.3">
      <c r="A15" s="1588"/>
      <c r="B15" s="1588"/>
      <c r="C15" s="1590"/>
      <c r="D15" s="452" t="s">
        <v>21</v>
      </c>
      <c r="E15" s="1594"/>
      <c r="F15" s="1598"/>
      <c r="G15" s="1598"/>
      <c r="H15" s="1598"/>
      <c r="I15" s="1598"/>
      <c r="J15" s="1598"/>
      <c r="K15" s="1596"/>
      <c r="L15" s="1601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632" t="s">
        <v>854</v>
      </c>
      <c r="I190" s="1632"/>
      <c r="J190" s="1632"/>
      <c r="K190" s="1632"/>
      <c r="L190" s="1632"/>
      <c r="M190" s="1632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633" t="s">
        <v>939</v>
      </c>
      <c r="I191" s="1633"/>
      <c r="J191" s="1633"/>
      <c r="K191" s="1633"/>
      <c r="L191" s="1633"/>
      <c r="M191" s="1633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631" t="s">
        <v>938</v>
      </c>
      <c r="I192" s="1631"/>
      <c r="J192" s="1631"/>
      <c r="K192" s="1631"/>
      <c r="L192" s="1631"/>
      <c r="M192" s="1631"/>
    </row>
    <row r="193" spans="7:14" x14ac:dyDescent="0.25">
      <c r="G193" s="540"/>
      <c r="H193" s="537"/>
      <c r="I193" s="1629"/>
      <c r="J193" s="1629"/>
      <c r="K193" s="1629"/>
      <c r="L193" s="1629"/>
      <c r="M193" s="1629"/>
      <c r="N193" s="1629"/>
    </row>
    <row r="194" spans="7:14" ht="15.75" x14ac:dyDescent="0.25">
      <c r="G194" s="1549"/>
      <c r="H194" s="1549"/>
      <c r="I194" s="1549"/>
      <c r="J194" s="1549"/>
      <c r="K194" s="1549"/>
      <c r="L194" s="271"/>
      <c r="M194" s="271"/>
      <c r="N194" s="259"/>
    </row>
  </sheetData>
  <mergeCells count="20"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56" t="s">
        <v>0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1:13" x14ac:dyDescent="0.25">
      <c r="A10" s="1556" t="s">
        <v>949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  <c r="M10" s="1556"/>
    </row>
    <row r="11" spans="1:13" x14ac:dyDescent="0.25">
      <c r="A11" s="1634" t="s">
        <v>441</v>
      </c>
      <c r="B11" s="1634"/>
      <c r="C11" s="1634"/>
      <c r="D11" s="1634"/>
      <c r="E11" s="1634"/>
      <c r="F11" s="1634"/>
      <c r="G11" s="1634"/>
      <c r="H11" s="1634"/>
      <c r="I11" s="1634"/>
      <c r="J11" s="1634"/>
      <c r="K11" s="1634"/>
      <c r="L11" s="1634"/>
      <c r="M11" s="163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611" t="s">
        <v>7</v>
      </c>
      <c r="B13" s="1635" t="s">
        <v>937</v>
      </c>
      <c r="C13" s="1613" t="s">
        <v>9</v>
      </c>
      <c r="D13" s="1611" t="s">
        <v>832</v>
      </c>
      <c r="E13" s="476" t="s">
        <v>12</v>
      </c>
      <c r="F13" s="1612" t="s">
        <v>13</v>
      </c>
      <c r="G13" s="1609" t="s">
        <v>14</v>
      </c>
      <c r="H13" s="1609" t="s">
        <v>15</v>
      </c>
      <c r="I13" s="1609" t="s">
        <v>16</v>
      </c>
      <c r="J13" s="1609" t="s">
        <v>17</v>
      </c>
      <c r="K13" s="1609" t="s">
        <v>18</v>
      </c>
      <c r="L13" s="1609" t="s">
        <v>19</v>
      </c>
      <c r="M13" s="1609" t="s">
        <v>20</v>
      </c>
    </row>
    <row r="14" spans="1:13" x14ac:dyDescent="0.25">
      <c r="A14" s="1611"/>
      <c r="B14" s="1636"/>
      <c r="C14" s="1613"/>
      <c r="D14" s="1611"/>
      <c r="E14" s="476" t="s">
        <v>21</v>
      </c>
      <c r="F14" s="1612"/>
      <c r="G14" s="1609"/>
      <c r="H14" s="1609"/>
      <c r="I14" s="1609"/>
      <c r="J14" s="1609"/>
      <c r="K14" s="1609"/>
      <c r="L14" s="1609"/>
      <c r="M14" s="1609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626" t="s">
        <v>854</v>
      </c>
      <c r="I87" s="1626"/>
      <c r="J87" s="1626"/>
      <c r="K87" s="1626"/>
      <c r="L87" s="1626"/>
      <c r="M87" s="1626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627" t="s">
        <v>852</v>
      </c>
      <c r="I88" s="1627"/>
      <c r="J88" s="1627"/>
      <c r="K88" s="1627"/>
      <c r="L88" s="1627"/>
      <c r="M88" s="1627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628" t="s">
        <v>853</v>
      </c>
      <c r="I89" s="1628"/>
      <c r="J89" s="1628"/>
      <c r="K89" s="1628"/>
      <c r="L89" s="1628"/>
      <c r="M89" s="1628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629"/>
      <c r="J90" s="1629"/>
      <c r="K90" s="1629"/>
      <c r="L90" s="1629"/>
      <c r="M90" s="1629"/>
      <c r="N90" s="1629"/>
    </row>
    <row r="91" spans="1:14" ht="15.75" x14ac:dyDescent="0.25">
      <c r="A91" s="267"/>
      <c r="B91" s="267"/>
      <c r="C91" s="267"/>
      <c r="D91" s="268"/>
      <c r="E91" s="268"/>
      <c r="F91" s="269"/>
      <c r="G91" s="1549"/>
      <c r="H91" s="1549"/>
      <c r="I91" s="1549"/>
      <c r="J91" s="1549"/>
      <c r="K91" s="1549"/>
      <c r="L91" s="271"/>
      <c r="M91" s="271"/>
      <c r="N91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1:13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1:13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1:13" x14ac:dyDescent="0.25">
      <c r="A10" s="1551" t="s">
        <v>943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</row>
    <row r="11" spans="1:13" x14ac:dyDescent="0.25">
      <c r="A11" s="1637" t="s">
        <v>412</v>
      </c>
      <c r="B11" s="1637"/>
      <c r="C11" s="1637"/>
      <c r="D11" s="1637"/>
      <c r="E11" s="1637"/>
      <c r="F11" s="1637"/>
      <c r="G11" s="1637"/>
      <c r="H11" s="1637"/>
      <c r="I11" s="1637"/>
      <c r="J11" s="1637"/>
      <c r="K11" s="1637"/>
      <c r="L11" s="1637"/>
      <c r="M11" s="1637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618" t="s">
        <v>7</v>
      </c>
      <c r="B13" s="1638" t="s">
        <v>937</v>
      </c>
      <c r="C13" s="1618" t="s">
        <v>9</v>
      </c>
      <c r="D13" s="1618" t="s">
        <v>832</v>
      </c>
      <c r="E13" s="421" t="s">
        <v>12</v>
      </c>
      <c r="F13" s="1619" t="s">
        <v>13</v>
      </c>
      <c r="G13" s="1615" t="s">
        <v>14</v>
      </c>
      <c r="H13" s="1615" t="s">
        <v>15</v>
      </c>
      <c r="I13" s="1615" t="s">
        <v>16</v>
      </c>
      <c r="J13" s="1615" t="s">
        <v>17</v>
      </c>
      <c r="K13" s="1615" t="s">
        <v>18</v>
      </c>
      <c r="L13" s="1615" t="s">
        <v>19</v>
      </c>
      <c r="M13" s="1615" t="s">
        <v>20</v>
      </c>
    </row>
    <row r="14" spans="1:13" x14ac:dyDescent="0.25">
      <c r="A14" s="1618"/>
      <c r="B14" s="1639"/>
      <c r="C14" s="1618"/>
      <c r="D14" s="1618"/>
      <c r="E14" s="421" t="s">
        <v>21</v>
      </c>
      <c r="F14" s="1619"/>
      <c r="G14" s="1615"/>
      <c r="H14" s="1615"/>
      <c r="I14" s="1615"/>
      <c r="J14" s="1615"/>
      <c r="K14" s="1615"/>
      <c r="L14" s="1615"/>
      <c r="M14" s="1615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626" t="s">
        <v>854</v>
      </c>
      <c r="I30" s="1626"/>
      <c r="J30" s="1626"/>
      <c r="K30" s="1626"/>
      <c r="L30" s="1626"/>
      <c r="M30" s="1626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627" t="s">
        <v>852</v>
      </c>
      <c r="I31" s="1627"/>
      <c r="J31" s="1627"/>
      <c r="K31" s="1627"/>
      <c r="L31" s="1627"/>
      <c r="M31" s="1627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628" t="s">
        <v>853</v>
      </c>
      <c r="I32" s="1628"/>
      <c r="J32" s="1628"/>
      <c r="K32" s="1628"/>
      <c r="L32" s="1628"/>
      <c r="M32" s="1628"/>
    </row>
    <row r="33" spans="7:14" x14ac:dyDescent="0.25">
      <c r="G33" s="540"/>
      <c r="H33" s="537"/>
      <c r="I33" s="1629"/>
      <c r="J33" s="1629"/>
      <c r="K33" s="1629"/>
      <c r="L33" s="1629"/>
      <c r="M33" s="1629"/>
      <c r="N33" s="1629"/>
    </row>
    <row r="34" spans="7:14" ht="15.75" x14ac:dyDescent="0.25">
      <c r="G34" s="1549"/>
      <c r="H34" s="1549"/>
      <c r="I34" s="1549"/>
      <c r="J34" s="1549"/>
      <c r="K34" s="1549"/>
      <c r="L34" s="271"/>
      <c r="M34" s="271"/>
      <c r="N34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950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11" t="s">
        <v>7</v>
      </c>
      <c r="B13" s="1635" t="s">
        <v>937</v>
      </c>
      <c r="C13" s="1620" t="s">
        <v>8</v>
      </c>
      <c r="D13" s="1620" t="s">
        <v>10</v>
      </c>
      <c r="E13" s="1620" t="s">
        <v>11</v>
      </c>
      <c r="F13" s="476" t="s">
        <v>12</v>
      </c>
      <c r="G13" s="1622" t="s">
        <v>13</v>
      </c>
      <c r="H13" s="1620" t="s">
        <v>14</v>
      </c>
      <c r="I13" s="1620" t="s">
        <v>15</v>
      </c>
      <c r="J13" s="1620" t="s">
        <v>16</v>
      </c>
      <c r="K13" s="1620" t="s">
        <v>17</v>
      </c>
      <c r="L13" s="1620" t="s">
        <v>18</v>
      </c>
      <c r="M13" s="1620" t="s">
        <v>19</v>
      </c>
      <c r="N13" s="1611" t="s">
        <v>20</v>
      </c>
    </row>
    <row r="14" spans="1:14" x14ac:dyDescent="0.25">
      <c r="A14" s="1611"/>
      <c r="B14" s="1636"/>
      <c r="C14" s="1621"/>
      <c r="D14" s="1621"/>
      <c r="E14" s="1621"/>
      <c r="F14" s="476" t="s">
        <v>21</v>
      </c>
      <c r="G14" s="1623"/>
      <c r="H14" s="1621"/>
      <c r="I14" s="1621"/>
      <c r="J14" s="1621"/>
      <c r="K14" s="1621"/>
      <c r="L14" s="1621"/>
      <c r="M14" s="1621"/>
      <c r="N14" s="161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626" t="s">
        <v>854</v>
      </c>
      <c r="I42" s="1626"/>
      <c r="J42" s="1626"/>
      <c r="K42" s="1626"/>
      <c r="L42" s="1626"/>
      <c r="M42" s="1626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627" t="s">
        <v>852</v>
      </c>
      <c r="I43" s="1627"/>
      <c r="J43" s="1627"/>
      <c r="K43" s="1627"/>
      <c r="L43" s="1627"/>
      <c r="M43" s="1627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628" t="s">
        <v>853</v>
      </c>
      <c r="I44" s="1628"/>
      <c r="J44" s="1628"/>
      <c r="K44" s="1628"/>
      <c r="L44" s="1628"/>
      <c r="M44" s="1628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629"/>
      <c r="J45" s="1629"/>
      <c r="K45" s="1629"/>
      <c r="L45" s="1629"/>
      <c r="M45" s="1629"/>
      <c r="N45" s="1629"/>
    </row>
    <row r="46" spans="1:14" ht="15.75" x14ac:dyDescent="0.25">
      <c r="A46" s="267"/>
      <c r="B46" s="267"/>
      <c r="C46" s="267"/>
      <c r="D46" s="268"/>
      <c r="E46" s="268"/>
      <c r="F46" s="269"/>
      <c r="G46" s="1549"/>
      <c r="H46" s="1549"/>
      <c r="I46" s="1549"/>
      <c r="J46" s="1549"/>
      <c r="K46" s="1549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1:13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6" t="s">
        <v>957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1:13" x14ac:dyDescent="0.25">
      <c r="A10" s="1557" t="s">
        <v>870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  <c r="M10" s="1557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611" t="s">
        <v>7</v>
      </c>
      <c r="B12" s="1611" t="s">
        <v>802</v>
      </c>
      <c r="C12" s="1611" t="s">
        <v>9</v>
      </c>
      <c r="D12" s="1611" t="s">
        <v>832</v>
      </c>
      <c r="E12" s="390" t="s">
        <v>12</v>
      </c>
      <c r="F12" s="1586" t="s">
        <v>13</v>
      </c>
      <c r="G12" s="1585" t="s">
        <v>14</v>
      </c>
      <c r="H12" s="1585" t="s">
        <v>15</v>
      </c>
      <c r="I12" s="1585" t="s">
        <v>16</v>
      </c>
      <c r="J12" s="1585" t="s">
        <v>17</v>
      </c>
      <c r="K12" s="1585" t="s">
        <v>18</v>
      </c>
      <c r="L12" s="1585" t="s">
        <v>19</v>
      </c>
      <c r="M12" s="1585" t="s">
        <v>20</v>
      </c>
    </row>
    <row r="13" spans="1:13" ht="16.5" customHeight="1" x14ac:dyDescent="0.25">
      <c r="A13" s="1611"/>
      <c r="B13" s="1611"/>
      <c r="C13" s="1611"/>
      <c r="D13" s="1611"/>
      <c r="E13" s="390" t="s">
        <v>21</v>
      </c>
      <c r="F13" s="1586"/>
      <c r="G13" s="1585"/>
      <c r="H13" s="1585"/>
      <c r="I13" s="1585"/>
      <c r="J13" s="1585"/>
      <c r="K13" s="1585"/>
      <c r="L13" s="1585"/>
      <c r="M13" s="1585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624" t="s">
        <v>854</v>
      </c>
      <c r="H21" s="1624"/>
      <c r="I21" s="1624"/>
      <c r="J21" s="1624"/>
      <c r="K21" s="1624"/>
      <c r="L21" s="1624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551" t="s">
        <v>852</v>
      </c>
      <c r="H22" s="1551"/>
      <c r="I22" s="1551"/>
      <c r="J22" s="1551"/>
      <c r="K22" s="1551"/>
      <c r="L22" s="1551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552" t="s">
        <v>853</v>
      </c>
      <c r="H23" s="1552"/>
      <c r="I23" s="1552"/>
      <c r="J23" s="1552"/>
      <c r="K23" s="1552"/>
      <c r="L23" s="1552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625"/>
      <c r="I24" s="1625"/>
      <c r="J24" s="1625"/>
      <c r="K24" s="1625"/>
      <c r="L24" s="1625"/>
      <c r="M24" s="1625"/>
    </row>
    <row r="25" spans="1:13" x14ac:dyDescent="0.25">
      <c r="A25" s="531"/>
      <c r="B25" s="531"/>
      <c r="C25" s="259"/>
      <c r="D25" s="259"/>
      <c r="E25" s="269"/>
      <c r="F25" s="1552"/>
      <c r="G25" s="1552"/>
      <c r="H25" s="1552"/>
      <c r="I25" s="1552"/>
      <c r="J25" s="1552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1:13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6" t="s">
        <v>958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1:13" x14ac:dyDescent="0.25">
      <c r="A10" s="1557" t="s">
        <v>886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  <c r="M10" s="1557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611" t="s">
        <v>7</v>
      </c>
      <c r="B12" s="1611" t="s">
        <v>802</v>
      </c>
      <c r="C12" s="1611" t="s">
        <v>9</v>
      </c>
      <c r="D12" s="1611" t="s">
        <v>832</v>
      </c>
      <c r="E12" s="390" t="s">
        <v>12</v>
      </c>
      <c r="F12" s="1586" t="s">
        <v>13</v>
      </c>
      <c r="G12" s="1585" t="s">
        <v>14</v>
      </c>
      <c r="H12" s="1585" t="s">
        <v>15</v>
      </c>
      <c r="I12" s="1585" t="s">
        <v>16</v>
      </c>
      <c r="J12" s="1585" t="s">
        <v>17</v>
      </c>
      <c r="K12" s="1585" t="s">
        <v>18</v>
      </c>
      <c r="L12" s="1585" t="s">
        <v>19</v>
      </c>
      <c r="M12" s="1585" t="s">
        <v>20</v>
      </c>
    </row>
    <row r="13" spans="1:13" ht="16.5" customHeight="1" x14ac:dyDescent="0.25">
      <c r="A13" s="1611"/>
      <c r="B13" s="1611"/>
      <c r="C13" s="1611"/>
      <c r="D13" s="1611"/>
      <c r="E13" s="390" t="s">
        <v>21</v>
      </c>
      <c r="F13" s="1586"/>
      <c r="G13" s="1585"/>
      <c r="H13" s="1585"/>
      <c r="I13" s="1585"/>
      <c r="J13" s="1585"/>
      <c r="K13" s="1585"/>
      <c r="L13" s="1585"/>
      <c r="M13" s="1585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626" t="s">
        <v>854</v>
      </c>
      <c r="H21" s="1626"/>
      <c r="I21" s="1626"/>
      <c r="J21" s="1626"/>
      <c r="K21" s="1626"/>
      <c r="L21" s="1626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627" t="s">
        <v>852</v>
      </c>
      <c r="H22" s="1627"/>
      <c r="I22" s="1627"/>
      <c r="J22" s="1627"/>
      <c r="K22" s="1627"/>
      <c r="L22" s="1627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628" t="s">
        <v>853</v>
      </c>
      <c r="H23" s="1628"/>
      <c r="I23" s="1628"/>
      <c r="J23" s="1628"/>
      <c r="K23" s="1628"/>
      <c r="L23" s="1628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629"/>
      <c r="I24" s="1629"/>
      <c r="J24" s="1629"/>
      <c r="K24" s="1629"/>
      <c r="L24" s="1629"/>
      <c r="M24" s="1629"/>
    </row>
    <row r="25" spans="1:13" ht="15.75" x14ac:dyDescent="0.25">
      <c r="A25" s="267"/>
      <c r="B25" s="267"/>
      <c r="C25" s="268"/>
      <c r="D25" s="268"/>
      <c r="E25" s="269"/>
      <c r="F25" s="1549"/>
      <c r="G25" s="1549"/>
      <c r="H25" s="1549"/>
      <c r="I25" s="1549"/>
      <c r="J25" s="1549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556" t="s">
        <v>0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6" t="s">
        <v>580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</row>
    <row r="11" spans="1:12" x14ac:dyDescent="0.25">
      <c r="A11" s="1557" t="s">
        <v>404</v>
      </c>
      <c r="B11" s="1557"/>
      <c r="C11" s="1557"/>
      <c r="D11" s="1557"/>
      <c r="E11" s="1557"/>
      <c r="F11" s="1557"/>
      <c r="G11" s="1557"/>
      <c r="H11" s="1557"/>
      <c r="I11" s="1557"/>
      <c r="J11" s="1557"/>
      <c r="K11" s="1557"/>
      <c r="L11" s="1557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87" t="s">
        <v>7</v>
      </c>
      <c r="B14" s="1587" t="s">
        <v>802</v>
      </c>
      <c r="C14" s="1589" t="s">
        <v>9</v>
      </c>
      <c r="D14" s="451" t="s">
        <v>12</v>
      </c>
      <c r="E14" s="1593" t="s">
        <v>13</v>
      </c>
      <c r="F14" s="1597" t="s">
        <v>14</v>
      </c>
      <c r="G14" s="1597" t="s">
        <v>15</v>
      </c>
      <c r="H14" s="1597" t="s">
        <v>16</v>
      </c>
      <c r="I14" s="1597" t="s">
        <v>17</v>
      </c>
      <c r="J14" s="1597" t="s">
        <v>18</v>
      </c>
      <c r="K14" s="1595" t="s">
        <v>19</v>
      </c>
      <c r="L14" s="1600" t="s">
        <v>20</v>
      </c>
    </row>
    <row r="15" spans="1:12" ht="15.75" thickBot="1" x14ac:dyDescent="0.3">
      <c r="A15" s="1588"/>
      <c r="B15" s="1588"/>
      <c r="C15" s="1590"/>
      <c r="D15" s="452" t="s">
        <v>21</v>
      </c>
      <c r="E15" s="1594"/>
      <c r="F15" s="1598"/>
      <c r="G15" s="1598"/>
      <c r="H15" s="1598"/>
      <c r="I15" s="1598"/>
      <c r="J15" s="1598"/>
      <c r="K15" s="1596"/>
      <c r="L15" s="1601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632" t="s">
        <v>854</v>
      </c>
      <c r="I188" s="1632"/>
      <c r="J188" s="1632"/>
      <c r="K188" s="1632"/>
      <c r="L188" s="1632"/>
      <c r="M188" s="1632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633" t="s">
        <v>939</v>
      </c>
      <c r="I189" s="1633"/>
      <c r="J189" s="1633"/>
      <c r="K189" s="1633"/>
      <c r="L189" s="1633"/>
      <c r="M189" s="1633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631" t="s">
        <v>938</v>
      </c>
      <c r="I190" s="1631"/>
      <c r="J190" s="1631"/>
      <c r="K190" s="1631"/>
      <c r="L190" s="1631"/>
      <c r="M190" s="1631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629"/>
      <c r="J191" s="1629"/>
      <c r="K191" s="1629"/>
      <c r="L191" s="1629"/>
      <c r="M191" s="1629"/>
      <c r="N191" s="1629"/>
    </row>
    <row r="192" spans="1:14" ht="15.75" x14ac:dyDescent="0.25">
      <c r="A192" s="267"/>
      <c r="B192" s="308"/>
      <c r="C192" s="267"/>
      <c r="D192" s="268"/>
      <c r="E192" s="268"/>
      <c r="F192" s="269"/>
      <c r="G192" s="1549"/>
      <c r="H192" s="1549"/>
      <c r="I192" s="1549"/>
      <c r="J192" s="1549"/>
      <c r="K192" s="1549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56" t="s">
        <v>0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1:13" x14ac:dyDescent="0.25">
      <c r="A10" s="1556" t="s">
        <v>964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  <c r="M10" s="1556"/>
    </row>
    <row r="11" spans="1:13" x14ac:dyDescent="0.25">
      <c r="A11" s="1634" t="s">
        <v>441</v>
      </c>
      <c r="B11" s="1634"/>
      <c r="C11" s="1634"/>
      <c r="D11" s="1634"/>
      <c r="E11" s="1634"/>
      <c r="F11" s="1634"/>
      <c r="G11" s="1634"/>
      <c r="H11" s="1634"/>
      <c r="I11" s="1634"/>
      <c r="J11" s="1634"/>
      <c r="K11" s="1634"/>
      <c r="L11" s="1634"/>
      <c r="M11" s="163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611" t="s">
        <v>7</v>
      </c>
      <c r="B13" s="1635" t="s">
        <v>937</v>
      </c>
      <c r="C13" s="1613" t="s">
        <v>9</v>
      </c>
      <c r="D13" s="1611" t="s">
        <v>832</v>
      </c>
      <c r="E13" s="476" t="s">
        <v>12</v>
      </c>
      <c r="F13" s="1612" t="s">
        <v>13</v>
      </c>
      <c r="G13" s="1609" t="s">
        <v>14</v>
      </c>
      <c r="H13" s="1609" t="s">
        <v>15</v>
      </c>
      <c r="I13" s="1609" t="s">
        <v>16</v>
      </c>
      <c r="J13" s="1609" t="s">
        <v>17</v>
      </c>
      <c r="K13" s="1609" t="s">
        <v>18</v>
      </c>
      <c r="L13" s="1609" t="s">
        <v>19</v>
      </c>
      <c r="M13" s="1609" t="s">
        <v>20</v>
      </c>
    </row>
    <row r="14" spans="1:13" x14ac:dyDescent="0.25">
      <c r="A14" s="1611"/>
      <c r="B14" s="1636"/>
      <c r="C14" s="1613"/>
      <c r="D14" s="1611"/>
      <c r="E14" s="476" t="s">
        <v>21</v>
      </c>
      <c r="F14" s="1612"/>
      <c r="G14" s="1609"/>
      <c r="H14" s="1609"/>
      <c r="I14" s="1609"/>
      <c r="J14" s="1609"/>
      <c r="K14" s="1609"/>
      <c r="L14" s="1609"/>
      <c r="M14" s="1609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626" t="s">
        <v>854</v>
      </c>
      <c r="I84" s="1626"/>
      <c r="J84" s="1626"/>
      <c r="K84" s="1626"/>
      <c r="L84" s="1626"/>
      <c r="M84" s="1626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627" t="s">
        <v>852</v>
      </c>
      <c r="I85" s="1627"/>
      <c r="J85" s="1627"/>
      <c r="K85" s="1627"/>
      <c r="L85" s="1627"/>
      <c r="M85" s="1627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628" t="s">
        <v>853</v>
      </c>
      <c r="I86" s="1628"/>
      <c r="J86" s="1628"/>
      <c r="K86" s="1628"/>
      <c r="L86" s="1628"/>
      <c r="M86" s="1628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629"/>
      <c r="J87" s="1629"/>
      <c r="K87" s="1629"/>
      <c r="L87" s="1629"/>
      <c r="M87" s="1629"/>
      <c r="N87" s="1629"/>
    </row>
    <row r="88" spans="1:14" ht="15.75" x14ac:dyDescent="0.25">
      <c r="A88" s="267"/>
      <c r="B88" s="267"/>
      <c r="C88" s="267"/>
      <c r="D88" s="268"/>
      <c r="E88" s="268"/>
      <c r="F88" s="269"/>
      <c r="G88" s="1549"/>
      <c r="H88" s="1549"/>
      <c r="I88" s="1549"/>
      <c r="J88" s="1549"/>
      <c r="K88" s="1549"/>
      <c r="L88" s="271"/>
      <c r="M88" s="271"/>
      <c r="N8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1:13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1:13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1:13" x14ac:dyDescent="0.25">
      <c r="A10" s="1551" t="s">
        <v>966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</row>
    <row r="11" spans="1:13" x14ac:dyDescent="0.25">
      <c r="A11" s="1637" t="s">
        <v>412</v>
      </c>
      <c r="B11" s="1637"/>
      <c r="C11" s="1637"/>
      <c r="D11" s="1637"/>
      <c r="E11" s="1637"/>
      <c r="F11" s="1637"/>
      <c r="G11" s="1637"/>
      <c r="H11" s="1637"/>
      <c r="I11" s="1637"/>
      <c r="J11" s="1637"/>
      <c r="K11" s="1637"/>
      <c r="L11" s="1637"/>
      <c r="M11" s="1637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618" t="s">
        <v>7</v>
      </c>
      <c r="B13" s="1638" t="s">
        <v>937</v>
      </c>
      <c r="C13" s="1618" t="s">
        <v>9</v>
      </c>
      <c r="D13" s="1618" t="s">
        <v>832</v>
      </c>
      <c r="E13" s="421" t="s">
        <v>12</v>
      </c>
      <c r="F13" s="1619" t="s">
        <v>13</v>
      </c>
      <c r="G13" s="1615" t="s">
        <v>14</v>
      </c>
      <c r="H13" s="1615" t="s">
        <v>15</v>
      </c>
      <c r="I13" s="1615" t="s">
        <v>16</v>
      </c>
      <c r="J13" s="1615" t="s">
        <v>17</v>
      </c>
      <c r="K13" s="1615" t="s">
        <v>18</v>
      </c>
      <c r="L13" s="1615" t="s">
        <v>19</v>
      </c>
      <c r="M13" s="1615" t="s">
        <v>20</v>
      </c>
    </row>
    <row r="14" spans="1:13" x14ac:dyDescent="0.25">
      <c r="A14" s="1618"/>
      <c r="B14" s="1639"/>
      <c r="C14" s="1618"/>
      <c r="D14" s="1618"/>
      <c r="E14" s="421" t="s">
        <v>21</v>
      </c>
      <c r="F14" s="1619"/>
      <c r="G14" s="1615"/>
      <c r="H14" s="1615"/>
      <c r="I14" s="1615"/>
      <c r="J14" s="1615"/>
      <c r="K14" s="1615"/>
      <c r="L14" s="1615"/>
      <c r="M14" s="1615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626" t="s">
        <v>854</v>
      </c>
      <c r="I31" s="1626"/>
      <c r="J31" s="1626"/>
      <c r="K31" s="1626"/>
      <c r="L31" s="1626"/>
      <c r="M31" s="1626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627" t="s">
        <v>852</v>
      </c>
      <c r="I32" s="1627"/>
      <c r="J32" s="1627"/>
      <c r="K32" s="1627"/>
      <c r="L32" s="1627"/>
      <c r="M32" s="1627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628" t="s">
        <v>853</v>
      </c>
      <c r="I33" s="1628"/>
      <c r="J33" s="1628"/>
      <c r="K33" s="1628"/>
      <c r="L33" s="1628"/>
      <c r="M33" s="1628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629"/>
      <c r="J34" s="1629"/>
      <c r="K34" s="1629"/>
      <c r="L34" s="1629"/>
      <c r="M34" s="1629"/>
      <c r="N34" s="1629"/>
    </row>
    <row r="35" spans="1:14" ht="15.75" x14ac:dyDescent="0.25">
      <c r="A35" s="267"/>
      <c r="B35" s="267"/>
      <c r="C35" s="267"/>
      <c r="D35" s="268"/>
      <c r="E35" s="268"/>
      <c r="F35" s="269"/>
      <c r="G35" s="1549"/>
      <c r="H35" s="1549"/>
      <c r="I35" s="1549"/>
      <c r="J35" s="1549"/>
      <c r="K35" s="1549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963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870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611" t="s">
        <v>7</v>
      </c>
      <c r="B12" s="1611" t="s">
        <v>802</v>
      </c>
      <c r="C12" s="1611" t="s">
        <v>9</v>
      </c>
      <c r="D12" s="390" t="s">
        <v>12</v>
      </c>
      <c r="E12" s="1586" t="s">
        <v>13</v>
      </c>
      <c r="F12" s="1585" t="s">
        <v>14</v>
      </c>
      <c r="G12" s="1585" t="s">
        <v>15</v>
      </c>
      <c r="H12" s="1585" t="s">
        <v>16</v>
      </c>
      <c r="I12" s="1585" t="s">
        <v>17</v>
      </c>
      <c r="J12" s="1585" t="s">
        <v>18</v>
      </c>
      <c r="K12" s="1585" t="s">
        <v>19</v>
      </c>
      <c r="L12" s="1585" t="s">
        <v>20</v>
      </c>
    </row>
    <row r="13" spans="1:12" ht="16.5" customHeight="1" x14ac:dyDescent="0.25">
      <c r="A13" s="1611"/>
      <c r="B13" s="1611"/>
      <c r="C13" s="1611"/>
      <c r="D13" s="390" t="s">
        <v>21</v>
      </c>
      <c r="E13" s="1586"/>
      <c r="F13" s="1585"/>
      <c r="G13" s="1585"/>
      <c r="H13" s="1585"/>
      <c r="I13" s="1585"/>
      <c r="J13" s="1585"/>
      <c r="K13" s="1585"/>
      <c r="L13" s="1585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624" t="s">
        <v>854</v>
      </c>
      <c r="G21" s="1624"/>
      <c r="H21" s="1624"/>
      <c r="I21" s="1624"/>
      <c r="J21" s="1624"/>
      <c r="K21" s="1624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551" t="s">
        <v>852</v>
      </c>
      <c r="G22" s="1551"/>
      <c r="H22" s="1551"/>
      <c r="I22" s="1551"/>
      <c r="J22" s="1551"/>
      <c r="K22" s="1551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552" t="s">
        <v>853</v>
      </c>
      <c r="G23" s="1552"/>
      <c r="H23" s="1552"/>
      <c r="I23" s="1552"/>
      <c r="J23" s="1552"/>
      <c r="K23" s="1552"/>
      <c r="L23" s="259"/>
    </row>
    <row r="24" spans="1:12" x14ac:dyDescent="0.25">
      <c r="A24" s="535"/>
      <c r="B24" s="535"/>
      <c r="C24" s="536"/>
      <c r="D24" s="271"/>
      <c r="E24" s="269"/>
      <c r="F24" s="259"/>
      <c r="G24" s="1625"/>
      <c r="H24" s="1625"/>
      <c r="I24" s="1625"/>
      <c r="J24" s="1625"/>
      <c r="K24" s="1625"/>
      <c r="L24" s="1625"/>
    </row>
    <row r="25" spans="1:12" x14ac:dyDescent="0.25">
      <c r="A25" s="531"/>
      <c r="B25" s="531"/>
      <c r="C25" s="259"/>
      <c r="D25" s="269"/>
      <c r="E25" s="1552"/>
      <c r="F25" s="1552"/>
      <c r="G25" s="1552"/>
      <c r="H25" s="1552"/>
      <c r="I25" s="1552"/>
      <c r="J25" s="271"/>
      <c r="K25" s="271"/>
      <c r="L25" s="259"/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971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886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611" t="s">
        <v>7</v>
      </c>
      <c r="B12" s="1611" t="s">
        <v>802</v>
      </c>
      <c r="C12" s="1611" t="s">
        <v>9</v>
      </c>
      <c r="D12" s="390" t="s">
        <v>12</v>
      </c>
      <c r="E12" s="1586" t="s">
        <v>13</v>
      </c>
      <c r="F12" s="1585" t="s">
        <v>14</v>
      </c>
      <c r="G12" s="1585" t="s">
        <v>15</v>
      </c>
      <c r="H12" s="1585" t="s">
        <v>16</v>
      </c>
      <c r="I12" s="1585" t="s">
        <v>17</v>
      </c>
      <c r="J12" s="1585" t="s">
        <v>18</v>
      </c>
      <c r="K12" s="1585" t="s">
        <v>19</v>
      </c>
      <c r="L12" s="1585" t="s">
        <v>20</v>
      </c>
    </row>
    <row r="13" spans="1:12" ht="16.5" customHeight="1" x14ac:dyDescent="0.25">
      <c r="A13" s="1611"/>
      <c r="B13" s="1611"/>
      <c r="C13" s="1611"/>
      <c r="D13" s="390" t="s">
        <v>21</v>
      </c>
      <c r="E13" s="1586"/>
      <c r="F13" s="1585"/>
      <c r="G13" s="1585"/>
      <c r="H13" s="1585"/>
      <c r="I13" s="1585"/>
      <c r="J13" s="1585"/>
      <c r="K13" s="1585"/>
      <c r="L13" s="1585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626" t="s">
        <v>854</v>
      </c>
      <c r="G21" s="1626"/>
      <c r="H21" s="1626"/>
      <c r="I21" s="1626"/>
      <c r="J21" s="1626"/>
      <c r="K21" s="1626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627" t="s">
        <v>852</v>
      </c>
      <c r="G22" s="1627"/>
      <c r="H22" s="1627"/>
      <c r="I22" s="1627"/>
      <c r="J22" s="1627"/>
      <c r="K22" s="1627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628" t="s">
        <v>853</v>
      </c>
      <c r="G23" s="1628"/>
      <c r="H23" s="1628"/>
      <c r="I23" s="1628"/>
      <c r="J23" s="1628"/>
      <c r="K23" s="1628"/>
      <c r="L23" s="537"/>
    </row>
    <row r="24" spans="1:12" x14ac:dyDescent="0.25">
      <c r="A24" s="546"/>
      <c r="B24" s="546"/>
      <c r="C24" s="547"/>
      <c r="D24" s="541"/>
      <c r="E24" s="540"/>
      <c r="F24" s="537"/>
      <c r="G24" s="1629"/>
      <c r="H24" s="1629"/>
      <c r="I24" s="1629"/>
      <c r="J24" s="1629"/>
      <c r="K24" s="1629"/>
      <c r="L24" s="1629"/>
    </row>
    <row r="25" spans="1:12" ht="15.75" x14ac:dyDescent="0.25">
      <c r="A25" s="267"/>
      <c r="B25" s="267"/>
      <c r="C25" s="268"/>
      <c r="D25" s="269"/>
      <c r="E25" s="1549"/>
      <c r="F25" s="1549"/>
      <c r="G25" s="1549"/>
      <c r="H25" s="1549"/>
      <c r="I25" s="1549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970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11" t="s">
        <v>7</v>
      </c>
      <c r="B13" s="1635" t="s">
        <v>937</v>
      </c>
      <c r="C13" s="1620" t="s">
        <v>8</v>
      </c>
      <c r="D13" s="1620" t="s">
        <v>10</v>
      </c>
      <c r="E13" s="1620" t="s">
        <v>11</v>
      </c>
      <c r="F13" s="476" t="s">
        <v>12</v>
      </c>
      <c r="G13" s="1622" t="s">
        <v>13</v>
      </c>
      <c r="H13" s="1620" t="s">
        <v>14</v>
      </c>
      <c r="I13" s="1620" t="s">
        <v>15</v>
      </c>
      <c r="J13" s="1620" t="s">
        <v>16</v>
      </c>
      <c r="K13" s="1620" t="s">
        <v>17</v>
      </c>
      <c r="L13" s="1620" t="s">
        <v>18</v>
      </c>
      <c r="M13" s="1620" t="s">
        <v>19</v>
      </c>
      <c r="N13" s="1611" t="s">
        <v>20</v>
      </c>
    </row>
    <row r="14" spans="1:14" x14ac:dyDescent="0.25">
      <c r="A14" s="1611"/>
      <c r="B14" s="1636"/>
      <c r="C14" s="1621"/>
      <c r="D14" s="1621"/>
      <c r="E14" s="1621"/>
      <c r="F14" s="476" t="s">
        <v>21</v>
      </c>
      <c r="G14" s="1623"/>
      <c r="H14" s="1621"/>
      <c r="I14" s="1621"/>
      <c r="J14" s="1621"/>
      <c r="K14" s="1621"/>
      <c r="L14" s="1621"/>
      <c r="M14" s="1621"/>
      <c r="N14" s="161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626" t="s">
        <v>854</v>
      </c>
      <c r="I42" s="1626"/>
      <c r="J42" s="1626"/>
      <c r="K42" s="1626"/>
      <c r="L42" s="1626"/>
      <c r="M42" s="1626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627" t="s">
        <v>852</v>
      </c>
      <c r="I43" s="1627"/>
      <c r="J43" s="1627"/>
      <c r="K43" s="1627"/>
      <c r="L43" s="1627"/>
      <c r="M43" s="1627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628" t="s">
        <v>853</v>
      </c>
      <c r="I44" s="1628"/>
      <c r="J44" s="1628"/>
      <c r="K44" s="1628"/>
      <c r="L44" s="1628"/>
      <c r="M44" s="1628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629"/>
      <c r="J45" s="1629"/>
      <c r="K45" s="1629"/>
      <c r="L45" s="1629"/>
      <c r="M45" s="1629"/>
      <c r="N45" s="1629"/>
    </row>
    <row r="46" spans="1:14" ht="15.75" x14ac:dyDescent="0.25">
      <c r="A46" s="267"/>
      <c r="B46" s="267"/>
      <c r="C46" s="267"/>
      <c r="D46" s="268"/>
      <c r="E46" s="268"/>
      <c r="F46" s="269"/>
      <c r="G46" s="1549"/>
      <c r="H46" s="1549"/>
      <c r="I46" s="1549"/>
      <c r="J46" s="1549"/>
      <c r="K46" s="1549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56" t="s">
        <v>0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6" t="s">
        <v>972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</row>
    <row r="11" spans="1:12" x14ac:dyDescent="0.25">
      <c r="A11" s="1557" t="s">
        <v>404</v>
      </c>
      <c r="B11" s="1557"/>
      <c r="C11" s="1557"/>
      <c r="D11" s="1557"/>
      <c r="E11" s="1557"/>
      <c r="F11" s="1557"/>
      <c r="G11" s="1557"/>
      <c r="H11" s="1557"/>
      <c r="I11" s="1557"/>
      <c r="J11" s="1557"/>
      <c r="K11" s="1557"/>
      <c r="L11" s="1557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640" t="s">
        <v>7</v>
      </c>
      <c r="B14" s="1642" t="s">
        <v>802</v>
      </c>
      <c r="C14" s="1644" t="s">
        <v>9</v>
      </c>
      <c r="D14" s="451" t="s">
        <v>12</v>
      </c>
      <c r="E14" s="1646" t="s">
        <v>13</v>
      </c>
      <c r="F14" s="1648" t="s">
        <v>14</v>
      </c>
      <c r="G14" s="1648" t="s">
        <v>15</v>
      </c>
      <c r="H14" s="1648" t="s">
        <v>16</v>
      </c>
      <c r="I14" s="1648" t="s">
        <v>17</v>
      </c>
      <c r="J14" s="1648" t="s">
        <v>18</v>
      </c>
      <c r="K14" s="1650" t="s">
        <v>19</v>
      </c>
      <c r="L14" s="1600" t="s">
        <v>20</v>
      </c>
    </row>
    <row r="15" spans="1:12" ht="15.75" thickBot="1" x14ac:dyDescent="0.3">
      <c r="A15" s="1641"/>
      <c r="B15" s="1643"/>
      <c r="C15" s="1645"/>
      <c r="D15" s="452" t="s">
        <v>21</v>
      </c>
      <c r="E15" s="1647"/>
      <c r="F15" s="1649"/>
      <c r="G15" s="1649"/>
      <c r="H15" s="1649"/>
      <c r="I15" s="1649"/>
      <c r="J15" s="1649"/>
      <c r="K15" s="1651"/>
      <c r="L15" s="1652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632" t="s">
        <v>854</v>
      </c>
      <c r="I188" s="1632"/>
      <c r="J188" s="1632"/>
      <c r="K188" s="1632"/>
      <c r="L188" s="1632"/>
      <c r="M188" s="1632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633" t="s">
        <v>939</v>
      </c>
      <c r="I189" s="1633"/>
      <c r="J189" s="1633"/>
      <c r="K189" s="1633"/>
      <c r="L189" s="1633"/>
      <c r="M189" s="1633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631" t="s">
        <v>938</v>
      </c>
      <c r="I190" s="1631"/>
      <c r="J190" s="1631"/>
      <c r="K190" s="1631"/>
      <c r="L190" s="1631"/>
      <c r="M190" s="1631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629"/>
      <c r="J191" s="1629"/>
      <c r="K191" s="1629"/>
      <c r="L191" s="1629"/>
      <c r="M191" s="1629"/>
      <c r="N191" s="1629"/>
    </row>
    <row r="192" spans="1:14" ht="15.75" x14ac:dyDescent="0.25">
      <c r="A192" s="267"/>
      <c r="B192" s="308"/>
      <c r="C192" s="267"/>
      <c r="D192" s="268"/>
      <c r="E192" s="268"/>
      <c r="F192" s="269"/>
      <c r="G192" s="1549"/>
      <c r="H192" s="1549"/>
      <c r="I192" s="1549"/>
      <c r="J192" s="1549"/>
      <c r="K192" s="1549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56" t="s">
        <v>0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1:13" x14ac:dyDescent="0.25">
      <c r="A10" s="1556" t="s">
        <v>973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  <c r="M10" s="1556"/>
    </row>
    <row r="11" spans="1:13" x14ac:dyDescent="0.25">
      <c r="A11" s="1634" t="s">
        <v>441</v>
      </c>
      <c r="B11" s="1634"/>
      <c r="C11" s="1634"/>
      <c r="D11" s="1634"/>
      <c r="E11" s="1634"/>
      <c r="F11" s="1634"/>
      <c r="G11" s="1634"/>
      <c r="H11" s="1634"/>
      <c r="I11" s="1634"/>
      <c r="J11" s="1634"/>
      <c r="K11" s="1634"/>
      <c r="L11" s="1634"/>
      <c r="M11" s="163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611" t="s">
        <v>7</v>
      </c>
      <c r="B13" s="1635" t="s">
        <v>937</v>
      </c>
      <c r="C13" s="1613" t="s">
        <v>9</v>
      </c>
      <c r="D13" s="1611" t="s">
        <v>832</v>
      </c>
      <c r="E13" s="476" t="s">
        <v>12</v>
      </c>
      <c r="F13" s="1612" t="s">
        <v>13</v>
      </c>
      <c r="G13" s="1609" t="s">
        <v>14</v>
      </c>
      <c r="H13" s="1609" t="s">
        <v>15</v>
      </c>
      <c r="I13" s="1609" t="s">
        <v>16</v>
      </c>
      <c r="J13" s="1609" t="s">
        <v>17</v>
      </c>
      <c r="K13" s="1609" t="s">
        <v>18</v>
      </c>
      <c r="L13" s="1609" t="s">
        <v>19</v>
      </c>
      <c r="M13" s="1609" t="s">
        <v>20</v>
      </c>
    </row>
    <row r="14" spans="1:13" x14ac:dyDescent="0.25">
      <c r="A14" s="1611"/>
      <c r="B14" s="1636"/>
      <c r="C14" s="1613"/>
      <c r="D14" s="1611"/>
      <c r="E14" s="476" t="s">
        <v>21</v>
      </c>
      <c r="F14" s="1612"/>
      <c r="G14" s="1609"/>
      <c r="H14" s="1609"/>
      <c r="I14" s="1609"/>
      <c r="J14" s="1609"/>
      <c r="K14" s="1609"/>
      <c r="L14" s="1609"/>
      <c r="M14" s="1609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626" t="s">
        <v>854</v>
      </c>
      <c r="I85" s="1626"/>
      <c r="J85" s="1626"/>
      <c r="K85" s="1626"/>
      <c r="L85" s="1626"/>
      <c r="M85" s="1626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627" t="s">
        <v>852</v>
      </c>
      <c r="I86" s="1627"/>
      <c r="J86" s="1627"/>
      <c r="K86" s="1627"/>
      <c r="L86" s="1627"/>
      <c r="M86" s="1627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628" t="s">
        <v>853</v>
      </c>
      <c r="I87" s="1628"/>
      <c r="J87" s="1628"/>
      <c r="K87" s="1628"/>
      <c r="L87" s="1628"/>
      <c r="M87" s="1628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629"/>
      <c r="J88" s="1629"/>
      <c r="K88" s="1629"/>
      <c r="L88" s="1629"/>
      <c r="M88" s="1629"/>
      <c r="N88" s="1629"/>
    </row>
    <row r="89" spans="1:14" ht="15.75" x14ac:dyDescent="0.25">
      <c r="A89" s="267"/>
      <c r="B89" s="267"/>
      <c r="C89" s="267"/>
      <c r="D89" s="268"/>
      <c r="E89" s="268"/>
      <c r="F89" s="269"/>
      <c r="G89" s="1549"/>
      <c r="H89" s="1549"/>
      <c r="I89" s="1549"/>
      <c r="J89" s="1549"/>
      <c r="K89" s="1549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1:13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1:13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1:13" x14ac:dyDescent="0.25">
      <c r="A10" s="1551" t="s">
        <v>974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</row>
    <row r="11" spans="1:13" x14ac:dyDescent="0.25">
      <c r="A11" s="1637" t="s">
        <v>412</v>
      </c>
      <c r="B11" s="1637"/>
      <c r="C11" s="1637"/>
      <c r="D11" s="1637"/>
      <c r="E11" s="1637"/>
      <c r="F11" s="1637"/>
      <c r="G11" s="1637"/>
      <c r="H11" s="1637"/>
      <c r="I11" s="1637"/>
      <c r="J11" s="1637"/>
      <c r="K11" s="1637"/>
      <c r="L11" s="1637"/>
      <c r="M11" s="1637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618" t="s">
        <v>7</v>
      </c>
      <c r="B13" s="1638" t="s">
        <v>937</v>
      </c>
      <c r="C13" s="1618" t="s">
        <v>9</v>
      </c>
      <c r="D13" s="1618" t="s">
        <v>832</v>
      </c>
      <c r="E13" s="421" t="s">
        <v>12</v>
      </c>
      <c r="F13" s="1619" t="s">
        <v>13</v>
      </c>
      <c r="G13" s="1615" t="s">
        <v>14</v>
      </c>
      <c r="H13" s="1615" t="s">
        <v>15</v>
      </c>
      <c r="I13" s="1615" t="s">
        <v>16</v>
      </c>
      <c r="J13" s="1615" t="s">
        <v>17</v>
      </c>
      <c r="K13" s="1615" t="s">
        <v>18</v>
      </c>
      <c r="L13" s="1615" t="s">
        <v>19</v>
      </c>
      <c r="M13" s="1615" t="s">
        <v>20</v>
      </c>
    </row>
    <row r="14" spans="1:13" x14ac:dyDescent="0.25">
      <c r="A14" s="1618"/>
      <c r="B14" s="1639"/>
      <c r="C14" s="1618"/>
      <c r="D14" s="1618"/>
      <c r="E14" s="421" t="s">
        <v>21</v>
      </c>
      <c r="F14" s="1619"/>
      <c r="G14" s="1615"/>
      <c r="H14" s="1615"/>
      <c r="I14" s="1615"/>
      <c r="J14" s="1615"/>
      <c r="K14" s="1615"/>
      <c r="L14" s="1615"/>
      <c r="M14" s="1615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626" t="s">
        <v>854</v>
      </c>
      <c r="I31" s="1626"/>
      <c r="J31" s="1626"/>
      <c r="K31" s="1626"/>
      <c r="L31" s="1626"/>
      <c r="M31" s="1626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627" t="s">
        <v>852</v>
      </c>
      <c r="I32" s="1627"/>
      <c r="J32" s="1627"/>
      <c r="K32" s="1627"/>
      <c r="L32" s="1627"/>
      <c r="M32" s="1627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628" t="s">
        <v>853</v>
      </c>
      <c r="I33" s="1628"/>
      <c r="J33" s="1628"/>
      <c r="K33" s="1628"/>
      <c r="L33" s="1628"/>
      <c r="M33" s="1628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629"/>
      <c r="J34" s="1629"/>
      <c r="K34" s="1629"/>
      <c r="L34" s="1629"/>
      <c r="M34" s="1629"/>
      <c r="N34" s="1629"/>
    </row>
    <row r="35" spans="1:14" ht="15.75" x14ac:dyDescent="0.25">
      <c r="A35" s="267"/>
      <c r="B35" s="267"/>
      <c r="C35" s="267"/>
      <c r="D35" s="268"/>
      <c r="E35" s="268"/>
      <c r="F35" s="269"/>
      <c r="G35" s="1549"/>
      <c r="H35" s="1549"/>
      <c r="I35" s="1549"/>
      <c r="J35" s="1549"/>
      <c r="K35" s="1549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975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870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611" t="s">
        <v>7</v>
      </c>
      <c r="B12" s="1611" t="s">
        <v>802</v>
      </c>
      <c r="C12" s="1611" t="s">
        <v>9</v>
      </c>
      <c r="D12" s="390" t="s">
        <v>12</v>
      </c>
      <c r="E12" s="1586" t="s">
        <v>13</v>
      </c>
      <c r="F12" s="1585" t="s">
        <v>14</v>
      </c>
      <c r="G12" s="1585" t="s">
        <v>15</v>
      </c>
      <c r="H12" s="1585" t="s">
        <v>16</v>
      </c>
      <c r="I12" s="1585" t="s">
        <v>17</v>
      </c>
      <c r="J12" s="1585" t="s">
        <v>18</v>
      </c>
      <c r="K12" s="1585" t="s">
        <v>19</v>
      </c>
      <c r="L12" s="1585" t="s">
        <v>20</v>
      </c>
    </row>
    <row r="13" spans="1:12" ht="16.5" customHeight="1" x14ac:dyDescent="0.25">
      <c r="A13" s="1611"/>
      <c r="B13" s="1611"/>
      <c r="C13" s="1611"/>
      <c r="D13" s="390" t="s">
        <v>21</v>
      </c>
      <c r="E13" s="1586"/>
      <c r="F13" s="1585"/>
      <c r="G13" s="1585"/>
      <c r="H13" s="1585"/>
      <c r="I13" s="1585"/>
      <c r="J13" s="1585"/>
      <c r="K13" s="1585"/>
      <c r="L13" s="1585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624" t="s">
        <v>854</v>
      </c>
      <c r="G21" s="1624"/>
      <c r="H21" s="1624"/>
      <c r="I21" s="1624"/>
      <c r="J21" s="1624"/>
      <c r="K21" s="1624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551" t="s">
        <v>852</v>
      </c>
      <c r="G22" s="1551"/>
      <c r="H22" s="1551"/>
      <c r="I22" s="1551"/>
      <c r="J22" s="1551"/>
      <c r="K22" s="1551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552" t="s">
        <v>853</v>
      </c>
      <c r="G23" s="1552"/>
      <c r="H23" s="1552"/>
      <c r="I23" s="1552"/>
      <c r="J23" s="1552"/>
      <c r="K23" s="1552"/>
      <c r="L23" s="259"/>
    </row>
    <row r="24" spans="1:12" x14ac:dyDescent="0.25">
      <c r="A24" s="535"/>
      <c r="B24" s="535"/>
      <c r="C24" s="536"/>
      <c r="D24" s="271"/>
      <c r="E24" s="269"/>
      <c r="F24" s="259"/>
      <c r="G24" s="1625"/>
      <c r="H24" s="1625"/>
      <c r="I24" s="1625"/>
      <c r="J24" s="1625"/>
      <c r="K24" s="1625"/>
      <c r="L24" s="1625"/>
    </row>
    <row r="25" spans="1:12" x14ac:dyDescent="0.25">
      <c r="A25" s="531"/>
      <c r="B25" s="531"/>
      <c r="C25" s="259"/>
      <c r="D25" s="269"/>
      <c r="E25" s="1552"/>
      <c r="F25" s="1552"/>
      <c r="G25" s="1552"/>
      <c r="H25" s="1552"/>
      <c r="I25" s="1552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976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886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611" t="s">
        <v>7</v>
      </c>
      <c r="B12" s="1611" t="s">
        <v>802</v>
      </c>
      <c r="C12" s="1611" t="s">
        <v>9</v>
      </c>
      <c r="D12" s="390" t="s">
        <v>12</v>
      </c>
      <c r="E12" s="1586" t="s">
        <v>13</v>
      </c>
      <c r="F12" s="1585" t="s">
        <v>14</v>
      </c>
      <c r="G12" s="1585" t="s">
        <v>15</v>
      </c>
      <c r="H12" s="1585" t="s">
        <v>16</v>
      </c>
      <c r="I12" s="1585" t="s">
        <v>17</v>
      </c>
      <c r="J12" s="1585" t="s">
        <v>18</v>
      </c>
      <c r="K12" s="1585" t="s">
        <v>19</v>
      </c>
      <c r="L12" s="1585" t="s">
        <v>20</v>
      </c>
    </row>
    <row r="13" spans="1:12" ht="16.5" customHeight="1" x14ac:dyDescent="0.25">
      <c r="A13" s="1611"/>
      <c r="B13" s="1611"/>
      <c r="C13" s="1611"/>
      <c r="D13" s="390" t="s">
        <v>21</v>
      </c>
      <c r="E13" s="1586"/>
      <c r="F13" s="1585"/>
      <c r="G13" s="1585"/>
      <c r="H13" s="1585"/>
      <c r="I13" s="1585"/>
      <c r="J13" s="1585"/>
      <c r="K13" s="1585"/>
      <c r="L13" s="1585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626" t="s">
        <v>854</v>
      </c>
      <c r="G21" s="1626"/>
      <c r="H21" s="1626"/>
      <c r="I21" s="1626"/>
      <c r="J21" s="1626"/>
      <c r="K21" s="1626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627" t="s">
        <v>852</v>
      </c>
      <c r="G22" s="1627"/>
      <c r="H22" s="1627"/>
      <c r="I22" s="1627"/>
      <c r="J22" s="1627"/>
      <c r="K22" s="1627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628" t="s">
        <v>853</v>
      </c>
      <c r="G23" s="1628"/>
      <c r="H23" s="1628"/>
      <c r="I23" s="1628"/>
      <c r="J23" s="1628"/>
      <c r="K23" s="1628"/>
      <c r="L23" s="537"/>
    </row>
    <row r="24" spans="1:12" x14ac:dyDescent="0.25">
      <c r="A24" s="546"/>
      <c r="B24" s="546"/>
      <c r="C24" s="547"/>
      <c r="D24" s="541"/>
      <c r="E24" s="540"/>
      <c r="F24" s="537"/>
      <c r="G24" s="1629"/>
      <c r="H24" s="1629"/>
      <c r="I24" s="1629"/>
      <c r="J24" s="1629"/>
      <c r="K24" s="1629"/>
      <c r="L24" s="1629"/>
    </row>
    <row r="25" spans="1:12" ht="15.75" x14ac:dyDescent="0.25">
      <c r="A25" s="267"/>
      <c r="B25" s="267"/>
      <c r="C25" s="268"/>
      <c r="D25" s="269"/>
      <c r="E25" s="1549"/>
      <c r="F25" s="1549"/>
      <c r="G25" s="1549"/>
      <c r="H25" s="1549"/>
      <c r="I25" s="1549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977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11" t="s">
        <v>7</v>
      </c>
      <c r="B13" s="1635" t="s">
        <v>937</v>
      </c>
      <c r="C13" s="1620" t="s">
        <v>8</v>
      </c>
      <c r="D13" s="1620" t="s">
        <v>10</v>
      </c>
      <c r="E13" s="1620" t="s">
        <v>11</v>
      </c>
      <c r="F13" s="476" t="s">
        <v>12</v>
      </c>
      <c r="G13" s="1622" t="s">
        <v>13</v>
      </c>
      <c r="H13" s="1620" t="s">
        <v>14</v>
      </c>
      <c r="I13" s="1620" t="s">
        <v>15</v>
      </c>
      <c r="J13" s="1620" t="s">
        <v>16</v>
      </c>
      <c r="K13" s="1620" t="s">
        <v>17</v>
      </c>
      <c r="L13" s="1620" t="s">
        <v>18</v>
      </c>
      <c r="M13" s="1620" t="s">
        <v>19</v>
      </c>
      <c r="N13" s="1611" t="s">
        <v>20</v>
      </c>
    </row>
    <row r="14" spans="1:14" x14ac:dyDescent="0.25">
      <c r="A14" s="1611"/>
      <c r="B14" s="1636"/>
      <c r="C14" s="1621"/>
      <c r="D14" s="1621"/>
      <c r="E14" s="1621"/>
      <c r="F14" s="476" t="s">
        <v>21</v>
      </c>
      <c r="G14" s="1623"/>
      <c r="H14" s="1621"/>
      <c r="I14" s="1621"/>
      <c r="J14" s="1621"/>
      <c r="K14" s="1621"/>
      <c r="L14" s="1621"/>
      <c r="M14" s="1621"/>
      <c r="N14" s="161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626" t="s">
        <v>854</v>
      </c>
      <c r="I37" s="1626"/>
      <c r="J37" s="1626"/>
      <c r="K37" s="1626"/>
      <c r="L37" s="1626"/>
      <c r="M37" s="162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627" t="s">
        <v>852</v>
      </c>
      <c r="I38" s="1627"/>
      <c r="J38" s="1627"/>
      <c r="K38" s="1627"/>
      <c r="L38" s="1627"/>
      <c r="M38" s="1627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628" t="s">
        <v>853</v>
      </c>
      <c r="I39" s="1628"/>
      <c r="J39" s="1628"/>
      <c r="K39" s="1628"/>
      <c r="L39" s="1628"/>
      <c r="M39" s="162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9"/>
      <c r="J40" s="1629"/>
      <c r="K40" s="1629"/>
      <c r="L40" s="1629"/>
      <c r="M40" s="1629"/>
      <c r="N40" s="1629"/>
    </row>
    <row r="41" spans="1:14" ht="15.75" x14ac:dyDescent="0.25">
      <c r="A41" s="267"/>
      <c r="B41" s="267"/>
      <c r="C41" s="267"/>
      <c r="D41" s="268"/>
      <c r="E41" s="268"/>
      <c r="F41" s="269"/>
      <c r="G41" s="1549"/>
      <c r="H41" s="1549"/>
      <c r="I41" s="1549"/>
      <c r="J41" s="1549"/>
      <c r="K41" s="1549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56" t="s">
        <v>0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6" t="s">
        <v>981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</row>
    <row r="11" spans="1:12" x14ac:dyDescent="0.25">
      <c r="A11" s="1557" t="s">
        <v>404</v>
      </c>
      <c r="B11" s="1557"/>
      <c r="C11" s="1557"/>
      <c r="D11" s="1557"/>
      <c r="E11" s="1557"/>
      <c r="F11" s="1557"/>
      <c r="G11" s="1557"/>
      <c r="H11" s="1557"/>
      <c r="I11" s="1557"/>
      <c r="J11" s="1557"/>
      <c r="K11" s="1557"/>
      <c r="L11" s="1557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640" t="s">
        <v>7</v>
      </c>
      <c r="B14" s="1642" t="s">
        <v>802</v>
      </c>
      <c r="C14" s="1644" t="s">
        <v>9</v>
      </c>
      <c r="D14" s="451" t="s">
        <v>12</v>
      </c>
      <c r="E14" s="1646" t="s">
        <v>13</v>
      </c>
      <c r="F14" s="1648" t="s">
        <v>14</v>
      </c>
      <c r="G14" s="1648" t="s">
        <v>15</v>
      </c>
      <c r="H14" s="1648" t="s">
        <v>16</v>
      </c>
      <c r="I14" s="1648" t="s">
        <v>17</v>
      </c>
      <c r="J14" s="1648" t="s">
        <v>18</v>
      </c>
      <c r="K14" s="1650" t="s">
        <v>19</v>
      </c>
      <c r="L14" s="1600" t="s">
        <v>20</v>
      </c>
    </row>
    <row r="15" spans="1:12" ht="15.75" thickBot="1" x14ac:dyDescent="0.3">
      <c r="A15" s="1641"/>
      <c r="B15" s="1643"/>
      <c r="C15" s="1645"/>
      <c r="D15" s="452" t="s">
        <v>21</v>
      </c>
      <c r="E15" s="1647"/>
      <c r="F15" s="1649"/>
      <c r="G15" s="1649"/>
      <c r="H15" s="1649"/>
      <c r="I15" s="1649"/>
      <c r="J15" s="1649"/>
      <c r="K15" s="1651"/>
      <c r="L15" s="1652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632" t="s">
        <v>854</v>
      </c>
      <c r="I189" s="1632"/>
      <c r="J189" s="1632"/>
      <c r="K189" s="1632"/>
      <c r="L189" s="1632"/>
      <c r="M189" s="1632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633" t="s">
        <v>939</v>
      </c>
      <c r="I190" s="1633"/>
      <c r="J190" s="1633"/>
      <c r="K190" s="1633"/>
      <c r="L190" s="1633"/>
      <c r="M190" s="1633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631" t="s">
        <v>938</v>
      </c>
      <c r="I191" s="1631"/>
      <c r="J191" s="1631"/>
      <c r="K191" s="1631"/>
      <c r="L191" s="1631"/>
      <c r="M191" s="1631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629"/>
      <c r="J192" s="1629"/>
      <c r="K192" s="1629"/>
      <c r="L192" s="1629"/>
      <c r="M192" s="1629"/>
      <c r="N192" s="1629"/>
    </row>
    <row r="193" spans="7:11" ht="15.75" x14ac:dyDescent="0.25">
      <c r="G193" s="1549"/>
      <c r="H193" s="1549"/>
      <c r="I193" s="1549"/>
      <c r="J193" s="1549"/>
      <c r="K193" s="1549"/>
    </row>
  </sheetData>
  <mergeCells count="20"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56" t="s">
        <v>0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1:13" x14ac:dyDescent="0.25">
      <c r="A10" s="1556" t="s">
        <v>982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  <c r="M10" s="1556"/>
    </row>
    <row r="11" spans="1:13" x14ac:dyDescent="0.25">
      <c r="A11" s="1634" t="s">
        <v>441</v>
      </c>
      <c r="B11" s="1634"/>
      <c r="C11" s="1634"/>
      <c r="D11" s="1634"/>
      <c r="E11" s="1634"/>
      <c r="F11" s="1634"/>
      <c r="G11" s="1634"/>
      <c r="H11" s="1634"/>
      <c r="I11" s="1634"/>
      <c r="J11" s="1634"/>
      <c r="K11" s="1634"/>
      <c r="L11" s="1634"/>
      <c r="M11" s="163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611" t="s">
        <v>7</v>
      </c>
      <c r="B13" s="1635" t="s">
        <v>937</v>
      </c>
      <c r="C13" s="1613" t="s">
        <v>9</v>
      </c>
      <c r="D13" s="1611" t="s">
        <v>832</v>
      </c>
      <c r="E13" s="476" t="s">
        <v>12</v>
      </c>
      <c r="F13" s="1612" t="s">
        <v>13</v>
      </c>
      <c r="G13" s="1609" t="s">
        <v>14</v>
      </c>
      <c r="H13" s="1609" t="s">
        <v>15</v>
      </c>
      <c r="I13" s="1609" t="s">
        <v>16</v>
      </c>
      <c r="J13" s="1609" t="s">
        <v>17</v>
      </c>
      <c r="K13" s="1609" t="s">
        <v>18</v>
      </c>
      <c r="L13" s="1609" t="s">
        <v>19</v>
      </c>
      <c r="M13" s="1609" t="s">
        <v>20</v>
      </c>
    </row>
    <row r="14" spans="1:13" x14ac:dyDescent="0.25">
      <c r="A14" s="1611"/>
      <c r="B14" s="1636"/>
      <c r="C14" s="1613"/>
      <c r="D14" s="1611"/>
      <c r="E14" s="476" t="s">
        <v>21</v>
      </c>
      <c r="F14" s="1612"/>
      <c r="G14" s="1609"/>
      <c r="H14" s="1609"/>
      <c r="I14" s="1609"/>
      <c r="J14" s="1609"/>
      <c r="K14" s="1609"/>
      <c r="L14" s="1609"/>
      <c r="M14" s="1609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626" t="s">
        <v>854</v>
      </c>
      <c r="I85" s="1626"/>
      <c r="J85" s="1626"/>
      <c r="K85" s="1626"/>
      <c r="L85" s="1626"/>
      <c r="M85" s="1626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627" t="s">
        <v>852</v>
      </c>
      <c r="I86" s="1627"/>
      <c r="J86" s="1627"/>
      <c r="K86" s="1627"/>
      <c r="L86" s="1627"/>
      <c r="M86" s="1627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628" t="s">
        <v>853</v>
      </c>
      <c r="I87" s="1628"/>
      <c r="J87" s="1628"/>
      <c r="K87" s="1628"/>
      <c r="L87" s="1628"/>
      <c r="M87" s="1628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629"/>
      <c r="J88" s="1629"/>
      <c r="K88" s="1629"/>
      <c r="L88" s="1629"/>
      <c r="M88" s="1629"/>
      <c r="N88" s="1629"/>
    </row>
    <row r="89" spans="1:14" ht="15.75" x14ac:dyDescent="0.25">
      <c r="A89" s="267"/>
      <c r="B89" s="267"/>
      <c r="C89" s="267"/>
      <c r="D89" s="268"/>
      <c r="E89" s="268"/>
      <c r="F89" s="269"/>
      <c r="G89" s="1549"/>
      <c r="H89" s="1549"/>
      <c r="I89" s="1549"/>
      <c r="J89" s="1549"/>
      <c r="K89" s="1549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983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11" t="s">
        <v>7</v>
      </c>
      <c r="B13" s="1635" t="s">
        <v>937</v>
      </c>
      <c r="C13" s="1620" t="s">
        <v>8</v>
      </c>
      <c r="D13" s="1620" t="s">
        <v>10</v>
      </c>
      <c r="E13" s="1620" t="s">
        <v>11</v>
      </c>
      <c r="F13" s="476" t="s">
        <v>12</v>
      </c>
      <c r="G13" s="1622" t="s">
        <v>13</v>
      </c>
      <c r="H13" s="1620" t="s">
        <v>14</v>
      </c>
      <c r="I13" s="1620" t="s">
        <v>15</v>
      </c>
      <c r="J13" s="1620" t="s">
        <v>16</v>
      </c>
      <c r="K13" s="1620" t="s">
        <v>17</v>
      </c>
      <c r="L13" s="1620" t="s">
        <v>18</v>
      </c>
      <c r="M13" s="1620" t="s">
        <v>19</v>
      </c>
      <c r="N13" s="1611" t="s">
        <v>20</v>
      </c>
    </row>
    <row r="14" spans="1:14" x14ac:dyDescent="0.25">
      <c r="A14" s="1611"/>
      <c r="B14" s="1636"/>
      <c r="C14" s="1621"/>
      <c r="D14" s="1621"/>
      <c r="E14" s="1621"/>
      <c r="F14" s="476" t="s">
        <v>21</v>
      </c>
      <c r="G14" s="1623"/>
      <c r="H14" s="1621"/>
      <c r="I14" s="1621"/>
      <c r="J14" s="1621"/>
      <c r="K14" s="1621"/>
      <c r="L14" s="1621"/>
      <c r="M14" s="1621"/>
      <c r="N14" s="161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626" t="s">
        <v>854</v>
      </c>
      <c r="I37" s="1626"/>
      <c r="J37" s="1626"/>
      <c r="K37" s="1626"/>
      <c r="L37" s="1626"/>
      <c r="M37" s="162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627" t="s">
        <v>852</v>
      </c>
      <c r="I38" s="1627"/>
      <c r="J38" s="1627"/>
      <c r="K38" s="1627"/>
      <c r="L38" s="1627"/>
      <c r="M38" s="1627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628" t="s">
        <v>853</v>
      </c>
      <c r="I39" s="1628"/>
      <c r="J39" s="1628"/>
      <c r="K39" s="1628"/>
      <c r="L39" s="1628"/>
      <c r="M39" s="162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9"/>
      <c r="J40" s="1629"/>
      <c r="K40" s="1629"/>
      <c r="L40" s="1629"/>
      <c r="M40" s="1629"/>
      <c r="N40" s="1629"/>
    </row>
    <row r="41" spans="1:14" ht="15.75" x14ac:dyDescent="0.25">
      <c r="A41" s="267"/>
      <c r="B41" s="267"/>
      <c r="C41" s="267"/>
      <c r="D41" s="268"/>
      <c r="E41" s="268"/>
      <c r="F41" s="269"/>
      <c r="G41" s="1549"/>
      <c r="H41" s="1549"/>
      <c r="I41" s="1549"/>
      <c r="J41" s="1549"/>
      <c r="K41" s="1549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984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886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611" t="s">
        <v>7</v>
      </c>
      <c r="B12" s="1611" t="s">
        <v>802</v>
      </c>
      <c r="C12" s="1611" t="s">
        <v>9</v>
      </c>
      <c r="D12" s="390" t="s">
        <v>12</v>
      </c>
      <c r="E12" s="1586" t="s">
        <v>13</v>
      </c>
      <c r="F12" s="1585" t="s">
        <v>14</v>
      </c>
      <c r="G12" s="1585" t="s">
        <v>15</v>
      </c>
      <c r="H12" s="1585" t="s">
        <v>16</v>
      </c>
      <c r="I12" s="1585" t="s">
        <v>17</v>
      </c>
      <c r="J12" s="1585" t="s">
        <v>18</v>
      </c>
      <c r="K12" s="1585" t="s">
        <v>19</v>
      </c>
      <c r="L12" s="1585" t="s">
        <v>20</v>
      </c>
    </row>
    <row r="13" spans="1:12" ht="16.5" customHeight="1" x14ac:dyDescent="0.25">
      <c r="A13" s="1611"/>
      <c r="B13" s="1611"/>
      <c r="C13" s="1611"/>
      <c r="D13" s="390" t="s">
        <v>21</v>
      </c>
      <c r="E13" s="1586"/>
      <c r="F13" s="1585"/>
      <c r="G13" s="1585"/>
      <c r="H13" s="1585"/>
      <c r="I13" s="1585"/>
      <c r="J13" s="1585"/>
      <c r="K13" s="1585"/>
      <c r="L13" s="1585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626" t="s">
        <v>854</v>
      </c>
      <c r="G21" s="1626"/>
      <c r="H21" s="1626"/>
      <c r="I21" s="1626"/>
      <c r="J21" s="1626"/>
      <c r="K21" s="1626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627" t="s">
        <v>852</v>
      </c>
      <c r="G22" s="1627"/>
      <c r="H22" s="1627"/>
      <c r="I22" s="1627"/>
      <c r="J22" s="1627"/>
      <c r="K22" s="1627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628" t="s">
        <v>853</v>
      </c>
      <c r="G23" s="1628"/>
      <c r="H23" s="1628"/>
      <c r="I23" s="1628"/>
      <c r="J23" s="1628"/>
      <c r="K23" s="1628"/>
      <c r="L23" s="537"/>
    </row>
    <row r="24" spans="1:12" x14ac:dyDescent="0.25">
      <c r="A24" s="546"/>
      <c r="B24" s="546"/>
      <c r="C24" s="547"/>
      <c r="D24" s="541"/>
      <c r="E24" s="540"/>
      <c r="F24" s="537"/>
      <c r="G24" s="1629"/>
      <c r="H24" s="1629"/>
      <c r="I24" s="1629"/>
      <c r="J24" s="1629"/>
      <c r="K24" s="1629"/>
      <c r="L24" s="1629"/>
    </row>
    <row r="25" spans="1:12" ht="15.75" x14ac:dyDescent="0.25">
      <c r="A25" s="267"/>
      <c r="B25" s="267"/>
      <c r="C25" s="268"/>
      <c r="D25" s="269"/>
      <c r="E25" s="1549"/>
      <c r="F25" s="1549"/>
      <c r="G25" s="1549"/>
      <c r="H25" s="1549"/>
      <c r="I25" s="1549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1:13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1:13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1:13" x14ac:dyDescent="0.25">
      <c r="A10" s="1551" t="s">
        <v>985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</row>
    <row r="11" spans="1:13" x14ac:dyDescent="0.25">
      <c r="A11" s="1637" t="s">
        <v>412</v>
      </c>
      <c r="B11" s="1637"/>
      <c r="C11" s="1637"/>
      <c r="D11" s="1637"/>
      <c r="E11" s="1637"/>
      <c r="F11" s="1637"/>
      <c r="G11" s="1637"/>
      <c r="H11" s="1637"/>
      <c r="I11" s="1637"/>
      <c r="J11" s="1637"/>
      <c r="K11" s="1637"/>
      <c r="L11" s="1637"/>
      <c r="M11" s="1637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618" t="s">
        <v>7</v>
      </c>
      <c r="B13" s="1638" t="s">
        <v>937</v>
      </c>
      <c r="C13" s="1618" t="s">
        <v>9</v>
      </c>
      <c r="D13" s="1618" t="s">
        <v>832</v>
      </c>
      <c r="E13" s="421" t="s">
        <v>12</v>
      </c>
      <c r="F13" s="1619" t="s">
        <v>13</v>
      </c>
      <c r="G13" s="1615" t="s">
        <v>14</v>
      </c>
      <c r="H13" s="1615" t="s">
        <v>15</v>
      </c>
      <c r="I13" s="1615" t="s">
        <v>16</v>
      </c>
      <c r="J13" s="1615" t="s">
        <v>17</v>
      </c>
      <c r="K13" s="1615" t="s">
        <v>18</v>
      </c>
      <c r="L13" s="1615" t="s">
        <v>19</v>
      </c>
      <c r="M13" s="1615" t="s">
        <v>20</v>
      </c>
    </row>
    <row r="14" spans="1:13" x14ac:dyDescent="0.25">
      <c r="A14" s="1618"/>
      <c r="B14" s="1639"/>
      <c r="C14" s="1618"/>
      <c r="D14" s="1618"/>
      <c r="E14" s="421" t="s">
        <v>21</v>
      </c>
      <c r="F14" s="1619"/>
      <c r="G14" s="1615"/>
      <c r="H14" s="1615"/>
      <c r="I14" s="1615"/>
      <c r="J14" s="1615"/>
      <c r="K14" s="1615"/>
      <c r="L14" s="1615"/>
      <c r="M14" s="1615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626" t="s">
        <v>854</v>
      </c>
      <c r="I31" s="1626"/>
      <c r="J31" s="1626"/>
      <c r="K31" s="1626"/>
      <c r="L31" s="1626"/>
      <c r="M31" s="1626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627" t="s">
        <v>852</v>
      </c>
      <c r="I32" s="1627"/>
      <c r="J32" s="1627"/>
      <c r="K32" s="1627"/>
      <c r="L32" s="1627"/>
      <c r="M32" s="1627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628" t="s">
        <v>853</v>
      </c>
      <c r="I33" s="1628"/>
      <c r="J33" s="1628"/>
      <c r="K33" s="1628"/>
      <c r="L33" s="1628"/>
      <c r="M33" s="1628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629"/>
      <c r="J34" s="1629"/>
      <c r="K34" s="1629"/>
      <c r="L34" s="1629"/>
      <c r="M34" s="1629"/>
      <c r="N34" s="1629"/>
    </row>
    <row r="35" spans="1:14" ht="15.75" x14ac:dyDescent="0.25">
      <c r="A35" s="267"/>
      <c r="B35" s="267"/>
      <c r="C35" s="267"/>
      <c r="D35" s="268"/>
      <c r="E35" s="268"/>
      <c r="F35" s="269"/>
      <c r="G35" s="1549"/>
      <c r="H35" s="1549"/>
      <c r="I35" s="1549"/>
      <c r="J35" s="1549"/>
      <c r="K35" s="1549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56" t="s">
        <v>0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6" t="s">
        <v>991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</row>
    <row r="11" spans="1:12" x14ac:dyDescent="0.25">
      <c r="A11" s="1557" t="s">
        <v>404</v>
      </c>
      <c r="B11" s="1557"/>
      <c r="C11" s="1557"/>
      <c r="D11" s="1557"/>
      <c r="E11" s="1557"/>
      <c r="F11" s="1557"/>
      <c r="G11" s="1557"/>
      <c r="H11" s="1557"/>
      <c r="I11" s="1557"/>
      <c r="J11" s="1557"/>
      <c r="K11" s="1557"/>
      <c r="L11" s="1557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640" t="s">
        <v>7</v>
      </c>
      <c r="B14" s="1642" t="s">
        <v>802</v>
      </c>
      <c r="C14" s="1644" t="s">
        <v>9</v>
      </c>
      <c r="D14" s="451" t="s">
        <v>12</v>
      </c>
      <c r="E14" s="1646" t="s">
        <v>13</v>
      </c>
      <c r="F14" s="1648" t="s">
        <v>14</v>
      </c>
      <c r="G14" s="1648" t="s">
        <v>15</v>
      </c>
      <c r="H14" s="1648" t="s">
        <v>16</v>
      </c>
      <c r="I14" s="1648" t="s">
        <v>17</v>
      </c>
      <c r="J14" s="1648" t="s">
        <v>18</v>
      </c>
      <c r="K14" s="1650" t="s">
        <v>19</v>
      </c>
      <c r="L14" s="1600" t="s">
        <v>20</v>
      </c>
    </row>
    <row r="15" spans="1:12" ht="15.75" thickBot="1" x14ac:dyDescent="0.3">
      <c r="A15" s="1641"/>
      <c r="B15" s="1643"/>
      <c r="C15" s="1645"/>
      <c r="D15" s="452" t="s">
        <v>21</v>
      </c>
      <c r="E15" s="1647"/>
      <c r="F15" s="1649"/>
      <c r="G15" s="1649"/>
      <c r="H15" s="1649"/>
      <c r="I15" s="1649"/>
      <c r="J15" s="1649"/>
      <c r="K15" s="1651"/>
      <c r="L15" s="1652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632" t="s">
        <v>854</v>
      </c>
      <c r="I188" s="1632"/>
      <c r="J188" s="1632"/>
      <c r="K188" s="1632"/>
      <c r="L188" s="1632"/>
      <c r="M188" s="1632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633" t="s">
        <v>939</v>
      </c>
      <c r="I189" s="1633"/>
      <c r="J189" s="1633"/>
      <c r="K189" s="1633"/>
      <c r="L189" s="1633"/>
      <c r="M189" s="1633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631" t="s">
        <v>938</v>
      </c>
      <c r="I190" s="1631"/>
      <c r="J190" s="1631"/>
      <c r="K190" s="1631"/>
      <c r="L190" s="1631"/>
      <c r="M190" s="1631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629"/>
      <c r="J191" s="1629"/>
      <c r="K191" s="1629"/>
      <c r="L191" s="1629"/>
      <c r="M191" s="1629"/>
      <c r="N191" s="1629"/>
    </row>
    <row r="192" spans="1:14" ht="15.75" x14ac:dyDescent="0.25">
      <c r="A192" s="267"/>
      <c r="B192" s="308"/>
      <c r="C192" s="267"/>
      <c r="D192" s="268"/>
      <c r="E192" s="268"/>
      <c r="F192" s="269"/>
      <c r="G192" s="1549"/>
      <c r="H192" s="1549"/>
      <c r="I192" s="1549"/>
      <c r="J192" s="1549"/>
      <c r="K192" s="1549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56" t="s">
        <v>0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1:13" x14ac:dyDescent="0.25">
      <c r="A10" s="1556" t="s">
        <v>992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  <c r="M10" s="1556"/>
    </row>
    <row r="11" spans="1:13" x14ac:dyDescent="0.25">
      <c r="A11" s="1634" t="s">
        <v>441</v>
      </c>
      <c r="B11" s="1634"/>
      <c r="C11" s="1634"/>
      <c r="D11" s="1634"/>
      <c r="E11" s="1634"/>
      <c r="F11" s="1634"/>
      <c r="G11" s="1634"/>
      <c r="H11" s="1634"/>
      <c r="I11" s="1634"/>
      <c r="J11" s="1634"/>
      <c r="K11" s="1634"/>
      <c r="L11" s="1634"/>
      <c r="M11" s="163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611" t="s">
        <v>7</v>
      </c>
      <c r="B13" s="1635" t="s">
        <v>937</v>
      </c>
      <c r="C13" s="1613" t="s">
        <v>9</v>
      </c>
      <c r="D13" s="1611" t="s">
        <v>832</v>
      </c>
      <c r="E13" s="476" t="s">
        <v>12</v>
      </c>
      <c r="F13" s="1612" t="s">
        <v>13</v>
      </c>
      <c r="G13" s="1609" t="s">
        <v>14</v>
      </c>
      <c r="H13" s="1609" t="s">
        <v>15</v>
      </c>
      <c r="I13" s="1609" t="s">
        <v>16</v>
      </c>
      <c r="J13" s="1609" t="s">
        <v>17</v>
      </c>
      <c r="K13" s="1609" t="s">
        <v>18</v>
      </c>
      <c r="L13" s="1609" t="s">
        <v>19</v>
      </c>
      <c r="M13" s="1609" t="s">
        <v>20</v>
      </c>
    </row>
    <row r="14" spans="1:13" x14ac:dyDescent="0.25">
      <c r="A14" s="1611"/>
      <c r="B14" s="1636"/>
      <c r="C14" s="1613"/>
      <c r="D14" s="1611"/>
      <c r="E14" s="476" t="s">
        <v>21</v>
      </c>
      <c r="F14" s="1612"/>
      <c r="G14" s="1609"/>
      <c r="H14" s="1609"/>
      <c r="I14" s="1609"/>
      <c r="J14" s="1609"/>
      <c r="K14" s="1609"/>
      <c r="L14" s="1609"/>
      <c r="M14" s="1609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626" t="s">
        <v>854</v>
      </c>
      <c r="I81" s="1626"/>
      <c r="J81" s="1626"/>
      <c r="K81" s="1626"/>
      <c r="L81" s="1626"/>
      <c r="M81" s="1626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627" t="s">
        <v>852</v>
      </c>
      <c r="I82" s="1627"/>
      <c r="J82" s="1627"/>
      <c r="K82" s="1627"/>
      <c r="L82" s="1627"/>
      <c r="M82" s="1627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628" t="s">
        <v>853</v>
      </c>
      <c r="I83" s="1628"/>
      <c r="J83" s="1628"/>
      <c r="K83" s="1628"/>
      <c r="L83" s="1628"/>
      <c r="M83" s="1628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629"/>
      <c r="J84" s="1629"/>
      <c r="K84" s="1629"/>
      <c r="L84" s="1629"/>
      <c r="M84" s="1629"/>
      <c r="N84" s="1629"/>
    </row>
    <row r="85" spans="1:14" ht="15.75" x14ac:dyDescent="0.25">
      <c r="A85" s="267"/>
      <c r="B85" s="267"/>
      <c r="C85" s="267"/>
      <c r="D85" s="268"/>
      <c r="E85" s="268"/>
      <c r="F85" s="269"/>
      <c r="G85" s="1549"/>
      <c r="H85" s="1549"/>
      <c r="I85" s="1549"/>
      <c r="J85" s="1549"/>
      <c r="K85" s="1549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993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11" t="s">
        <v>7</v>
      </c>
      <c r="B13" s="1635" t="s">
        <v>937</v>
      </c>
      <c r="C13" s="1620" t="s">
        <v>8</v>
      </c>
      <c r="D13" s="1620" t="s">
        <v>10</v>
      </c>
      <c r="E13" s="1620" t="s">
        <v>11</v>
      </c>
      <c r="F13" s="476" t="s">
        <v>12</v>
      </c>
      <c r="G13" s="1622" t="s">
        <v>13</v>
      </c>
      <c r="H13" s="1620" t="s">
        <v>14</v>
      </c>
      <c r="I13" s="1620" t="s">
        <v>15</v>
      </c>
      <c r="J13" s="1620" t="s">
        <v>16</v>
      </c>
      <c r="K13" s="1620" t="s">
        <v>17</v>
      </c>
      <c r="L13" s="1620" t="s">
        <v>18</v>
      </c>
      <c r="M13" s="1620" t="s">
        <v>19</v>
      </c>
      <c r="N13" s="1611" t="s">
        <v>20</v>
      </c>
    </row>
    <row r="14" spans="1:14" x14ac:dyDescent="0.25">
      <c r="A14" s="1611"/>
      <c r="B14" s="1636"/>
      <c r="C14" s="1621"/>
      <c r="D14" s="1621"/>
      <c r="E14" s="1621"/>
      <c r="F14" s="476" t="s">
        <v>21</v>
      </c>
      <c r="G14" s="1623"/>
      <c r="H14" s="1621"/>
      <c r="I14" s="1621"/>
      <c r="J14" s="1621"/>
      <c r="K14" s="1621"/>
      <c r="L14" s="1621"/>
      <c r="M14" s="1621"/>
      <c r="N14" s="161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626" t="s">
        <v>854</v>
      </c>
      <c r="I37" s="1626"/>
      <c r="J37" s="1626"/>
      <c r="K37" s="1626"/>
      <c r="L37" s="1626"/>
      <c r="M37" s="162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627" t="s">
        <v>852</v>
      </c>
      <c r="I38" s="1627"/>
      <c r="J38" s="1627"/>
      <c r="K38" s="1627"/>
      <c r="L38" s="1627"/>
      <c r="M38" s="162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628" t="s">
        <v>853</v>
      </c>
      <c r="I39" s="1628"/>
      <c r="J39" s="1628"/>
      <c r="K39" s="1628"/>
      <c r="L39" s="1628"/>
      <c r="M39" s="162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9"/>
      <c r="J40" s="1629"/>
      <c r="K40" s="1629"/>
      <c r="L40" s="1629"/>
      <c r="M40" s="1629"/>
      <c r="N40" s="1629"/>
    </row>
    <row r="41" spans="1:14" ht="15.75" x14ac:dyDescent="0.25">
      <c r="A41" s="267"/>
      <c r="B41" s="267"/>
      <c r="C41" s="267"/>
      <c r="D41" s="268"/>
      <c r="E41" s="268"/>
      <c r="F41" s="269"/>
      <c r="G41" s="1549"/>
      <c r="H41" s="1549"/>
      <c r="I41" s="1549"/>
      <c r="J41" s="1549"/>
      <c r="K41" s="1549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994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886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611" t="s">
        <v>7</v>
      </c>
      <c r="B12" s="1611" t="s">
        <v>802</v>
      </c>
      <c r="C12" s="1611" t="s">
        <v>9</v>
      </c>
      <c r="D12" s="390" t="s">
        <v>12</v>
      </c>
      <c r="E12" s="1586" t="s">
        <v>13</v>
      </c>
      <c r="F12" s="1585" t="s">
        <v>14</v>
      </c>
      <c r="G12" s="1585" t="s">
        <v>15</v>
      </c>
      <c r="H12" s="1585" t="s">
        <v>16</v>
      </c>
      <c r="I12" s="1585" t="s">
        <v>17</v>
      </c>
      <c r="J12" s="1585" t="s">
        <v>18</v>
      </c>
      <c r="K12" s="1585" t="s">
        <v>19</v>
      </c>
      <c r="L12" s="1585" t="s">
        <v>20</v>
      </c>
    </row>
    <row r="13" spans="1:12" ht="16.5" customHeight="1" x14ac:dyDescent="0.25">
      <c r="A13" s="1611"/>
      <c r="B13" s="1611"/>
      <c r="C13" s="1611"/>
      <c r="D13" s="390" t="s">
        <v>21</v>
      </c>
      <c r="E13" s="1586"/>
      <c r="F13" s="1585"/>
      <c r="G13" s="1585"/>
      <c r="H13" s="1585"/>
      <c r="I13" s="1585"/>
      <c r="J13" s="1585"/>
      <c r="K13" s="1585"/>
      <c r="L13" s="1585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626" t="s">
        <v>854</v>
      </c>
      <c r="G21" s="1626"/>
      <c r="H21" s="1626"/>
      <c r="I21" s="1626"/>
      <c r="J21" s="1626"/>
      <c r="K21" s="1626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627" t="s">
        <v>852</v>
      </c>
      <c r="G22" s="1627"/>
      <c r="H22" s="1627"/>
      <c r="I22" s="1627"/>
      <c r="J22" s="1627"/>
      <c r="K22" s="1627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628" t="s">
        <v>853</v>
      </c>
      <c r="G23" s="1628"/>
      <c r="H23" s="1628"/>
      <c r="I23" s="1628"/>
      <c r="J23" s="1628"/>
      <c r="K23" s="1628"/>
      <c r="L23" s="537"/>
    </row>
    <row r="24" spans="1:12" x14ac:dyDescent="0.25">
      <c r="A24" s="546"/>
      <c r="B24" s="546"/>
      <c r="C24" s="547"/>
      <c r="D24" s="541"/>
      <c r="E24" s="540"/>
      <c r="F24" s="537"/>
      <c r="G24" s="1629"/>
      <c r="H24" s="1629"/>
      <c r="I24" s="1629"/>
      <c r="J24" s="1629"/>
      <c r="K24" s="1629"/>
      <c r="L24" s="1629"/>
    </row>
    <row r="25" spans="1:12" ht="15.75" x14ac:dyDescent="0.25">
      <c r="A25" s="267"/>
      <c r="B25" s="267"/>
      <c r="C25" s="268"/>
      <c r="D25" s="269"/>
      <c r="E25" s="1549"/>
      <c r="F25" s="1549"/>
      <c r="G25" s="1549"/>
      <c r="H25" s="1549"/>
      <c r="I25" s="1549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1:13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1:13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1:13" x14ac:dyDescent="0.25">
      <c r="A10" s="1551" t="s">
        <v>995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</row>
    <row r="11" spans="1:13" x14ac:dyDescent="0.25">
      <c r="A11" s="1637" t="s">
        <v>412</v>
      </c>
      <c r="B11" s="1637"/>
      <c r="C11" s="1637"/>
      <c r="D11" s="1637"/>
      <c r="E11" s="1637"/>
      <c r="F11" s="1637"/>
      <c r="G11" s="1637"/>
      <c r="H11" s="1637"/>
      <c r="I11" s="1637"/>
      <c r="J11" s="1637"/>
      <c r="K11" s="1637"/>
      <c r="L11" s="1637"/>
      <c r="M11" s="1637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618" t="s">
        <v>7</v>
      </c>
      <c r="B13" s="1638" t="s">
        <v>937</v>
      </c>
      <c r="C13" s="1618" t="s">
        <v>9</v>
      </c>
      <c r="D13" s="1618" t="s">
        <v>832</v>
      </c>
      <c r="E13" s="421" t="s">
        <v>12</v>
      </c>
      <c r="F13" s="1619" t="s">
        <v>13</v>
      </c>
      <c r="G13" s="1615" t="s">
        <v>14</v>
      </c>
      <c r="H13" s="1615" t="s">
        <v>15</v>
      </c>
      <c r="I13" s="1615" t="s">
        <v>16</v>
      </c>
      <c r="J13" s="1615" t="s">
        <v>17</v>
      </c>
      <c r="K13" s="1615" t="s">
        <v>18</v>
      </c>
      <c r="L13" s="1615" t="s">
        <v>19</v>
      </c>
      <c r="M13" s="1615" t="s">
        <v>20</v>
      </c>
    </row>
    <row r="14" spans="1:13" x14ac:dyDescent="0.25">
      <c r="A14" s="1618"/>
      <c r="B14" s="1639"/>
      <c r="C14" s="1618"/>
      <c r="D14" s="1618"/>
      <c r="E14" s="421" t="s">
        <v>21</v>
      </c>
      <c r="F14" s="1619"/>
      <c r="G14" s="1615"/>
      <c r="H14" s="1615"/>
      <c r="I14" s="1615"/>
      <c r="J14" s="1615"/>
      <c r="K14" s="1615"/>
      <c r="L14" s="1615"/>
      <c r="M14" s="1615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626" t="s">
        <v>854</v>
      </c>
      <c r="I31" s="1626"/>
      <c r="J31" s="1626"/>
      <c r="K31" s="1626"/>
      <c r="L31" s="1626"/>
      <c r="M31" s="1626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627" t="s">
        <v>852</v>
      </c>
      <c r="I32" s="1627"/>
      <c r="J32" s="1627"/>
      <c r="K32" s="1627"/>
      <c r="L32" s="1627"/>
      <c r="M32" s="1627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628" t="s">
        <v>853</v>
      </c>
      <c r="I33" s="1628"/>
      <c r="J33" s="1628"/>
      <c r="K33" s="1628"/>
      <c r="L33" s="1628"/>
      <c r="M33" s="1628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629"/>
      <c r="J34" s="1629"/>
      <c r="K34" s="1629"/>
      <c r="L34" s="1629"/>
      <c r="M34" s="1629"/>
      <c r="N34" s="1629"/>
    </row>
    <row r="35" spans="1:14" ht="15.75" x14ac:dyDescent="0.25">
      <c r="A35" s="267"/>
      <c r="B35" s="267"/>
      <c r="C35" s="267"/>
      <c r="D35" s="268"/>
      <c r="E35" s="268"/>
      <c r="F35" s="269"/>
      <c r="G35" s="1549"/>
      <c r="H35" s="1549"/>
      <c r="I35" s="1549"/>
      <c r="J35" s="1549"/>
      <c r="K35" s="1549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56" t="s">
        <v>0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6" t="s">
        <v>1004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</row>
    <row r="11" spans="1:12" x14ac:dyDescent="0.25">
      <c r="A11" s="1557" t="s">
        <v>404</v>
      </c>
      <c r="B11" s="1557"/>
      <c r="C11" s="1557"/>
      <c r="D11" s="1557"/>
      <c r="E11" s="1557"/>
      <c r="F11" s="1557"/>
      <c r="G11" s="1557"/>
      <c r="H11" s="1557"/>
      <c r="I11" s="1557"/>
      <c r="J11" s="1557"/>
      <c r="K11" s="1557"/>
      <c r="L11" s="1557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640" t="s">
        <v>7</v>
      </c>
      <c r="B14" s="1642" t="s">
        <v>802</v>
      </c>
      <c r="C14" s="1644" t="s">
        <v>9</v>
      </c>
      <c r="D14" s="451" t="s">
        <v>12</v>
      </c>
      <c r="E14" s="1646" t="s">
        <v>13</v>
      </c>
      <c r="F14" s="1648" t="s">
        <v>14</v>
      </c>
      <c r="G14" s="1648" t="s">
        <v>15</v>
      </c>
      <c r="H14" s="1648" t="s">
        <v>16</v>
      </c>
      <c r="I14" s="1648" t="s">
        <v>17</v>
      </c>
      <c r="J14" s="1648" t="s">
        <v>18</v>
      </c>
      <c r="K14" s="1650" t="s">
        <v>19</v>
      </c>
      <c r="L14" s="1600" t="s">
        <v>20</v>
      </c>
    </row>
    <row r="15" spans="1:12" ht="15.75" thickBot="1" x14ac:dyDescent="0.3">
      <c r="A15" s="1641"/>
      <c r="B15" s="1643"/>
      <c r="C15" s="1645"/>
      <c r="D15" s="452" t="s">
        <v>21</v>
      </c>
      <c r="E15" s="1647"/>
      <c r="F15" s="1649"/>
      <c r="G15" s="1649"/>
      <c r="H15" s="1649"/>
      <c r="I15" s="1649"/>
      <c r="J15" s="1649"/>
      <c r="K15" s="1651"/>
      <c r="L15" s="1652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632" t="s">
        <v>854</v>
      </c>
      <c r="I192" s="1632"/>
      <c r="J192" s="1632"/>
      <c r="K192" s="1632"/>
      <c r="L192" s="1632"/>
      <c r="M192" s="1632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633" t="s">
        <v>939</v>
      </c>
      <c r="I193" s="1633"/>
      <c r="J193" s="1633"/>
      <c r="K193" s="1633"/>
      <c r="L193" s="1633"/>
      <c r="M193" s="1633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631" t="s">
        <v>938</v>
      </c>
      <c r="I194" s="1631"/>
      <c r="J194" s="1631"/>
      <c r="K194" s="1631"/>
      <c r="L194" s="1631"/>
      <c r="M194" s="1631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629"/>
      <c r="J195" s="1629"/>
      <c r="K195" s="1629"/>
      <c r="L195" s="1629"/>
      <c r="M195" s="1629"/>
      <c r="N195" s="1629"/>
    </row>
    <row r="196" spans="1:14" ht="15.75" x14ac:dyDescent="0.25">
      <c r="A196" s="267"/>
      <c r="B196" s="308"/>
      <c r="C196" s="267"/>
      <c r="D196" s="268"/>
      <c r="E196" s="268"/>
      <c r="F196" s="269"/>
      <c r="G196" s="1549"/>
      <c r="H196" s="1549"/>
      <c r="I196" s="1549"/>
      <c r="J196" s="1549"/>
      <c r="K196" s="1549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56" t="s">
        <v>0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1:13" x14ac:dyDescent="0.25">
      <c r="A10" s="1556" t="s">
        <v>1003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  <c r="M10" s="1556"/>
    </row>
    <row r="11" spans="1:13" x14ac:dyDescent="0.25">
      <c r="A11" s="1634" t="s">
        <v>441</v>
      </c>
      <c r="B11" s="1634"/>
      <c r="C11" s="1634"/>
      <c r="D11" s="1634"/>
      <c r="E11" s="1634"/>
      <c r="F11" s="1634"/>
      <c r="G11" s="1634"/>
      <c r="H11" s="1634"/>
      <c r="I11" s="1634"/>
      <c r="J11" s="1634"/>
      <c r="K11" s="1634"/>
      <c r="L11" s="1634"/>
      <c r="M11" s="163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611" t="s">
        <v>7</v>
      </c>
      <c r="B13" s="1635" t="s">
        <v>937</v>
      </c>
      <c r="C13" s="1613" t="s">
        <v>9</v>
      </c>
      <c r="D13" s="1611" t="s">
        <v>832</v>
      </c>
      <c r="E13" s="476" t="s">
        <v>12</v>
      </c>
      <c r="F13" s="1612" t="s">
        <v>13</v>
      </c>
      <c r="G13" s="1609" t="s">
        <v>14</v>
      </c>
      <c r="H13" s="1609" t="s">
        <v>15</v>
      </c>
      <c r="I13" s="1609" t="s">
        <v>16</v>
      </c>
      <c r="J13" s="1609" t="s">
        <v>17</v>
      </c>
      <c r="K13" s="1609" t="s">
        <v>18</v>
      </c>
      <c r="L13" s="1609" t="s">
        <v>19</v>
      </c>
      <c r="M13" s="1609" t="s">
        <v>20</v>
      </c>
    </row>
    <row r="14" spans="1:13" x14ac:dyDescent="0.25">
      <c r="A14" s="1611"/>
      <c r="B14" s="1636"/>
      <c r="C14" s="1613"/>
      <c r="D14" s="1611"/>
      <c r="E14" s="476" t="s">
        <v>21</v>
      </c>
      <c r="F14" s="1612"/>
      <c r="G14" s="1609"/>
      <c r="H14" s="1609"/>
      <c r="I14" s="1609"/>
      <c r="J14" s="1609"/>
      <c r="K14" s="1609"/>
      <c r="L14" s="1609"/>
      <c r="M14" s="1609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626" t="s">
        <v>854</v>
      </c>
      <c r="I81" s="1626"/>
      <c r="J81" s="1626"/>
      <c r="K81" s="1626"/>
      <c r="L81" s="1626"/>
      <c r="M81" s="1626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627" t="s">
        <v>852</v>
      </c>
      <c r="I82" s="1627"/>
      <c r="J82" s="1627"/>
      <c r="K82" s="1627"/>
      <c r="L82" s="1627"/>
      <c r="M82" s="1627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628" t="s">
        <v>853</v>
      </c>
      <c r="I83" s="1628"/>
      <c r="J83" s="1628"/>
      <c r="K83" s="1628"/>
      <c r="L83" s="1628"/>
      <c r="M83" s="1628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629"/>
      <c r="J84" s="1629"/>
      <c r="K84" s="1629"/>
      <c r="L84" s="1629"/>
      <c r="M84" s="1629"/>
      <c r="N84" s="1629"/>
    </row>
    <row r="85" spans="1:14" ht="15.75" x14ac:dyDescent="0.25">
      <c r="A85" s="267"/>
      <c r="B85" s="267"/>
      <c r="C85" s="267"/>
      <c r="D85" s="268"/>
      <c r="E85" s="268"/>
      <c r="F85" s="269"/>
      <c r="G85" s="1549"/>
      <c r="H85" s="1549"/>
      <c r="I85" s="1549"/>
      <c r="J85" s="1549"/>
      <c r="K85" s="1549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1002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11" t="s">
        <v>7</v>
      </c>
      <c r="B13" s="1635" t="s">
        <v>937</v>
      </c>
      <c r="C13" s="1620" t="s">
        <v>8</v>
      </c>
      <c r="D13" s="1620" t="s">
        <v>10</v>
      </c>
      <c r="E13" s="1620" t="s">
        <v>11</v>
      </c>
      <c r="F13" s="476" t="s">
        <v>12</v>
      </c>
      <c r="G13" s="1622" t="s">
        <v>13</v>
      </c>
      <c r="H13" s="1620" t="s">
        <v>14</v>
      </c>
      <c r="I13" s="1620" t="s">
        <v>15</v>
      </c>
      <c r="J13" s="1620" t="s">
        <v>16</v>
      </c>
      <c r="K13" s="1620" t="s">
        <v>17</v>
      </c>
      <c r="L13" s="1620" t="s">
        <v>18</v>
      </c>
      <c r="M13" s="1620" t="s">
        <v>19</v>
      </c>
      <c r="N13" s="1611" t="s">
        <v>20</v>
      </c>
    </row>
    <row r="14" spans="1:14" x14ac:dyDescent="0.25">
      <c r="A14" s="1611"/>
      <c r="B14" s="1636"/>
      <c r="C14" s="1621"/>
      <c r="D14" s="1621"/>
      <c r="E14" s="1621"/>
      <c r="F14" s="476" t="s">
        <v>21</v>
      </c>
      <c r="G14" s="1623"/>
      <c r="H14" s="1621"/>
      <c r="I14" s="1621"/>
      <c r="J14" s="1621"/>
      <c r="K14" s="1621"/>
      <c r="L14" s="1621"/>
      <c r="M14" s="1621"/>
      <c r="N14" s="161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626" t="s">
        <v>854</v>
      </c>
      <c r="I37" s="1626"/>
      <c r="J37" s="1626"/>
      <c r="K37" s="1626"/>
      <c r="L37" s="1626"/>
      <c r="M37" s="162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627" t="s">
        <v>852</v>
      </c>
      <c r="I38" s="1627"/>
      <c r="J38" s="1627"/>
      <c r="K38" s="1627"/>
      <c r="L38" s="1627"/>
      <c r="M38" s="162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628" t="s">
        <v>853</v>
      </c>
      <c r="I39" s="1628"/>
      <c r="J39" s="1628"/>
      <c r="K39" s="1628"/>
      <c r="L39" s="1628"/>
      <c r="M39" s="162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9"/>
      <c r="J40" s="1629"/>
      <c r="K40" s="1629"/>
      <c r="L40" s="1629"/>
      <c r="M40" s="1629"/>
      <c r="N40" s="1629"/>
    </row>
    <row r="41" spans="1:14" ht="15.75" x14ac:dyDescent="0.25">
      <c r="A41" s="267"/>
      <c r="B41" s="267"/>
      <c r="C41" s="267"/>
      <c r="D41" s="268"/>
      <c r="E41" s="268"/>
      <c r="F41" s="269"/>
      <c r="G41" s="1549"/>
      <c r="H41" s="1549"/>
      <c r="I41" s="1549"/>
      <c r="J41" s="1549"/>
      <c r="K41" s="1549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1001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886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611" t="s">
        <v>7</v>
      </c>
      <c r="B12" s="1611" t="s">
        <v>802</v>
      </c>
      <c r="C12" s="1611" t="s">
        <v>9</v>
      </c>
      <c r="D12" s="390" t="s">
        <v>12</v>
      </c>
      <c r="E12" s="1586" t="s">
        <v>13</v>
      </c>
      <c r="F12" s="1585" t="s">
        <v>14</v>
      </c>
      <c r="G12" s="1585" t="s">
        <v>15</v>
      </c>
      <c r="H12" s="1585" t="s">
        <v>16</v>
      </c>
      <c r="I12" s="1585" t="s">
        <v>17</v>
      </c>
      <c r="J12" s="1585" t="s">
        <v>18</v>
      </c>
      <c r="K12" s="1585" t="s">
        <v>19</v>
      </c>
      <c r="L12" s="1585" t="s">
        <v>20</v>
      </c>
    </row>
    <row r="13" spans="1:12" ht="16.5" customHeight="1" x14ac:dyDescent="0.25">
      <c r="A13" s="1611"/>
      <c r="B13" s="1611"/>
      <c r="C13" s="1611"/>
      <c r="D13" s="390" t="s">
        <v>21</v>
      </c>
      <c r="E13" s="1586"/>
      <c r="F13" s="1585"/>
      <c r="G13" s="1585"/>
      <c r="H13" s="1585"/>
      <c r="I13" s="1585"/>
      <c r="J13" s="1585"/>
      <c r="K13" s="1585"/>
      <c r="L13" s="1585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626" t="s">
        <v>854</v>
      </c>
      <c r="G21" s="1626"/>
      <c r="H21" s="1626"/>
      <c r="I21" s="1626"/>
      <c r="J21" s="1626"/>
      <c r="K21" s="1626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627" t="s">
        <v>852</v>
      </c>
      <c r="G22" s="1627"/>
      <c r="H22" s="1627"/>
      <c r="I22" s="1627"/>
      <c r="J22" s="1627"/>
      <c r="K22" s="1627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628" t="s">
        <v>853</v>
      </c>
      <c r="G23" s="1628"/>
      <c r="H23" s="1628"/>
      <c r="I23" s="1628"/>
      <c r="J23" s="1628"/>
      <c r="K23" s="1628"/>
      <c r="L23" s="537"/>
    </row>
    <row r="24" spans="1:12" x14ac:dyDescent="0.25">
      <c r="A24" s="546"/>
      <c r="B24" s="546"/>
      <c r="C24" s="547"/>
      <c r="D24" s="541"/>
      <c r="E24" s="540"/>
      <c r="F24" s="537"/>
      <c r="G24" s="1629"/>
      <c r="H24" s="1629"/>
      <c r="I24" s="1629"/>
      <c r="J24" s="1629"/>
      <c r="K24" s="1629"/>
      <c r="L24" s="1629"/>
    </row>
    <row r="25" spans="1:12" ht="15.75" x14ac:dyDescent="0.25">
      <c r="A25" s="267"/>
      <c r="B25" s="267"/>
      <c r="C25" s="268"/>
      <c r="D25" s="269"/>
      <c r="E25" s="1549"/>
      <c r="F25" s="1549"/>
      <c r="G25" s="1549"/>
      <c r="H25" s="1549"/>
      <c r="I25" s="1549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  <mergeCell ref="A6:L6"/>
    <mergeCell ref="A7:L7"/>
    <mergeCell ref="A8:L8"/>
    <mergeCell ref="A9:L9"/>
    <mergeCell ref="A10:L10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1:13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1:13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1:13" x14ac:dyDescent="0.25">
      <c r="A10" s="1551" t="s">
        <v>1000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</row>
    <row r="11" spans="1:13" x14ac:dyDescent="0.25">
      <c r="A11" s="1637" t="s">
        <v>412</v>
      </c>
      <c r="B11" s="1637"/>
      <c r="C11" s="1637"/>
      <c r="D11" s="1637"/>
      <c r="E11" s="1637"/>
      <c r="F11" s="1637"/>
      <c r="G11" s="1637"/>
      <c r="H11" s="1637"/>
      <c r="I11" s="1637"/>
      <c r="J11" s="1637"/>
      <c r="K11" s="1637"/>
      <c r="L11" s="1637"/>
      <c r="M11" s="1637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618" t="s">
        <v>7</v>
      </c>
      <c r="B13" s="1638" t="s">
        <v>937</v>
      </c>
      <c r="C13" s="1618" t="s">
        <v>9</v>
      </c>
      <c r="D13" s="1618" t="s">
        <v>832</v>
      </c>
      <c r="E13" s="421" t="s">
        <v>12</v>
      </c>
      <c r="F13" s="1619" t="s">
        <v>13</v>
      </c>
      <c r="G13" s="1615" t="s">
        <v>14</v>
      </c>
      <c r="H13" s="1615" t="s">
        <v>15</v>
      </c>
      <c r="I13" s="1615" t="s">
        <v>16</v>
      </c>
      <c r="J13" s="1615" t="s">
        <v>17</v>
      </c>
      <c r="K13" s="1615" t="s">
        <v>18</v>
      </c>
      <c r="L13" s="1615" t="s">
        <v>19</v>
      </c>
      <c r="M13" s="1615" t="s">
        <v>20</v>
      </c>
    </row>
    <row r="14" spans="1:13" x14ac:dyDescent="0.25">
      <c r="A14" s="1618"/>
      <c r="B14" s="1639"/>
      <c r="C14" s="1618"/>
      <c r="D14" s="1618"/>
      <c r="E14" s="421" t="s">
        <v>21</v>
      </c>
      <c r="F14" s="1619"/>
      <c r="G14" s="1615"/>
      <c r="H14" s="1615"/>
      <c r="I14" s="1615"/>
      <c r="J14" s="1615"/>
      <c r="K14" s="1615"/>
      <c r="L14" s="1615"/>
      <c r="M14" s="1615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626" t="s">
        <v>854</v>
      </c>
      <c r="I28" s="1626"/>
      <c r="J28" s="1626"/>
      <c r="K28" s="1626"/>
      <c r="L28" s="1626"/>
      <c r="M28" s="1626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627" t="s">
        <v>852</v>
      </c>
      <c r="I29" s="1627"/>
      <c r="J29" s="1627"/>
      <c r="K29" s="1627"/>
      <c r="L29" s="1627"/>
      <c r="M29" s="1627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628" t="s">
        <v>853</v>
      </c>
      <c r="I30" s="1628"/>
      <c r="J30" s="1628"/>
      <c r="K30" s="1628"/>
      <c r="L30" s="1628"/>
      <c r="M30" s="1628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629"/>
      <c r="J31" s="1629"/>
      <c r="K31" s="1629"/>
      <c r="L31" s="1629"/>
      <c r="M31" s="1629"/>
      <c r="N31" s="1629"/>
    </row>
    <row r="32" spans="1:14" ht="15.75" x14ac:dyDescent="0.25">
      <c r="A32" s="267"/>
      <c r="B32" s="267"/>
      <c r="C32" s="267"/>
      <c r="D32" s="268"/>
      <c r="E32" s="268"/>
      <c r="F32" s="269"/>
      <c r="G32" s="1549"/>
      <c r="H32" s="1549"/>
      <c r="I32" s="1549"/>
      <c r="J32" s="1549"/>
      <c r="K32" s="1549"/>
      <c r="L32" s="271"/>
      <c r="M32" s="271"/>
      <c r="N32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56" t="s">
        <v>0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6" t="s">
        <v>1004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</row>
    <row r="11" spans="1:12" x14ac:dyDescent="0.25">
      <c r="A11" s="1557" t="s">
        <v>404</v>
      </c>
      <c r="B11" s="1557"/>
      <c r="C11" s="1557"/>
      <c r="D11" s="1557"/>
      <c r="E11" s="1557"/>
      <c r="F11" s="1557"/>
      <c r="G11" s="1557"/>
      <c r="H11" s="1557"/>
      <c r="I11" s="1557"/>
      <c r="J11" s="1557"/>
      <c r="K11" s="1557"/>
      <c r="L11" s="1557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640" t="s">
        <v>7</v>
      </c>
      <c r="B14" s="1642" t="s">
        <v>802</v>
      </c>
      <c r="C14" s="1644" t="s">
        <v>9</v>
      </c>
      <c r="D14" s="451" t="s">
        <v>12</v>
      </c>
      <c r="E14" s="1646" t="s">
        <v>13</v>
      </c>
      <c r="F14" s="1648" t="s">
        <v>14</v>
      </c>
      <c r="G14" s="1648" t="s">
        <v>15</v>
      </c>
      <c r="H14" s="1648" t="s">
        <v>16</v>
      </c>
      <c r="I14" s="1648" t="s">
        <v>17</v>
      </c>
      <c r="J14" s="1648" t="s">
        <v>18</v>
      </c>
      <c r="K14" s="1650" t="s">
        <v>19</v>
      </c>
      <c r="L14" s="1600" t="s">
        <v>20</v>
      </c>
    </row>
    <row r="15" spans="1:12" ht="15.75" thickBot="1" x14ac:dyDescent="0.3">
      <c r="A15" s="1641"/>
      <c r="B15" s="1643"/>
      <c r="C15" s="1645"/>
      <c r="D15" s="452" t="s">
        <v>21</v>
      </c>
      <c r="E15" s="1647"/>
      <c r="F15" s="1649"/>
      <c r="G15" s="1649"/>
      <c r="H15" s="1649"/>
      <c r="I15" s="1649"/>
      <c r="J15" s="1649"/>
      <c r="K15" s="1651"/>
      <c r="L15" s="1652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632" t="s">
        <v>854</v>
      </c>
      <c r="I192" s="1632"/>
      <c r="J192" s="1632"/>
      <c r="K192" s="1632"/>
      <c r="L192" s="1632"/>
      <c r="M192" s="1632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633" t="s">
        <v>939</v>
      </c>
      <c r="I193" s="1633"/>
      <c r="J193" s="1633"/>
      <c r="K193" s="1633"/>
      <c r="L193" s="1633"/>
      <c r="M193" s="1633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631" t="s">
        <v>938</v>
      </c>
      <c r="I194" s="1631"/>
      <c r="J194" s="1631"/>
      <c r="K194" s="1631"/>
      <c r="L194" s="1631"/>
      <c r="M194" s="1631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629"/>
      <c r="J195" s="1629"/>
      <c r="K195" s="1629"/>
      <c r="L195" s="1629"/>
      <c r="M195" s="1629"/>
      <c r="N195" s="1629"/>
    </row>
    <row r="196" spans="1:14" ht="15.75" x14ac:dyDescent="0.25">
      <c r="A196" s="267"/>
      <c r="B196" s="308"/>
      <c r="C196" s="267"/>
      <c r="D196" s="268"/>
      <c r="E196" s="268"/>
      <c r="F196" s="269"/>
      <c r="G196" s="1549"/>
      <c r="H196" s="1549"/>
      <c r="I196" s="1549"/>
      <c r="J196" s="1549"/>
      <c r="K196" s="1549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56" t="s">
        <v>0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1:13" x14ac:dyDescent="0.25">
      <c r="A10" s="1556" t="s">
        <v>1005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  <c r="M10" s="1556"/>
    </row>
    <row r="11" spans="1:13" x14ac:dyDescent="0.25">
      <c r="A11" s="1634" t="s">
        <v>441</v>
      </c>
      <c r="B11" s="1634"/>
      <c r="C11" s="1634"/>
      <c r="D11" s="1634"/>
      <c r="E11" s="1634"/>
      <c r="F11" s="1634"/>
      <c r="G11" s="1634"/>
      <c r="H11" s="1634"/>
      <c r="I11" s="1634"/>
      <c r="J11" s="1634"/>
      <c r="K11" s="1634"/>
      <c r="L11" s="1634"/>
      <c r="M11" s="163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611" t="s">
        <v>7</v>
      </c>
      <c r="B13" s="1635" t="s">
        <v>937</v>
      </c>
      <c r="C13" s="1613" t="s">
        <v>9</v>
      </c>
      <c r="D13" s="1611" t="s">
        <v>832</v>
      </c>
      <c r="E13" s="476" t="s">
        <v>12</v>
      </c>
      <c r="F13" s="1612" t="s">
        <v>13</v>
      </c>
      <c r="G13" s="1609" t="s">
        <v>14</v>
      </c>
      <c r="H13" s="1609" t="s">
        <v>15</v>
      </c>
      <c r="I13" s="1609" t="s">
        <v>16</v>
      </c>
      <c r="J13" s="1609" t="s">
        <v>17</v>
      </c>
      <c r="K13" s="1609" t="s">
        <v>18</v>
      </c>
      <c r="L13" s="1609" t="s">
        <v>19</v>
      </c>
      <c r="M13" s="1609" t="s">
        <v>20</v>
      </c>
    </row>
    <row r="14" spans="1:13" x14ac:dyDescent="0.25">
      <c r="A14" s="1611"/>
      <c r="B14" s="1636"/>
      <c r="C14" s="1613"/>
      <c r="D14" s="1611"/>
      <c r="E14" s="476" t="s">
        <v>21</v>
      </c>
      <c r="F14" s="1612"/>
      <c r="G14" s="1609"/>
      <c r="H14" s="1609"/>
      <c r="I14" s="1609"/>
      <c r="J14" s="1609"/>
      <c r="K14" s="1609"/>
      <c r="L14" s="1609"/>
      <c r="M14" s="1609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626" t="s">
        <v>854</v>
      </c>
      <c r="I85" s="1626"/>
      <c r="J85" s="1626"/>
      <c r="K85" s="1626"/>
      <c r="L85" s="1626"/>
      <c r="M85" s="1626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627" t="s">
        <v>852</v>
      </c>
      <c r="I86" s="1627"/>
      <c r="J86" s="1627"/>
      <c r="K86" s="1627"/>
      <c r="L86" s="1627"/>
      <c r="M86" s="1627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628" t="s">
        <v>853</v>
      </c>
      <c r="I87" s="1628"/>
      <c r="J87" s="1628"/>
      <c r="K87" s="1628"/>
      <c r="L87" s="1628"/>
      <c r="M87" s="1628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629"/>
      <c r="J88" s="1629"/>
      <c r="K88" s="1629"/>
      <c r="L88" s="1629"/>
      <c r="M88" s="1629"/>
      <c r="N88" s="1629"/>
    </row>
    <row r="89" spans="1:14" ht="15.75" x14ac:dyDescent="0.25">
      <c r="A89" s="267"/>
      <c r="B89" s="267"/>
      <c r="C89" s="267"/>
      <c r="D89" s="268"/>
      <c r="E89" s="268"/>
      <c r="F89" s="269"/>
      <c r="G89" s="1549"/>
      <c r="H89" s="1549"/>
      <c r="I89" s="1549"/>
      <c r="J89" s="1549"/>
      <c r="K89" s="1549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1006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11" t="s">
        <v>7</v>
      </c>
      <c r="B13" s="1635" t="s">
        <v>937</v>
      </c>
      <c r="C13" s="1620" t="s">
        <v>8</v>
      </c>
      <c r="D13" s="1620" t="s">
        <v>10</v>
      </c>
      <c r="E13" s="1620" t="s">
        <v>11</v>
      </c>
      <c r="F13" s="476" t="s">
        <v>12</v>
      </c>
      <c r="G13" s="1622" t="s">
        <v>13</v>
      </c>
      <c r="H13" s="1620" t="s">
        <v>14</v>
      </c>
      <c r="I13" s="1620" t="s">
        <v>15</v>
      </c>
      <c r="J13" s="1620" t="s">
        <v>16</v>
      </c>
      <c r="K13" s="1620" t="s">
        <v>17</v>
      </c>
      <c r="L13" s="1620" t="s">
        <v>18</v>
      </c>
      <c r="M13" s="1620" t="s">
        <v>19</v>
      </c>
      <c r="N13" s="1611" t="s">
        <v>20</v>
      </c>
    </row>
    <row r="14" spans="1:14" x14ac:dyDescent="0.25">
      <c r="A14" s="1611"/>
      <c r="B14" s="1636"/>
      <c r="C14" s="1621"/>
      <c r="D14" s="1621"/>
      <c r="E14" s="1621"/>
      <c r="F14" s="476" t="s">
        <v>21</v>
      </c>
      <c r="G14" s="1623"/>
      <c r="H14" s="1621"/>
      <c r="I14" s="1621"/>
      <c r="J14" s="1621"/>
      <c r="K14" s="1621"/>
      <c r="L14" s="1621"/>
      <c r="M14" s="1621"/>
      <c r="N14" s="1611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626" t="s">
        <v>854</v>
      </c>
      <c r="I37" s="1626"/>
      <c r="J37" s="1626"/>
      <c r="K37" s="1626"/>
      <c r="L37" s="1626"/>
      <c r="M37" s="162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627" t="s">
        <v>852</v>
      </c>
      <c r="I38" s="1627"/>
      <c r="J38" s="1627"/>
      <c r="K38" s="1627"/>
      <c r="L38" s="1627"/>
      <c r="M38" s="162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628" t="s">
        <v>853</v>
      </c>
      <c r="I39" s="1628"/>
      <c r="J39" s="1628"/>
      <c r="K39" s="1628"/>
      <c r="L39" s="1628"/>
      <c r="M39" s="162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9"/>
      <c r="J40" s="1629"/>
      <c r="K40" s="1629"/>
      <c r="L40" s="1629"/>
      <c r="M40" s="1629"/>
      <c r="N40" s="1629"/>
    </row>
    <row r="41" spans="1:14" ht="15.75" x14ac:dyDescent="0.25">
      <c r="A41" s="267"/>
      <c r="B41" s="267"/>
      <c r="C41" s="267"/>
      <c r="D41" s="268"/>
      <c r="E41" s="268"/>
      <c r="F41" s="269"/>
      <c r="G41" s="1549"/>
      <c r="H41" s="1549"/>
      <c r="I41" s="1549"/>
      <c r="J41" s="1549"/>
      <c r="K41" s="1549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</row>
    <row r="8" spans="1:12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</row>
    <row r="9" spans="1:12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</row>
    <row r="10" spans="1:12" x14ac:dyDescent="0.25">
      <c r="A10" s="1551" t="s">
        <v>1007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</row>
    <row r="11" spans="1:12" x14ac:dyDescent="0.25">
      <c r="A11" s="1637" t="s">
        <v>412</v>
      </c>
      <c r="B11" s="1637"/>
      <c r="C11" s="1637"/>
      <c r="D11" s="1637"/>
      <c r="E11" s="1637"/>
      <c r="F11" s="1637"/>
      <c r="G11" s="1637"/>
      <c r="H11" s="1637"/>
      <c r="I11" s="1637"/>
      <c r="J11" s="1637"/>
      <c r="K11" s="1637"/>
      <c r="L11" s="1637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618" t="s">
        <v>7</v>
      </c>
      <c r="B13" s="1638" t="s">
        <v>937</v>
      </c>
      <c r="C13" s="1618" t="s">
        <v>9</v>
      </c>
      <c r="D13" s="421" t="s">
        <v>12</v>
      </c>
      <c r="E13" s="1619" t="s">
        <v>13</v>
      </c>
      <c r="F13" s="1615" t="s">
        <v>14</v>
      </c>
      <c r="G13" s="1615" t="s">
        <v>15</v>
      </c>
      <c r="H13" s="1615" t="s">
        <v>16</v>
      </c>
      <c r="I13" s="1615" t="s">
        <v>17</v>
      </c>
      <c r="J13" s="1615" t="s">
        <v>18</v>
      </c>
      <c r="K13" s="1615" t="s">
        <v>19</v>
      </c>
      <c r="L13" s="1615" t="s">
        <v>20</v>
      </c>
    </row>
    <row r="14" spans="1:12" x14ac:dyDescent="0.25">
      <c r="A14" s="1618"/>
      <c r="B14" s="1639"/>
      <c r="C14" s="1618"/>
      <c r="D14" s="421" t="s">
        <v>21</v>
      </c>
      <c r="E14" s="1619"/>
      <c r="F14" s="1615"/>
      <c r="G14" s="1615"/>
      <c r="H14" s="1615"/>
      <c r="I14" s="1615"/>
      <c r="J14" s="1615"/>
      <c r="K14" s="1615"/>
      <c r="L14" s="1615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626" t="s">
        <v>854</v>
      </c>
      <c r="H28" s="1626"/>
      <c r="I28" s="1626"/>
      <c r="J28" s="1626"/>
      <c r="K28" s="1626"/>
      <c r="L28" s="1626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627" t="s">
        <v>852</v>
      </c>
      <c r="H29" s="1627"/>
      <c r="I29" s="1627"/>
      <c r="J29" s="1627"/>
      <c r="K29" s="1627"/>
      <c r="L29" s="1627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628" t="s">
        <v>853</v>
      </c>
      <c r="H30" s="1628"/>
      <c r="I30" s="1628"/>
      <c r="J30" s="1628"/>
      <c r="K30" s="1628"/>
      <c r="L30" s="1628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629"/>
      <c r="I31" s="1629"/>
      <c r="J31" s="1629"/>
      <c r="K31" s="1629"/>
      <c r="L31" s="1629"/>
      <c r="M31" s="1629"/>
    </row>
    <row r="32" spans="1:13" ht="15.75" x14ac:dyDescent="0.25">
      <c r="A32" s="267"/>
      <c r="B32" s="267"/>
      <c r="C32" s="267"/>
      <c r="D32" s="268"/>
      <c r="E32" s="269"/>
      <c r="F32" s="1549"/>
      <c r="G32" s="1549"/>
      <c r="H32" s="1549"/>
      <c r="I32" s="1549"/>
      <c r="J32" s="1549"/>
      <c r="K32" s="271"/>
      <c r="L32" s="271"/>
      <c r="M32" s="259"/>
    </row>
  </sheetData>
  <mergeCells count="21"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  <mergeCell ref="A7:L7"/>
    <mergeCell ref="A8:L8"/>
    <mergeCell ref="A9:L9"/>
    <mergeCell ref="A10:L10"/>
    <mergeCell ref="A11:L11"/>
    <mergeCell ref="A13:A14"/>
    <mergeCell ref="B13:B14"/>
    <mergeCell ref="J13:J14"/>
    <mergeCell ref="C13:C14"/>
    <mergeCell ref="G28:L28"/>
    <mergeCell ref="E13:E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56" t="s">
        <v>0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6" t="s">
        <v>1009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</row>
    <row r="11" spans="1:12" x14ac:dyDescent="0.25">
      <c r="A11" s="1557" t="s">
        <v>404</v>
      </c>
      <c r="B11" s="1557"/>
      <c r="C11" s="1557"/>
      <c r="D11" s="1557"/>
      <c r="E11" s="1557"/>
      <c r="F11" s="1557"/>
      <c r="G11" s="1557"/>
      <c r="H11" s="1557"/>
      <c r="I11" s="1557"/>
      <c r="J11" s="1557"/>
      <c r="K11" s="1557"/>
      <c r="L11" s="1557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640" t="s">
        <v>7</v>
      </c>
      <c r="B14" s="1642" t="s">
        <v>802</v>
      </c>
      <c r="C14" s="1644" t="s">
        <v>9</v>
      </c>
      <c r="D14" s="451" t="s">
        <v>12</v>
      </c>
      <c r="E14" s="1646" t="s">
        <v>13</v>
      </c>
      <c r="F14" s="1648" t="s">
        <v>14</v>
      </c>
      <c r="G14" s="1648" t="s">
        <v>15</v>
      </c>
      <c r="H14" s="1648" t="s">
        <v>16</v>
      </c>
      <c r="I14" s="1648" t="s">
        <v>17</v>
      </c>
      <c r="J14" s="1648" t="s">
        <v>18</v>
      </c>
      <c r="K14" s="1650" t="s">
        <v>19</v>
      </c>
      <c r="L14" s="1600" t="s">
        <v>20</v>
      </c>
    </row>
    <row r="15" spans="1:12" ht="15.75" thickBot="1" x14ac:dyDescent="0.3">
      <c r="A15" s="1641"/>
      <c r="B15" s="1643"/>
      <c r="C15" s="1645"/>
      <c r="D15" s="452" t="s">
        <v>21</v>
      </c>
      <c r="E15" s="1647"/>
      <c r="F15" s="1649"/>
      <c r="G15" s="1649"/>
      <c r="H15" s="1649"/>
      <c r="I15" s="1649"/>
      <c r="J15" s="1649"/>
      <c r="K15" s="1651"/>
      <c r="L15" s="1652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56" t="s">
        <v>0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1:13" x14ac:dyDescent="0.25">
      <c r="A10" s="1556" t="s">
        <v>1010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  <c r="M10" s="1556"/>
    </row>
    <row r="11" spans="1:13" x14ac:dyDescent="0.25">
      <c r="A11" s="1634" t="s">
        <v>441</v>
      </c>
      <c r="B11" s="1634"/>
      <c r="C11" s="1634"/>
      <c r="D11" s="1634"/>
      <c r="E11" s="1634"/>
      <c r="F11" s="1634"/>
      <c r="G11" s="1634"/>
      <c r="H11" s="1634"/>
      <c r="I11" s="1634"/>
      <c r="J11" s="1634"/>
      <c r="K11" s="1634"/>
      <c r="L11" s="1634"/>
      <c r="M11" s="163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611" t="s">
        <v>7</v>
      </c>
      <c r="B13" s="1635" t="s">
        <v>937</v>
      </c>
      <c r="C13" s="1613" t="s">
        <v>9</v>
      </c>
      <c r="D13" s="1611" t="s">
        <v>832</v>
      </c>
      <c r="E13" s="476" t="s">
        <v>12</v>
      </c>
      <c r="F13" s="1612" t="s">
        <v>13</v>
      </c>
      <c r="G13" s="1609" t="s">
        <v>14</v>
      </c>
      <c r="H13" s="1609" t="s">
        <v>15</v>
      </c>
      <c r="I13" s="1609" t="s">
        <v>16</v>
      </c>
      <c r="J13" s="1609" t="s">
        <v>17</v>
      </c>
      <c r="K13" s="1609" t="s">
        <v>18</v>
      </c>
      <c r="L13" s="1609" t="s">
        <v>19</v>
      </c>
      <c r="M13" s="1609" t="s">
        <v>20</v>
      </c>
    </row>
    <row r="14" spans="1:13" x14ac:dyDescent="0.25">
      <c r="A14" s="1611"/>
      <c r="B14" s="1636"/>
      <c r="C14" s="1613"/>
      <c r="D14" s="1611"/>
      <c r="E14" s="476" t="s">
        <v>21</v>
      </c>
      <c r="F14" s="1612"/>
      <c r="G14" s="1609"/>
      <c r="H14" s="1609"/>
      <c r="I14" s="1609"/>
      <c r="J14" s="1609"/>
      <c r="K14" s="1609"/>
      <c r="L14" s="1609"/>
      <c r="M14" s="1609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1011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11" t="s">
        <v>7</v>
      </c>
      <c r="B13" s="1635" t="s">
        <v>937</v>
      </c>
      <c r="C13" s="1620" t="s">
        <v>8</v>
      </c>
      <c r="D13" s="1620" t="s">
        <v>10</v>
      </c>
      <c r="E13" s="1620" t="s">
        <v>11</v>
      </c>
      <c r="F13" s="476" t="s">
        <v>12</v>
      </c>
      <c r="G13" s="1622" t="s">
        <v>13</v>
      </c>
      <c r="H13" s="1620" t="s">
        <v>14</v>
      </c>
      <c r="I13" s="1620" t="s">
        <v>15</v>
      </c>
      <c r="J13" s="1620" t="s">
        <v>16</v>
      </c>
      <c r="K13" s="1620" t="s">
        <v>17</v>
      </c>
      <c r="L13" s="1620" t="s">
        <v>18</v>
      </c>
      <c r="M13" s="1620" t="s">
        <v>19</v>
      </c>
      <c r="N13" s="1611" t="s">
        <v>20</v>
      </c>
    </row>
    <row r="14" spans="1:14" x14ac:dyDescent="0.25">
      <c r="A14" s="1611"/>
      <c r="B14" s="1636"/>
      <c r="C14" s="1621"/>
      <c r="D14" s="1621"/>
      <c r="E14" s="1621"/>
      <c r="F14" s="476" t="s">
        <v>21</v>
      </c>
      <c r="G14" s="1623"/>
      <c r="H14" s="1621"/>
      <c r="I14" s="1621"/>
      <c r="J14" s="1621"/>
      <c r="K14" s="1621"/>
      <c r="L14" s="1621"/>
      <c r="M14" s="1621"/>
      <c r="N14" s="161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626" t="s">
        <v>854</v>
      </c>
      <c r="I37" s="1626"/>
      <c r="J37" s="1626"/>
      <c r="K37" s="1626"/>
      <c r="L37" s="1626"/>
      <c r="M37" s="162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627" t="s">
        <v>852</v>
      </c>
      <c r="I38" s="1627"/>
      <c r="J38" s="1627"/>
      <c r="K38" s="1627"/>
      <c r="L38" s="1627"/>
      <c r="M38" s="162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628" t="s">
        <v>853</v>
      </c>
      <c r="I39" s="1628"/>
      <c r="J39" s="1628"/>
      <c r="K39" s="1628"/>
      <c r="L39" s="1628"/>
      <c r="M39" s="162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9"/>
      <c r="J40" s="1629"/>
      <c r="K40" s="1629"/>
      <c r="L40" s="1629"/>
      <c r="M40" s="1629"/>
      <c r="N40" s="1629"/>
    </row>
    <row r="41" spans="1:14" ht="15.75" x14ac:dyDescent="0.25">
      <c r="A41" s="267"/>
      <c r="B41" s="267"/>
      <c r="C41" s="267"/>
      <c r="D41" s="268"/>
      <c r="E41" s="268"/>
      <c r="F41" s="269"/>
      <c r="G41" s="1549"/>
      <c r="H41" s="1549"/>
      <c r="I41" s="1549"/>
      <c r="J41" s="1549"/>
      <c r="K41" s="1549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56" t="s">
        <v>0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6" t="s">
        <v>1016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</row>
    <row r="11" spans="1:12" x14ac:dyDescent="0.25">
      <c r="A11" s="1557" t="s">
        <v>404</v>
      </c>
      <c r="B11" s="1557"/>
      <c r="C11" s="1557"/>
      <c r="D11" s="1557"/>
      <c r="E11" s="1557"/>
      <c r="F11" s="1557"/>
      <c r="G11" s="1557"/>
      <c r="H11" s="1557"/>
      <c r="I11" s="1557"/>
      <c r="J11" s="1557"/>
      <c r="K11" s="1557"/>
      <c r="L11" s="1557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611" t="s">
        <v>7</v>
      </c>
      <c r="B14" s="1611" t="s">
        <v>802</v>
      </c>
      <c r="C14" s="1611" t="s">
        <v>9</v>
      </c>
      <c r="D14" s="476" t="s">
        <v>12</v>
      </c>
      <c r="E14" s="1653" t="s">
        <v>13</v>
      </c>
      <c r="F14" s="1609" t="s">
        <v>14</v>
      </c>
      <c r="G14" s="1609" t="s">
        <v>15</v>
      </c>
      <c r="H14" s="1609" t="s">
        <v>16</v>
      </c>
      <c r="I14" s="1609" t="s">
        <v>17</v>
      </c>
      <c r="J14" s="1609" t="s">
        <v>18</v>
      </c>
      <c r="K14" s="1609" t="s">
        <v>19</v>
      </c>
      <c r="L14" s="1609" t="s">
        <v>20</v>
      </c>
    </row>
    <row r="15" spans="1:12" x14ac:dyDescent="0.25">
      <c r="A15" s="1611"/>
      <c r="B15" s="1611"/>
      <c r="C15" s="1611"/>
      <c r="D15" s="476" t="s">
        <v>21</v>
      </c>
      <c r="E15" s="1653"/>
      <c r="F15" s="1609"/>
      <c r="G15" s="1609"/>
      <c r="H15" s="1609"/>
      <c r="I15" s="1609"/>
      <c r="J15" s="1609"/>
      <c r="K15" s="1609"/>
      <c r="L15" s="1609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56" t="s">
        <v>0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1:13" x14ac:dyDescent="0.25">
      <c r="A10" s="1556" t="s">
        <v>1017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  <c r="M10" s="1556"/>
    </row>
    <row r="11" spans="1:13" x14ac:dyDescent="0.25">
      <c r="A11" s="1634" t="s">
        <v>441</v>
      </c>
      <c r="B11" s="1634"/>
      <c r="C11" s="1634"/>
      <c r="D11" s="1634"/>
      <c r="E11" s="1634"/>
      <c r="F11" s="1634"/>
      <c r="G11" s="1634"/>
      <c r="H11" s="1634"/>
      <c r="I11" s="1634"/>
      <c r="J11" s="1634"/>
      <c r="K11" s="1634"/>
      <c r="L11" s="1634"/>
      <c r="M11" s="163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611" t="s">
        <v>7</v>
      </c>
      <c r="B13" s="1611" t="s">
        <v>937</v>
      </c>
      <c r="C13" s="1613" t="s">
        <v>9</v>
      </c>
      <c r="D13" s="1611" t="s">
        <v>832</v>
      </c>
      <c r="E13" s="476" t="s">
        <v>12</v>
      </c>
      <c r="F13" s="1612" t="s">
        <v>13</v>
      </c>
      <c r="G13" s="1609" t="s">
        <v>14</v>
      </c>
      <c r="H13" s="1609" t="s">
        <v>15</v>
      </c>
      <c r="I13" s="1609" t="s">
        <v>16</v>
      </c>
      <c r="J13" s="1609" t="s">
        <v>17</v>
      </c>
      <c r="K13" s="1609" t="s">
        <v>18</v>
      </c>
      <c r="L13" s="1609" t="s">
        <v>19</v>
      </c>
      <c r="M13" s="1609" t="s">
        <v>20</v>
      </c>
    </row>
    <row r="14" spans="1:13" x14ac:dyDescent="0.25">
      <c r="A14" s="1611"/>
      <c r="B14" s="1611"/>
      <c r="C14" s="1613"/>
      <c r="D14" s="1611"/>
      <c r="E14" s="476" t="s">
        <v>21</v>
      </c>
      <c r="F14" s="1612"/>
      <c r="G14" s="1609"/>
      <c r="H14" s="1609"/>
      <c r="I14" s="1609"/>
      <c r="J14" s="1609"/>
      <c r="K14" s="1609"/>
      <c r="L14" s="1609"/>
      <c r="M14" s="1609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1018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11" t="s">
        <v>7</v>
      </c>
      <c r="B13" s="1635" t="s">
        <v>937</v>
      </c>
      <c r="C13" s="1620" t="s">
        <v>8</v>
      </c>
      <c r="D13" s="1620" t="s">
        <v>10</v>
      </c>
      <c r="E13" s="1620" t="s">
        <v>11</v>
      </c>
      <c r="F13" s="476" t="s">
        <v>12</v>
      </c>
      <c r="G13" s="1622" t="s">
        <v>13</v>
      </c>
      <c r="H13" s="1620" t="s">
        <v>14</v>
      </c>
      <c r="I13" s="1620" t="s">
        <v>15</v>
      </c>
      <c r="J13" s="1620" t="s">
        <v>16</v>
      </c>
      <c r="K13" s="1620" t="s">
        <v>17</v>
      </c>
      <c r="L13" s="1620" t="s">
        <v>18</v>
      </c>
      <c r="M13" s="1620" t="s">
        <v>19</v>
      </c>
      <c r="N13" s="1611" t="s">
        <v>20</v>
      </c>
    </row>
    <row r="14" spans="1:14" x14ac:dyDescent="0.25">
      <c r="A14" s="1611"/>
      <c r="B14" s="1636"/>
      <c r="C14" s="1621"/>
      <c r="D14" s="1621"/>
      <c r="E14" s="1621"/>
      <c r="F14" s="476" t="s">
        <v>21</v>
      </c>
      <c r="G14" s="1623"/>
      <c r="H14" s="1621"/>
      <c r="I14" s="1621"/>
      <c r="J14" s="1621"/>
      <c r="K14" s="1621"/>
      <c r="L14" s="1621"/>
      <c r="M14" s="1621"/>
      <c r="N14" s="161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626" t="s">
        <v>854</v>
      </c>
      <c r="I37" s="1626"/>
      <c r="J37" s="1626"/>
      <c r="K37" s="1626"/>
      <c r="L37" s="1626"/>
      <c r="M37" s="162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627" t="s">
        <v>852</v>
      </c>
      <c r="I38" s="1627"/>
      <c r="J38" s="1627"/>
      <c r="K38" s="1627"/>
      <c r="L38" s="1627"/>
      <c r="M38" s="162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628" t="s">
        <v>853</v>
      </c>
      <c r="I39" s="1628"/>
      <c r="J39" s="1628"/>
      <c r="K39" s="1628"/>
      <c r="L39" s="1628"/>
      <c r="M39" s="162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9"/>
      <c r="J40" s="1629"/>
      <c r="K40" s="1629"/>
      <c r="L40" s="1629"/>
      <c r="M40" s="1629"/>
      <c r="N40" s="1629"/>
    </row>
    <row r="41" spans="1:14" ht="15.75" x14ac:dyDescent="0.25">
      <c r="A41" s="267"/>
      <c r="B41" s="267"/>
      <c r="C41" s="267"/>
      <c r="D41" s="268"/>
      <c r="E41" s="268"/>
      <c r="F41" s="269"/>
      <c r="G41" s="1549"/>
      <c r="H41" s="1549"/>
      <c r="I41" s="1549"/>
      <c r="J41" s="1549"/>
      <c r="K41" s="1549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56" t="s">
        <v>0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6" t="s">
        <v>1021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</row>
    <row r="11" spans="1:12" x14ac:dyDescent="0.25">
      <c r="A11" s="1557" t="s">
        <v>404</v>
      </c>
      <c r="B11" s="1557"/>
      <c r="C11" s="1557"/>
      <c r="D11" s="1557"/>
      <c r="E11" s="1557"/>
      <c r="F11" s="1557"/>
      <c r="G11" s="1557"/>
      <c r="H11" s="1557"/>
      <c r="I11" s="1557"/>
      <c r="J11" s="1557"/>
      <c r="K11" s="1557"/>
      <c r="L11" s="1557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611" t="s">
        <v>7</v>
      </c>
      <c r="B14" s="1611" t="s">
        <v>802</v>
      </c>
      <c r="C14" s="1611" t="s">
        <v>9</v>
      </c>
      <c r="D14" s="476" t="s">
        <v>12</v>
      </c>
      <c r="E14" s="1653" t="s">
        <v>13</v>
      </c>
      <c r="F14" s="1609" t="s">
        <v>14</v>
      </c>
      <c r="G14" s="1609" t="s">
        <v>15</v>
      </c>
      <c r="H14" s="1609" t="s">
        <v>16</v>
      </c>
      <c r="I14" s="1609" t="s">
        <v>17</v>
      </c>
      <c r="J14" s="1609" t="s">
        <v>18</v>
      </c>
      <c r="K14" s="1609" t="s">
        <v>19</v>
      </c>
      <c r="L14" s="1609" t="s">
        <v>20</v>
      </c>
    </row>
    <row r="15" spans="1:12" x14ac:dyDescent="0.25">
      <c r="A15" s="1611"/>
      <c r="B15" s="1611"/>
      <c r="C15" s="1611"/>
      <c r="D15" s="476" t="s">
        <v>21</v>
      </c>
      <c r="E15" s="1653"/>
      <c r="F15" s="1609"/>
      <c r="G15" s="1609"/>
      <c r="H15" s="1609"/>
      <c r="I15" s="1609"/>
      <c r="J15" s="1609"/>
      <c r="K15" s="1609"/>
      <c r="L15" s="1609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56" t="s">
        <v>0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1:13" x14ac:dyDescent="0.25">
      <c r="A10" s="1556" t="s">
        <v>1023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  <c r="M10" s="1556"/>
    </row>
    <row r="11" spans="1:13" x14ac:dyDescent="0.25">
      <c r="A11" s="1634" t="s">
        <v>441</v>
      </c>
      <c r="B11" s="1634"/>
      <c r="C11" s="1634"/>
      <c r="D11" s="1634"/>
      <c r="E11" s="1634"/>
      <c r="F11" s="1634"/>
      <c r="G11" s="1634"/>
      <c r="H11" s="1634"/>
      <c r="I11" s="1634"/>
      <c r="J11" s="1634"/>
      <c r="K11" s="1634"/>
      <c r="L11" s="1634"/>
      <c r="M11" s="163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611" t="s">
        <v>7</v>
      </c>
      <c r="B13" s="1611" t="s">
        <v>937</v>
      </c>
      <c r="C13" s="1613" t="s">
        <v>9</v>
      </c>
      <c r="D13" s="1611" t="s">
        <v>832</v>
      </c>
      <c r="E13" s="476" t="s">
        <v>12</v>
      </c>
      <c r="F13" s="1612" t="s">
        <v>13</v>
      </c>
      <c r="G13" s="1609" t="s">
        <v>14</v>
      </c>
      <c r="H13" s="1609" t="s">
        <v>15</v>
      </c>
      <c r="I13" s="1609" t="s">
        <v>16</v>
      </c>
      <c r="J13" s="1609" t="s">
        <v>17</v>
      </c>
      <c r="K13" s="1609" t="s">
        <v>18</v>
      </c>
      <c r="L13" s="1609" t="s">
        <v>19</v>
      </c>
      <c r="M13" s="1609" t="s">
        <v>20</v>
      </c>
    </row>
    <row r="14" spans="1:13" x14ac:dyDescent="0.25">
      <c r="A14" s="1611"/>
      <c r="B14" s="1611"/>
      <c r="C14" s="1613"/>
      <c r="D14" s="1611"/>
      <c r="E14" s="476" t="s">
        <v>21</v>
      </c>
      <c r="F14" s="1612"/>
      <c r="G14" s="1609"/>
      <c r="H14" s="1609"/>
      <c r="I14" s="1609"/>
      <c r="J14" s="1609"/>
      <c r="K14" s="1609"/>
      <c r="L14" s="1609"/>
      <c r="M14" s="1609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1026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11" t="s">
        <v>7</v>
      </c>
      <c r="B13" s="1635" t="s">
        <v>937</v>
      </c>
      <c r="C13" s="1620" t="s">
        <v>8</v>
      </c>
      <c r="D13" s="1620" t="s">
        <v>10</v>
      </c>
      <c r="E13" s="1620" t="s">
        <v>11</v>
      </c>
      <c r="F13" s="476" t="s">
        <v>12</v>
      </c>
      <c r="G13" s="1622" t="s">
        <v>13</v>
      </c>
      <c r="H13" s="1620" t="s">
        <v>14</v>
      </c>
      <c r="I13" s="1620" t="s">
        <v>15</v>
      </c>
      <c r="J13" s="1620" t="s">
        <v>16</v>
      </c>
      <c r="K13" s="1620" t="s">
        <v>17</v>
      </c>
      <c r="L13" s="1620" t="s">
        <v>18</v>
      </c>
      <c r="M13" s="1620" t="s">
        <v>19</v>
      </c>
      <c r="N13" s="1611" t="s">
        <v>20</v>
      </c>
    </row>
    <row r="14" spans="1:14" x14ac:dyDescent="0.25">
      <c r="A14" s="1611"/>
      <c r="B14" s="1636"/>
      <c r="C14" s="1621"/>
      <c r="D14" s="1621"/>
      <c r="E14" s="1621"/>
      <c r="F14" s="476" t="s">
        <v>21</v>
      </c>
      <c r="G14" s="1623"/>
      <c r="H14" s="1621"/>
      <c r="I14" s="1621"/>
      <c r="J14" s="1621"/>
      <c r="K14" s="1621"/>
      <c r="L14" s="1621"/>
      <c r="M14" s="1621"/>
      <c r="N14" s="161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626" t="s">
        <v>854</v>
      </c>
      <c r="I37" s="1626"/>
      <c r="J37" s="1626"/>
      <c r="K37" s="1626"/>
      <c r="L37" s="1626"/>
      <c r="M37" s="162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627" t="s">
        <v>852</v>
      </c>
      <c r="I38" s="1627"/>
      <c r="J38" s="1627"/>
      <c r="K38" s="1627"/>
      <c r="L38" s="1627"/>
      <c r="M38" s="162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628" t="s">
        <v>853</v>
      </c>
      <c r="I39" s="1628"/>
      <c r="J39" s="1628"/>
      <c r="K39" s="1628"/>
      <c r="L39" s="1628"/>
      <c r="M39" s="162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9"/>
      <c r="J40" s="1629"/>
      <c r="K40" s="1629"/>
      <c r="L40" s="1629"/>
      <c r="M40" s="1629"/>
      <c r="N40" s="1629"/>
    </row>
    <row r="41" spans="1:14" ht="15.75" x14ac:dyDescent="0.25">
      <c r="A41" s="267"/>
      <c r="B41" s="267"/>
      <c r="C41" s="267"/>
      <c r="D41" s="268"/>
      <c r="E41" s="268"/>
      <c r="F41" s="269"/>
      <c r="G41" s="1549"/>
      <c r="H41" s="1549"/>
      <c r="I41" s="1549"/>
      <c r="J41" s="1549"/>
      <c r="K41" s="1549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556" t="s">
        <v>0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1027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404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611" t="s">
        <v>7</v>
      </c>
      <c r="B13" s="1611" t="s">
        <v>802</v>
      </c>
      <c r="C13" s="1611" t="s">
        <v>9</v>
      </c>
      <c r="D13" s="476" t="s">
        <v>12</v>
      </c>
      <c r="E13" s="1653" t="s">
        <v>13</v>
      </c>
      <c r="F13" s="1609" t="s">
        <v>14</v>
      </c>
      <c r="G13" s="1609" t="s">
        <v>15</v>
      </c>
      <c r="H13" s="1609" t="s">
        <v>16</v>
      </c>
      <c r="I13" s="1609" t="s">
        <v>17</v>
      </c>
      <c r="J13" s="1609" t="s">
        <v>18</v>
      </c>
      <c r="K13" s="1609" t="s">
        <v>19</v>
      </c>
      <c r="L13" s="1609" t="s">
        <v>20</v>
      </c>
    </row>
    <row r="14" spans="1:12" x14ac:dyDescent="0.25">
      <c r="A14" s="1611"/>
      <c r="B14" s="1611"/>
      <c r="C14" s="1611"/>
      <c r="D14" s="476" t="s">
        <v>21</v>
      </c>
      <c r="E14" s="1653"/>
      <c r="F14" s="1609"/>
      <c r="G14" s="1609"/>
      <c r="H14" s="1609"/>
      <c r="I14" s="1609"/>
      <c r="J14" s="1609"/>
      <c r="K14" s="1609"/>
      <c r="L14" s="1609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56" t="s">
        <v>0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6" t="s">
        <v>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1:13" x14ac:dyDescent="0.25">
      <c r="A10" s="1556" t="s">
        <v>1028</v>
      </c>
      <c r="B10" s="1556"/>
      <c r="C10" s="1556"/>
      <c r="D10" s="1556"/>
      <c r="E10" s="1556"/>
      <c r="F10" s="1556"/>
      <c r="G10" s="1556"/>
      <c r="H10" s="1556"/>
      <c r="I10" s="1556"/>
      <c r="J10" s="1556"/>
      <c r="K10" s="1556"/>
      <c r="L10" s="1556"/>
      <c r="M10" s="1556"/>
    </row>
    <row r="11" spans="1:13" x14ac:dyDescent="0.25">
      <c r="A11" s="1634" t="s">
        <v>441</v>
      </c>
      <c r="B11" s="1634"/>
      <c r="C11" s="1634"/>
      <c r="D11" s="1634"/>
      <c r="E11" s="1634"/>
      <c r="F11" s="1634"/>
      <c r="G11" s="1634"/>
      <c r="H11" s="1634"/>
      <c r="I11" s="1634"/>
      <c r="J11" s="1634"/>
      <c r="K11" s="1634"/>
      <c r="L11" s="1634"/>
      <c r="M11" s="1634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611" t="s">
        <v>7</v>
      </c>
      <c r="B13" s="1611" t="s">
        <v>937</v>
      </c>
      <c r="C13" s="1613" t="s">
        <v>9</v>
      </c>
      <c r="D13" s="1611" t="s">
        <v>832</v>
      </c>
      <c r="E13" s="476" t="s">
        <v>12</v>
      </c>
      <c r="F13" s="1612" t="s">
        <v>13</v>
      </c>
      <c r="G13" s="1609" t="s">
        <v>14</v>
      </c>
      <c r="H13" s="1609" t="s">
        <v>15</v>
      </c>
      <c r="I13" s="1609" t="s">
        <v>16</v>
      </c>
      <c r="J13" s="1609" t="s">
        <v>17</v>
      </c>
      <c r="K13" s="1609" t="s">
        <v>18</v>
      </c>
      <c r="L13" s="1609" t="s">
        <v>19</v>
      </c>
      <c r="M13" s="1609" t="s">
        <v>20</v>
      </c>
    </row>
    <row r="14" spans="1:13" x14ac:dyDescent="0.25">
      <c r="A14" s="1611"/>
      <c r="B14" s="1611"/>
      <c r="C14" s="1613"/>
      <c r="D14" s="1611"/>
      <c r="E14" s="476" t="s">
        <v>21</v>
      </c>
      <c r="F14" s="1612"/>
      <c r="G14" s="1609"/>
      <c r="H14" s="1609"/>
      <c r="I14" s="1609"/>
      <c r="J14" s="1609"/>
      <c r="K14" s="1609"/>
      <c r="L14" s="1609"/>
      <c r="M14" s="1609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1029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11" t="s">
        <v>7</v>
      </c>
      <c r="B13" s="1635" t="s">
        <v>937</v>
      </c>
      <c r="C13" s="1620" t="s">
        <v>8</v>
      </c>
      <c r="D13" s="1620" t="s">
        <v>10</v>
      </c>
      <c r="E13" s="1620" t="s">
        <v>11</v>
      </c>
      <c r="F13" s="476" t="s">
        <v>12</v>
      </c>
      <c r="G13" s="1622" t="s">
        <v>13</v>
      </c>
      <c r="H13" s="1620" t="s">
        <v>14</v>
      </c>
      <c r="I13" s="1620" t="s">
        <v>15</v>
      </c>
      <c r="J13" s="1620" t="s">
        <v>16</v>
      </c>
      <c r="K13" s="1620" t="s">
        <v>17</v>
      </c>
      <c r="L13" s="1620" t="s">
        <v>18</v>
      </c>
      <c r="M13" s="1620" t="s">
        <v>19</v>
      </c>
      <c r="N13" s="1611" t="s">
        <v>20</v>
      </c>
    </row>
    <row r="14" spans="1:14" x14ac:dyDescent="0.25">
      <c r="A14" s="1611"/>
      <c r="B14" s="1636"/>
      <c r="C14" s="1621"/>
      <c r="D14" s="1621"/>
      <c r="E14" s="1621"/>
      <c r="F14" s="476" t="s">
        <v>21</v>
      </c>
      <c r="G14" s="1623"/>
      <c r="H14" s="1621"/>
      <c r="I14" s="1621"/>
      <c r="J14" s="1621"/>
      <c r="K14" s="1621"/>
      <c r="L14" s="1621"/>
      <c r="M14" s="1621"/>
      <c r="N14" s="161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626" t="s">
        <v>854</v>
      </c>
      <c r="I37" s="1626"/>
      <c r="J37" s="1626"/>
      <c r="K37" s="1626"/>
      <c r="L37" s="1626"/>
      <c r="M37" s="162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627" t="s">
        <v>852</v>
      </c>
      <c r="I38" s="1627"/>
      <c r="J38" s="1627"/>
      <c r="K38" s="1627"/>
      <c r="L38" s="1627"/>
      <c r="M38" s="162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628" t="s">
        <v>853</v>
      </c>
      <c r="I39" s="1628"/>
      <c r="J39" s="1628"/>
      <c r="K39" s="1628"/>
      <c r="L39" s="1628"/>
      <c r="M39" s="162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9"/>
      <c r="J40" s="1629"/>
      <c r="K40" s="1629"/>
      <c r="L40" s="1629"/>
      <c r="M40" s="1629"/>
      <c r="N40" s="1629"/>
    </row>
    <row r="41" spans="1:14" ht="15.75" x14ac:dyDescent="0.25">
      <c r="A41" s="267"/>
      <c r="B41" s="267"/>
      <c r="C41" s="267"/>
      <c r="D41" s="268"/>
      <c r="E41" s="268"/>
      <c r="F41" s="269"/>
      <c r="G41" s="1549"/>
      <c r="H41" s="1549"/>
      <c r="I41" s="1549"/>
      <c r="J41" s="1549"/>
      <c r="K41" s="1549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556" t="s">
        <v>0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1033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404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611" t="s">
        <v>7</v>
      </c>
      <c r="B13" s="1611" t="s">
        <v>802</v>
      </c>
      <c r="C13" s="1611" t="s">
        <v>9</v>
      </c>
      <c r="D13" s="476" t="s">
        <v>12</v>
      </c>
      <c r="E13" s="1653" t="s">
        <v>13</v>
      </c>
      <c r="F13" s="1609" t="s">
        <v>14</v>
      </c>
      <c r="G13" s="1609" t="s">
        <v>15</v>
      </c>
      <c r="H13" s="1609" t="s">
        <v>16</v>
      </c>
      <c r="I13" s="1609" t="s">
        <v>17</v>
      </c>
      <c r="J13" s="1609" t="s">
        <v>18</v>
      </c>
      <c r="K13" s="1609" t="s">
        <v>19</v>
      </c>
      <c r="L13" s="1609" t="s">
        <v>20</v>
      </c>
    </row>
    <row r="14" spans="1:12" x14ac:dyDescent="0.25">
      <c r="A14" s="1611"/>
      <c r="B14" s="1611"/>
      <c r="C14" s="1611"/>
      <c r="D14" s="476" t="s">
        <v>21</v>
      </c>
      <c r="E14" s="1653"/>
      <c r="F14" s="1609"/>
      <c r="G14" s="1609"/>
      <c r="H14" s="1609"/>
      <c r="I14" s="1609"/>
      <c r="J14" s="1609"/>
      <c r="K14" s="1609"/>
      <c r="L14" s="1609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</row>
    <row r="6" spans="1:13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1:13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1034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611" t="s">
        <v>7</v>
      </c>
      <c r="B11" s="1611" t="s">
        <v>937</v>
      </c>
      <c r="C11" s="1613" t="s">
        <v>9</v>
      </c>
      <c r="D11" s="1611" t="s">
        <v>832</v>
      </c>
      <c r="E11" s="476" t="s">
        <v>12</v>
      </c>
      <c r="F11" s="1612" t="s">
        <v>13</v>
      </c>
      <c r="G11" s="1609" t="s">
        <v>14</v>
      </c>
      <c r="H11" s="1609" t="s">
        <v>15</v>
      </c>
      <c r="I11" s="1609" t="s">
        <v>16</v>
      </c>
      <c r="J11" s="1609" t="s">
        <v>17</v>
      </c>
      <c r="K11" s="1609" t="s">
        <v>18</v>
      </c>
      <c r="L11" s="1609" t="s">
        <v>19</v>
      </c>
      <c r="M11" s="1609" t="s">
        <v>20</v>
      </c>
    </row>
    <row r="12" spans="1:13" x14ac:dyDescent="0.25">
      <c r="A12" s="1611"/>
      <c r="B12" s="1611"/>
      <c r="C12" s="1613"/>
      <c r="D12" s="1611"/>
      <c r="E12" s="476" t="s">
        <v>21</v>
      </c>
      <c r="F12" s="1612"/>
      <c r="G12" s="1609"/>
      <c r="H12" s="1609"/>
      <c r="I12" s="1609"/>
      <c r="J12" s="1609"/>
      <c r="K12" s="1609"/>
      <c r="L12" s="1609"/>
      <c r="M12" s="1609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1035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11" t="s">
        <v>7</v>
      </c>
      <c r="B13" s="1635" t="s">
        <v>937</v>
      </c>
      <c r="C13" s="1620" t="s">
        <v>8</v>
      </c>
      <c r="D13" s="1620" t="s">
        <v>10</v>
      </c>
      <c r="E13" s="1620" t="s">
        <v>11</v>
      </c>
      <c r="F13" s="476" t="s">
        <v>12</v>
      </c>
      <c r="G13" s="1622" t="s">
        <v>13</v>
      </c>
      <c r="H13" s="1620" t="s">
        <v>14</v>
      </c>
      <c r="I13" s="1620" t="s">
        <v>15</v>
      </c>
      <c r="J13" s="1620" t="s">
        <v>16</v>
      </c>
      <c r="K13" s="1620" t="s">
        <v>17</v>
      </c>
      <c r="L13" s="1620" t="s">
        <v>18</v>
      </c>
      <c r="M13" s="1620" t="s">
        <v>19</v>
      </c>
      <c r="N13" s="1611" t="s">
        <v>20</v>
      </c>
    </row>
    <row r="14" spans="1:14" x14ac:dyDescent="0.25">
      <c r="A14" s="1611"/>
      <c r="B14" s="1636"/>
      <c r="C14" s="1621"/>
      <c r="D14" s="1621"/>
      <c r="E14" s="1621"/>
      <c r="F14" s="476" t="s">
        <v>21</v>
      </c>
      <c r="G14" s="1623"/>
      <c r="H14" s="1621"/>
      <c r="I14" s="1621"/>
      <c r="J14" s="1621"/>
      <c r="K14" s="1621"/>
      <c r="L14" s="1621"/>
      <c r="M14" s="1621"/>
      <c r="N14" s="161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626" t="s">
        <v>854</v>
      </c>
      <c r="I37" s="1626"/>
      <c r="J37" s="1626"/>
      <c r="K37" s="1626"/>
      <c r="L37" s="1626"/>
      <c r="M37" s="162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627" t="s">
        <v>852</v>
      </c>
      <c r="I38" s="1627"/>
      <c r="J38" s="1627"/>
      <c r="K38" s="1627"/>
      <c r="L38" s="1627"/>
      <c r="M38" s="162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628" t="s">
        <v>853</v>
      </c>
      <c r="I39" s="1628"/>
      <c r="J39" s="1628"/>
      <c r="K39" s="1628"/>
      <c r="L39" s="1628"/>
      <c r="M39" s="162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9"/>
      <c r="J40" s="1629"/>
      <c r="K40" s="1629"/>
      <c r="L40" s="1629"/>
      <c r="M40" s="1629"/>
      <c r="N40" s="1629"/>
    </row>
    <row r="41" spans="1:14" ht="15.75" x14ac:dyDescent="0.25">
      <c r="A41" s="267"/>
      <c r="B41" s="267"/>
      <c r="C41" s="267"/>
      <c r="D41" s="268"/>
      <c r="E41" s="268"/>
      <c r="F41" s="269"/>
      <c r="G41" s="1549"/>
      <c r="H41" s="1549"/>
      <c r="I41" s="1549"/>
      <c r="J41" s="1549"/>
      <c r="K41" s="1549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</row>
    <row r="6" spans="1:13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1:13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1040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611" t="s">
        <v>7</v>
      </c>
      <c r="B11" s="1611" t="s">
        <v>937</v>
      </c>
      <c r="C11" s="1613" t="s">
        <v>9</v>
      </c>
      <c r="D11" s="1611" t="s">
        <v>832</v>
      </c>
      <c r="E11" s="476" t="s">
        <v>12</v>
      </c>
      <c r="F11" s="1612" t="s">
        <v>13</v>
      </c>
      <c r="G11" s="1609" t="s">
        <v>14</v>
      </c>
      <c r="H11" s="1609" t="s">
        <v>15</v>
      </c>
      <c r="I11" s="1609" t="s">
        <v>16</v>
      </c>
      <c r="J11" s="1609" t="s">
        <v>17</v>
      </c>
      <c r="K11" s="1609" t="s">
        <v>18</v>
      </c>
      <c r="L11" s="1609" t="s">
        <v>19</v>
      </c>
      <c r="M11" s="1609" t="s">
        <v>20</v>
      </c>
    </row>
    <row r="12" spans="1:13" x14ac:dyDescent="0.25">
      <c r="A12" s="1611"/>
      <c r="B12" s="1611"/>
      <c r="C12" s="1613"/>
      <c r="D12" s="1611"/>
      <c r="E12" s="476" t="s">
        <v>21</v>
      </c>
      <c r="F12" s="1612"/>
      <c r="G12" s="1609"/>
      <c r="H12" s="1609"/>
      <c r="I12" s="1609"/>
      <c r="J12" s="1609"/>
      <c r="K12" s="1609"/>
      <c r="L12" s="1609"/>
      <c r="M12" s="1609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1051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11" t="s">
        <v>7</v>
      </c>
      <c r="B13" s="1635" t="s">
        <v>937</v>
      </c>
      <c r="C13" s="1620" t="s">
        <v>8</v>
      </c>
      <c r="D13" s="1620" t="s">
        <v>10</v>
      </c>
      <c r="E13" s="1620" t="s">
        <v>11</v>
      </c>
      <c r="F13" s="476" t="s">
        <v>12</v>
      </c>
      <c r="G13" s="1622" t="s">
        <v>13</v>
      </c>
      <c r="H13" s="1620" t="s">
        <v>14</v>
      </c>
      <c r="I13" s="1620" t="s">
        <v>15</v>
      </c>
      <c r="J13" s="1620" t="s">
        <v>16</v>
      </c>
      <c r="K13" s="1620" t="s">
        <v>17</v>
      </c>
      <c r="L13" s="1620" t="s">
        <v>18</v>
      </c>
      <c r="M13" s="1620" t="s">
        <v>19</v>
      </c>
      <c r="N13" s="1611" t="s">
        <v>20</v>
      </c>
    </row>
    <row r="14" spans="1:14" x14ac:dyDescent="0.25">
      <c r="A14" s="1611"/>
      <c r="B14" s="1636"/>
      <c r="C14" s="1621"/>
      <c r="D14" s="1621"/>
      <c r="E14" s="1621"/>
      <c r="F14" s="476" t="s">
        <v>21</v>
      </c>
      <c r="G14" s="1623"/>
      <c r="H14" s="1621"/>
      <c r="I14" s="1621"/>
      <c r="J14" s="1621"/>
      <c r="K14" s="1621"/>
      <c r="L14" s="1621"/>
      <c r="M14" s="1621"/>
      <c r="N14" s="161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626" t="s">
        <v>854</v>
      </c>
      <c r="I44" s="1626"/>
      <c r="J44" s="1626"/>
      <c r="K44" s="1626"/>
      <c r="L44" s="1626"/>
      <c r="M44" s="1626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627" t="s">
        <v>852</v>
      </c>
      <c r="I45" s="1627"/>
      <c r="J45" s="1627"/>
      <c r="K45" s="1627"/>
      <c r="L45" s="1627"/>
      <c r="M45" s="1627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628" t="s">
        <v>853</v>
      </c>
      <c r="I46" s="1628"/>
      <c r="J46" s="1628"/>
      <c r="K46" s="1628"/>
      <c r="L46" s="1628"/>
      <c r="M46" s="1628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629"/>
      <c r="J47" s="1629"/>
      <c r="K47" s="1629"/>
      <c r="L47" s="1629"/>
      <c r="M47" s="1629"/>
      <c r="N47" s="1629"/>
    </row>
    <row r="48" spans="1:14" ht="15.75" x14ac:dyDescent="0.25">
      <c r="A48" s="267"/>
      <c r="B48" s="267"/>
      <c r="C48" s="267"/>
      <c r="D48" s="268"/>
      <c r="E48" s="268"/>
      <c r="F48" s="269"/>
      <c r="G48" s="1549"/>
      <c r="H48" s="1549"/>
      <c r="I48" s="1549"/>
      <c r="J48" s="1549"/>
      <c r="K48" s="1549"/>
      <c r="L48" s="271"/>
      <c r="M48" s="271"/>
      <c r="N48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1052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7" t="s">
        <v>404</v>
      </c>
      <c r="B9" s="1557"/>
      <c r="C9" s="1557"/>
      <c r="D9" s="1557"/>
      <c r="E9" s="1557"/>
      <c r="F9" s="1557"/>
      <c r="G9" s="1557"/>
      <c r="H9" s="1557"/>
      <c r="I9" s="1557"/>
      <c r="J9" s="1557"/>
      <c r="K9" s="1557"/>
      <c r="L9" s="1557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611" t="s">
        <v>7</v>
      </c>
      <c r="B11" s="1611" t="s">
        <v>802</v>
      </c>
      <c r="C11" s="1611" t="s">
        <v>9</v>
      </c>
      <c r="D11" s="476" t="s">
        <v>12</v>
      </c>
      <c r="E11" s="1653" t="s">
        <v>13</v>
      </c>
      <c r="F11" s="1609" t="s">
        <v>14</v>
      </c>
      <c r="G11" s="1609" t="s">
        <v>15</v>
      </c>
      <c r="H11" s="1609" t="s">
        <v>16</v>
      </c>
      <c r="I11" s="1609" t="s">
        <v>17</v>
      </c>
      <c r="J11" s="1609" t="s">
        <v>18</v>
      </c>
      <c r="K11" s="1609" t="s">
        <v>19</v>
      </c>
      <c r="L11" s="1609" t="s">
        <v>20</v>
      </c>
    </row>
    <row r="12" spans="1:12" x14ac:dyDescent="0.25">
      <c r="A12" s="1611"/>
      <c r="B12" s="1611"/>
      <c r="C12" s="1611"/>
      <c r="D12" s="476" t="s">
        <v>21</v>
      </c>
      <c r="E12" s="1653"/>
      <c r="F12" s="1609"/>
      <c r="G12" s="1609"/>
      <c r="H12" s="1609"/>
      <c r="I12" s="1609"/>
      <c r="J12" s="1609"/>
      <c r="K12" s="1609"/>
      <c r="L12" s="1609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1:13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1060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7" t="s">
        <v>404</v>
      </c>
      <c r="B9" s="1557"/>
      <c r="C9" s="1557"/>
      <c r="D9" s="1557"/>
      <c r="E9" s="1557"/>
      <c r="F9" s="1557"/>
      <c r="G9" s="1557"/>
      <c r="H9" s="1557"/>
      <c r="I9" s="1557"/>
      <c r="J9" s="1557"/>
      <c r="K9" s="1557"/>
      <c r="L9" s="1557"/>
      <c r="M9" s="1557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611" t="s">
        <v>7</v>
      </c>
      <c r="B11" s="1611" t="s">
        <v>802</v>
      </c>
      <c r="C11" s="1611" t="s">
        <v>9</v>
      </c>
      <c r="D11" s="1635" t="s">
        <v>11</v>
      </c>
      <c r="E11" s="476" t="s">
        <v>12</v>
      </c>
      <c r="F11" s="1653" t="s">
        <v>13</v>
      </c>
      <c r="G11" s="1609" t="s">
        <v>14</v>
      </c>
      <c r="H11" s="1609" t="s">
        <v>15</v>
      </c>
      <c r="I11" s="1609" t="s">
        <v>16</v>
      </c>
      <c r="J11" s="1609" t="s">
        <v>17</v>
      </c>
      <c r="K11" s="1609" t="s">
        <v>18</v>
      </c>
      <c r="L11" s="1609" t="s">
        <v>19</v>
      </c>
      <c r="M11" s="1609" t="s">
        <v>20</v>
      </c>
    </row>
    <row r="12" spans="1:13" x14ac:dyDescent="0.25">
      <c r="A12" s="1611"/>
      <c r="B12" s="1611"/>
      <c r="C12" s="1611"/>
      <c r="D12" s="1636"/>
      <c r="E12" s="476" t="s">
        <v>21</v>
      </c>
      <c r="F12" s="1653"/>
      <c r="G12" s="1609"/>
      <c r="H12" s="1609"/>
      <c r="I12" s="1609"/>
      <c r="J12" s="1609"/>
      <c r="K12" s="1609"/>
      <c r="L12" s="1609"/>
      <c r="M12" s="1609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1059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35" t="s">
        <v>7</v>
      </c>
      <c r="B11" s="1635" t="s">
        <v>937</v>
      </c>
      <c r="C11" s="1658" t="s">
        <v>9</v>
      </c>
      <c r="D11" s="1635" t="s">
        <v>832</v>
      </c>
      <c r="E11" s="1635" t="s">
        <v>834</v>
      </c>
      <c r="F11" s="1635" t="s">
        <v>209</v>
      </c>
      <c r="G11" s="476" t="s">
        <v>12</v>
      </c>
      <c r="H11" s="1656" t="s">
        <v>13</v>
      </c>
      <c r="I11" s="1654" t="s">
        <v>14</v>
      </c>
      <c r="J11" s="1654" t="s">
        <v>15</v>
      </c>
      <c r="K11" s="1654" t="s">
        <v>16</v>
      </c>
      <c r="L11" s="1654" t="s">
        <v>17</v>
      </c>
      <c r="M11" s="1654" t="s">
        <v>18</v>
      </c>
      <c r="N11" s="1654" t="s">
        <v>19</v>
      </c>
      <c r="O11" s="1654" t="s">
        <v>20</v>
      </c>
    </row>
    <row r="12" spans="1:15" x14ac:dyDescent="0.25">
      <c r="A12" s="1636"/>
      <c r="B12" s="1636"/>
      <c r="C12" s="1659"/>
      <c r="D12" s="1636"/>
      <c r="E12" s="1636"/>
      <c r="F12" s="1636"/>
      <c r="G12" s="476" t="s">
        <v>21</v>
      </c>
      <c r="H12" s="1657"/>
      <c r="I12" s="1655"/>
      <c r="J12" s="1655"/>
      <c r="K12" s="1655"/>
      <c r="L12" s="1655"/>
      <c r="M12" s="1655"/>
      <c r="N12" s="1655"/>
      <c r="O12" s="1655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5:O5"/>
    <mergeCell ref="A6:O6"/>
    <mergeCell ref="A7:O7"/>
    <mergeCell ref="A8:O8"/>
    <mergeCell ref="A9:O9"/>
    <mergeCell ref="O11:O12"/>
    <mergeCell ref="I11:I12"/>
    <mergeCell ref="J11:J12"/>
    <mergeCell ref="K11:K12"/>
    <mergeCell ref="L11:L12"/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1061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11" t="s">
        <v>7</v>
      </c>
      <c r="B13" s="1635" t="s">
        <v>937</v>
      </c>
      <c r="C13" s="1620" t="s">
        <v>8</v>
      </c>
      <c r="D13" s="1620" t="s">
        <v>10</v>
      </c>
      <c r="E13" s="1620" t="s">
        <v>11</v>
      </c>
      <c r="F13" s="476" t="s">
        <v>12</v>
      </c>
      <c r="G13" s="1622" t="s">
        <v>13</v>
      </c>
      <c r="H13" s="1620" t="s">
        <v>14</v>
      </c>
      <c r="I13" s="1620" t="s">
        <v>15</v>
      </c>
      <c r="J13" s="1620" t="s">
        <v>16</v>
      </c>
      <c r="K13" s="1620" t="s">
        <v>17</v>
      </c>
      <c r="L13" s="1620" t="s">
        <v>18</v>
      </c>
      <c r="M13" s="1620" t="s">
        <v>19</v>
      </c>
      <c r="N13" s="1611" t="s">
        <v>20</v>
      </c>
    </row>
    <row r="14" spans="1:14" x14ac:dyDescent="0.25">
      <c r="A14" s="1611"/>
      <c r="B14" s="1636"/>
      <c r="C14" s="1621"/>
      <c r="D14" s="1621"/>
      <c r="E14" s="1621"/>
      <c r="F14" s="476" t="s">
        <v>21</v>
      </c>
      <c r="G14" s="1623"/>
      <c r="H14" s="1621"/>
      <c r="I14" s="1621"/>
      <c r="J14" s="1621"/>
      <c r="K14" s="1621"/>
      <c r="L14" s="1621"/>
      <c r="M14" s="1621"/>
      <c r="N14" s="161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626" t="s">
        <v>854</v>
      </c>
      <c r="I44" s="1626"/>
      <c r="J44" s="1626"/>
      <c r="K44" s="1626"/>
      <c r="L44" s="1626"/>
      <c r="M44" s="1626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627" t="s">
        <v>852</v>
      </c>
      <c r="I45" s="1627"/>
      <c r="J45" s="1627"/>
      <c r="K45" s="1627"/>
      <c r="L45" s="1627"/>
      <c r="M45" s="1627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628" t="s">
        <v>853</v>
      </c>
      <c r="I46" s="1628"/>
      <c r="J46" s="1628"/>
      <c r="K46" s="1628"/>
      <c r="L46" s="1628"/>
      <c r="M46" s="1628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629"/>
      <c r="J47" s="1629"/>
      <c r="K47" s="1629"/>
      <c r="L47" s="1629"/>
      <c r="M47" s="1629"/>
      <c r="N47" s="1629"/>
    </row>
    <row r="48" spans="1:14" ht="15.75" x14ac:dyDescent="0.25">
      <c r="A48" s="267"/>
      <c r="B48" s="267"/>
      <c r="C48" s="267"/>
      <c r="D48" s="268"/>
      <c r="E48" s="268"/>
      <c r="F48" s="269"/>
      <c r="G48" s="1549"/>
      <c r="H48" s="1549"/>
      <c r="I48" s="1549"/>
      <c r="J48" s="1549"/>
      <c r="K48" s="1549"/>
      <c r="L48" s="271"/>
      <c r="M48" s="271"/>
      <c r="N48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1:13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1070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7" t="s">
        <v>404</v>
      </c>
      <c r="B9" s="1557"/>
      <c r="C9" s="1557"/>
      <c r="D9" s="1557"/>
      <c r="E9" s="1557"/>
      <c r="F9" s="1557"/>
      <c r="G9" s="1557"/>
      <c r="H9" s="1557"/>
      <c r="I9" s="1557"/>
      <c r="J9" s="1557"/>
      <c r="K9" s="1557"/>
      <c r="L9" s="1557"/>
      <c r="M9" s="1557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611" t="s">
        <v>7</v>
      </c>
      <c r="B11" s="1611" t="s">
        <v>802</v>
      </c>
      <c r="C11" s="1611" t="s">
        <v>9</v>
      </c>
      <c r="D11" s="1635" t="s">
        <v>11</v>
      </c>
      <c r="E11" s="476" t="s">
        <v>12</v>
      </c>
      <c r="F11" s="1653" t="s">
        <v>13</v>
      </c>
      <c r="G11" s="1609" t="s">
        <v>14</v>
      </c>
      <c r="H11" s="1609" t="s">
        <v>15</v>
      </c>
      <c r="I11" s="1609" t="s">
        <v>16</v>
      </c>
      <c r="J11" s="1609" t="s">
        <v>17</v>
      </c>
      <c r="K11" s="1609" t="s">
        <v>18</v>
      </c>
      <c r="L11" s="1609" t="s">
        <v>19</v>
      </c>
      <c r="M11" s="1609" t="s">
        <v>20</v>
      </c>
    </row>
    <row r="12" spans="1:13" x14ac:dyDescent="0.25">
      <c r="A12" s="1611"/>
      <c r="B12" s="1611"/>
      <c r="C12" s="1611"/>
      <c r="D12" s="1636"/>
      <c r="E12" s="476" t="s">
        <v>21</v>
      </c>
      <c r="F12" s="1653"/>
      <c r="G12" s="1609"/>
      <c r="H12" s="1609"/>
      <c r="I12" s="1609"/>
      <c r="J12" s="1609"/>
      <c r="K12" s="1609"/>
      <c r="L12" s="1609"/>
      <c r="M12" s="1609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1071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35" t="s">
        <v>7</v>
      </c>
      <c r="B11" s="1635" t="s">
        <v>937</v>
      </c>
      <c r="C11" s="1658" t="s">
        <v>9</v>
      </c>
      <c r="D11" s="1635" t="s">
        <v>832</v>
      </c>
      <c r="E11" s="1635" t="s">
        <v>834</v>
      </c>
      <c r="F11" s="1635" t="s">
        <v>209</v>
      </c>
      <c r="G11" s="476" t="s">
        <v>12</v>
      </c>
      <c r="H11" s="1656" t="s">
        <v>13</v>
      </c>
      <c r="I11" s="1654" t="s">
        <v>14</v>
      </c>
      <c r="J11" s="1654" t="s">
        <v>15</v>
      </c>
      <c r="K11" s="1654" t="s">
        <v>16</v>
      </c>
      <c r="L11" s="1654" t="s">
        <v>17</v>
      </c>
      <c r="M11" s="1654" t="s">
        <v>18</v>
      </c>
      <c r="N11" s="1654" t="s">
        <v>19</v>
      </c>
      <c r="O11" s="1654" t="s">
        <v>20</v>
      </c>
    </row>
    <row r="12" spans="1:15" x14ac:dyDescent="0.25">
      <c r="A12" s="1636"/>
      <c r="B12" s="1636"/>
      <c r="C12" s="1659"/>
      <c r="D12" s="1636"/>
      <c r="E12" s="1636"/>
      <c r="F12" s="1636"/>
      <c r="G12" s="476" t="s">
        <v>21</v>
      </c>
      <c r="H12" s="1657"/>
      <c r="I12" s="1655"/>
      <c r="J12" s="1655"/>
      <c r="K12" s="1655"/>
      <c r="L12" s="1655"/>
      <c r="M12" s="1655"/>
      <c r="N12" s="1655"/>
      <c r="O12" s="1655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1072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11" t="s">
        <v>7</v>
      </c>
      <c r="B13" s="1635" t="s">
        <v>937</v>
      </c>
      <c r="C13" s="1620" t="s">
        <v>8</v>
      </c>
      <c r="D13" s="1620" t="s">
        <v>10</v>
      </c>
      <c r="E13" s="1620" t="s">
        <v>11</v>
      </c>
      <c r="F13" s="476" t="s">
        <v>12</v>
      </c>
      <c r="G13" s="1622" t="s">
        <v>13</v>
      </c>
      <c r="H13" s="1620" t="s">
        <v>14</v>
      </c>
      <c r="I13" s="1620" t="s">
        <v>15</v>
      </c>
      <c r="J13" s="1620" t="s">
        <v>16</v>
      </c>
      <c r="K13" s="1620" t="s">
        <v>17</v>
      </c>
      <c r="L13" s="1620" t="s">
        <v>18</v>
      </c>
      <c r="M13" s="1620" t="s">
        <v>19</v>
      </c>
      <c r="N13" s="1611" t="s">
        <v>20</v>
      </c>
    </row>
    <row r="14" spans="1:14" x14ac:dyDescent="0.25">
      <c r="A14" s="1611"/>
      <c r="B14" s="1636"/>
      <c r="C14" s="1621"/>
      <c r="D14" s="1621"/>
      <c r="E14" s="1621"/>
      <c r="F14" s="476" t="s">
        <v>21</v>
      </c>
      <c r="G14" s="1623"/>
      <c r="H14" s="1621"/>
      <c r="I14" s="1621"/>
      <c r="J14" s="1621"/>
      <c r="K14" s="1621"/>
      <c r="L14" s="1621"/>
      <c r="M14" s="1621"/>
      <c r="N14" s="161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626" t="s">
        <v>854</v>
      </c>
      <c r="I38" s="1626"/>
      <c r="J38" s="1626"/>
      <c r="K38" s="1626"/>
      <c r="L38" s="1626"/>
      <c r="M38" s="1626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627" t="s">
        <v>852</v>
      </c>
      <c r="I39" s="1627"/>
      <c r="J39" s="1627"/>
      <c r="K39" s="1627"/>
      <c r="L39" s="1627"/>
      <c r="M39" s="1627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628" t="s">
        <v>853</v>
      </c>
      <c r="I40" s="1628"/>
      <c r="J40" s="1628"/>
      <c r="K40" s="1628"/>
      <c r="L40" s="1628"/>
      <c r="M40" s="1628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629"/>
      <c r="J41" s="1629"/>
      <c r="K41" s="1629"/>
      <c r="L41" s="1629"/>
      <c r="M41" s="1629"/>
      <c r="N41" s="1629"/>
    </row>
    <row r="42" spans="1:14" ht="15.75" x14ac:dyDescent="0.25">
      <c r="A42" s="267"/>
      <c r="B42" s="267"/>
      <c r="C42" s="267"/>
      <c r="D42" s="268"/>
      <c r="E42" s="268"/>
      <c r="F42" s="269"/>
      <c r="G42" s="1549"/>
      <c r="H42" s="1549"/>
      <c r="I42" s="1549"/>
      <c r="J42" s="1549"/>
      <c r="K42" s="1549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1:13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1084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7" t="s">
        <v>404</v>
      </c>
      <c r="B9" s="1557"/>
      <c r="C9" s="1557"/>
      <c r="D9" s="1557"/>
      <c r="E9" s="1557"/>
      <c r="F9" s="1557"/>
      <c r="G9" s="1557"/>
      <c r="H9" s="1557"/>
      <c r="I9" s="1557"/>
      <c r="J9" s="1557"/>
      <c r="K9" s="1557"/>
      <c r="L9" s="1557"/>
      <c r="M9" s="1557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611" t="s">
        <v>7</v>
      </c>
      <c r="B11" s="1611" t="s">
        <v>802</v>
      </c>
      <c r="C11" s="1611" t="s">
        <v>9</v>
      </c>
      <c r="D11" s="1635" t="s">
        <v>11</v>
      </c>
      <c r="E11" s="476" t="s">
        <v>12</v>
      </c>
      <c r="F11" s="1653" t="s">
        <v>13</v>
      </c>
      <c r="G11" s="1609" t="s">
        <v>14</v>
      </c>
      <c r="H11" s="1609" t="s">
        <v>15</v>
      </c>
      <c r="I11" s="1609" t="s">
        <v>16</v>
      </c>
      <c r="J11" s="1609" t="s">
        <v>17</v>
      </c>
      <c r="K11" s="1609" t="s">
        <v>18</v>
      </c>
      <c r="L11" s="1609" t="s">
        <v>19</v>
      </c>
      <c r="M11" s="1609" t="s">
        <v>20</v>
      </c>
    </row>
    <row r="12" spans="1:13" x14ac:dyDescent="0.25">
      <c r="A12" s="1611"/>
      <c r="B12" s="1611"/>
      <c r="C12" s="1611"/>
      <c r="D12" s="1636"/>
      <c r="E12" s="476" t="s">
        <v>21</v>
      </c>
      <c r="F12" s="1653"/>
      <c r="G12" s="1609"/>
      <c r="H12" s="1609"/>
      <c r="I12" s="1609"/>
      <c r="J12" s="1609"/>
      <c r="K12" s="1609"/>
      <c r="L12" s="1609"/>
      <c r="M12" s="1609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1085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35" t="s">
        <v>7</v>
      </c>
      <c r="B11" s="1635" t="s">
        <v>937</v>
      </c>
      <c r="C11" s="1658" t="s">
        <v>9</v>
      </c>
      <c r="D11" s="1635" t="s">
        <v>832</v>
      </c>
      <c r="E11" s="1635" t="s">
        <v>834</v>
      </c>
      <c r="F11" s="1635" t="s">
        <v>209</v>
      </c>
      <c r="G11" s="476" t="s">
        <v>12</v>
      </c>
      <c r="H11" s="1656" t="s">
        <v>13</v>
      </c>
      <c r="I11" s="1654" t="s">
        <v>14</v>
      </c>
      <c r="J11" s="1654" t="s">
        <v>15</v>
      </c>
      <c r="K11" s="1654" t="s">
        <v>16</v>
      </c>
      <c r="L11" s="1654" t="s">
        <v>17</v>
      </c>
      <c r="M11" s="1654" t="s">
        <v>18</v>
      </c>
      <c r="N11" s="1654" t="s">
        <v>19</v>
      </c>
      <c r="O11" s="1654" t="s">
        <v>20</v>
      </c>
    </row>
    <row r="12" spans="1:15" x14ac:dyDescent="0.25">
      <c r="A12" s="1636"/>
      <c r="B12" s="1636"/>
      <c r="C12" s="1659"/>
      <c r="D12" s="1636"/>
      <c r="E12" s="1636"/>
      <c r="F12" s="1636"/>
      <c r="G12" s="476" t="s">
        <v>21</v>
      </c>
      <c r="H12" s="1657"/>
      <c r="I12" s="1655"/>
      <c r="J12" s="1655"/>
      <c r="K12" s="1655"/>
      <c r="L12" s="1655"/>
      <c r="M12" s="1655"/>
      <c r="N12" s="1655"/>
      <c r="O12" s="1655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1086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11" t="s">
        <v>7</v>
      </c>
      <c r="B13" s="1635" t="s">
        <v>937</v>
      </c>
      <c r="C13" s="1620" t="s">
        <v>8</v>
      </c>
      <c r="D13" s="1620" t="s">
        <v>10</v>
      </c>
      <c r="E13" s="1620" t="s">
        <v>11</v>
      </c>
      <c r="F13" s="476" t="s">
        <v>12</v>
      </c>
      <c r="G13" s="1622" t="s">
        <v>13</v>
      </c>
      <c r="H13" s="1620" t="s">
        <v>14</v>
      </c>
      <c r="I13" s="1620" t="s">
        <v>15</v>
      </c>
      <c r="J13" s="1620" t="s">
        <v>16</v>
      </c>
      <c r="K13" s="1620" t="s">
        <v>17</v>
      </c>
      <c r="L13" s="1620" t="s">
        <v>18</v>
      </c>
      <c r="M13" s="1620" t="s">
        <v>19</v>
      </c>
      <c r="N13" s="1611" t="s">
        <v>20</v>
      </c>
    </row>
    <row r="14" spans="1:14" x14ac:dyDescent="0.25">
      <c r="A14" s="1611"/>
      <c r="B14" s="1636"/>
      <c r="C14" s="1621"/>
      <c r="D14" s="1621"/>
      <c r="E14" s="1621"/>
      <c r="F14" s="476" t="s">
        <v>21</v>
      </c>
      <c r="G14" s="1623"/>
      <c r="H14" s="1621"/>
      <c r="I14" s="1621"/>
      <c r="J14" s="1621"/>
      <c r="K14" s="1621"/>
      <c r="L14" s="1621"/>
      <c r="M14" s="1621"/>
      <c r="N14" s="161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626" t="s">
        <v>854</v>
      </c>
      <c r="I38" s="1626"/>
      <c r="J38" s="1626"/>
      <c r="K38" s="1626"/>
      <c r="L38" s="1626"/>
      <c r="M38" s="1626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627" t="s">
        <v>852</v>
      </c>
      <c r="I39" s="1627"/>
      <c r="J39" s="1627"/>
      <c r="K39" s="1627"/>
      <c r="L39" s="1627"/>
      <c r="M39" s="1627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628" t="s">
        <v>853</v>
      </c>
      <c r="I40" s="1628"/>
      <c r="J40" s="1628"/>
      <c r="K40" s="1628"/>
      <c r="L40" s="1628"/>
      <c r="M40" s="1628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629"/>
      <c r="J41" s="1629"/>
      <c r="K41" s="1629"/>
      <c r="L41" s="1629"/>
      <c r="M41" s="1629"/>
      <c r="N41" s="1629"/>
    </row>
    <row r="42" spans="1:14" ht="15.75" x14ac:dyDescent="0.25">
      <c r="A42" s="267"/>
      <c r="B42" s="267"/>
      <c r="C42" s="267"/>
      <c r="D42" s="268"/>
      <c r="E42" s="268"/>
      <c r="F42" s="269"/>
      <c r="G42" s="1549"/>
      <c r="H42" s="1549"/>
      <c r="I42" s="1549"/>
      <c r="J42" s="1549"/>
      <c r="K42" s="1549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1:13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1088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7" t="s">
        <v>404</v>
      </c>
      <c r="B9" s="1557"/>
      <c r="C9" s="1557"/>
      <c r="D9" s="1557"/>
      <c r="E9" s="1557"/>
      <c r="F9" s="1557"/>
      <c r="G9" s="1557"/>
      <c r="H9" s="1557"/>
      <c r="I9" s="1557"/>
      <c r="J9" s="1557"/>
      <c r="K9" s="1557"/>
      <c r="L9" s="1557"/>
      <c r="M9" s="1557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611" t="s">
        <v>7</v>
      </c>
      <c r="B11" s="1611" t="s">
        <v>802</v>
      </c>
      <c r="C11" s="1611" t="s">
        <v>9</v>
      </c>
      <c r="D11" s="1635" t="s">
        <v>11</v>
      </c>
      <c r="E11" s="476" t="s">
        <v>12</v>
      </c>
      <c r="F11" s="1653" t="s">
        <v>13</v>
      </c>
      <c r="G11" s="1609" t="s">
        <v>14</v>
      </c>
      <c r="H11" s="1609" t="s">
        <v>15</v>
      </c>
      <c r="I11" s="1609" t="s">
        <v>16</v>
      </c>
      <c r="J11" s="1609" t="s">
        <v>17</v>
      </c>
      <c r="K11" s="1609" t="s">
        <v>18</v>
      </c>
      <c r="L11" s="1609" t="s">
        <v>19</v>
      </c>
      <c r="M11" s="1609" t="s">
        <v>20</v>
      </c>
    </row>
    <row r="12" spans="1:13" x14ac:dyDescent="0.25">
      <c r="A12" s="1611"/>
      <c r="B12" s="1611"/>
      <c r="C12" s="1611"/>
      <c r="D12" s="1636"/>
      <c r="E12" s="476" t="s">
        <v>21</v>
      </c>
      <c r="F12" s="1653"/>
      <c r="G12" s="1609"/>
      <c r="H12" s="1609"/>
      <c r="I12" s="1609"/>
      <c r="J12" s="1609"/>
      <c r="K12" s="1609"/>
      <c r="L12" s="1609"/>
      <c r="M12" s="1609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1089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35" t="s">
        <v>7</v>
      </c>
      <c r="B11" s="1635" t="s">
        <v>937</v>
      </c>
      <c r="C11" s="1658" t="s">
        <v>9</v>
      </c>
      <c r="D11" s="1635" t="s">
        <v>832</v>
      </c>
      <c r="E11" s="1635" t="s">
        <v>834</v>
      </c>
      <c r="F11" s="1635" t="s">
        <v>209</v>
      </c>
      <c r="G11" s="476" t="s">
        <v>12</v>
      </c>
      <c r="H11" s="1656" t="s">
        <v>13</v>
      </c>
      <c r="I11" s="1654" t="s">
        <v>14</v>
      </c>
      <c r="J11" s="1654" t="s">
        <v>15</v>
      </c>
      <c r="K11" s="1654" t="s">
        <v>16</v>
      </c>
      <c r="L11" s="1654" t="s">
        <v>17</v>
      </c>
      <c r="M11" s="1654" t="s">
        <v>18</v>
      </c>
      <c r="N11" s="1654" t="s">
        <v>19</v>
      </c>
      <c r="O11" s="1654" t="s">
        <v>20</v>
      </c>
    </row>
    <row r="12" spans="1:15" x14ac:dyDescent="0.25">
      <c r="A12" s="1636"/>
      <c r="B12" s="1636"/>
      <c r="C12" s="1659"/>
      <c r="D12" s="1636"/>
      <c r="E12" s="1636"/>
      <c r="F12" s="1636"/>
      <c r="G12" s="476" t="s">
        <v>21</v>
      </c>
      <c r="H12" s="1657"/>
      <c r="I12" s="1655"/>
      <c r="J12" s="1655"/>
      <c r="K12" s="1655"/>
      <c r="L12" s="1655"/>
      <c r="M12" s="1655"/>
      <c r="N12" s="1655"/>
      <c r="O12" s="1655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1090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11" t="s">
        <v>7</v>
      </c>
      <c r="B13" s="1635" t="s">
        <v>937</v>
      </c>
      <c r="C13" s="1620" t="s">
        <v>8</v>
      </c>
      <c r="D13" s="1620" t="s">
        <v>10</v>
      </c>
      <c r="E13" s="1620" t="s">
        <v>11</v>
      </c>
      <c r="F13" s="476" t="s">
        <v>12</v>
      </c>
      <c r="G13" s="1622" t="s">
        <v>13</v>
      </c>
      <c r="H13" s="1620" t="s">
        <v>14</v>
      </c>
      <c r="I13" s="1620" t="s">
        <v>15</v>
      </c>
      <c r="J13" s="1620" t="s">
        <v>16</v>
      </c>
      <c r="K13" s="1620" t="s">
        <v>17</v>
      </c>
      <c r="L13" s="1620" t="s">
        <v>18</v>
      </c>
      <c r="M13" s="1620" t="s">
        <v>19</v>
      </c>
      <c r="N13" s="1611" t="s">
        <v>20</v>
      </c>
    </row>
    <row r="14" spans="1:14" x14ac:dyDescent="0.25">
      <c r="A14" s="1611"/>
      <c r="B14" s="1636"/>
      <c r="C14" s="1621"/>
      <c r="D14" s="1621"/>
      <c r="E14" s="1621"/>
      <c r="F14" s="476" t="s">
        <v>21</v>
      </c>
      <c r="G14" s="1623"/>
      <c r="H14" s="1621"/>
      <c r="I14" s="1621"/>
      <c r="J14" s="1621"/>
      <c r="K14" s="1621"/>
      <c r="L14" s="1621"/>
      <c r="M14" s="1621"/>
      <c r="N14" s="161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626" t="s">
        <v>854</v>
      </c>
      <c r="I38" s="1626"/>
      <c r="J38" s="1626"/>
      <c r="K38" s="1626"/>
      <c r="L38" s="1626"/>
      <c r="M38" s="1626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627" t="s">
        <v>852</v>
      </c>
      <c r="I39" s="1627"/>
      <c r="J39" s="1627"/>
      <c r="K39" s="1627"/>
      <c r="L39" s="1627"/>
      <c r="M39" s="1627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628" t="s">
        <v>853</v>
      </c>
      <c r="I40" s="1628"/>
      <c r="J40" s="1628"/>
      <c r="K40" s="1628"/>
      <c r="L40" s="1628"/>
      <c r="M40" s="1628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629"/>
      <c r="J41" s="1629"/>
      <c r="K41" s="1629"/>
      <c r="L41" s="1629"/>
      <c r="M41" s="1629"/>
      <c r="N41" s="1629"/>
    </row>
    <row r="42" spans="1:14" ht="15.75" x14ac:dyDescent="0.25">
      <c r="A42" s="267"/>
      <c r="B42" s="267"/>
      <c r="C42" s="267"/>
      <c r="D42" s="268"/>
      <c r="E42" s="268"/>
      <c r="F42" s="269"/>
      <c r="G42" s="1549"/>
      <c r="H42" s="1549"/>
      <c r="I42" s="1549"/>
      <c r="J42" s="1549"/>
      <c r="K42" s="1549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1:13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1091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7" t="s">
        <v>404</v>
      </c>
      <c r="B9" s="1557"/>
      <c r="C9" s="1557"/>
      <c r="D9" s="1557"/>
      <c r="E9" s="1557"/>
      <c r="F9" s="1557"/>
      <c r="G9" s="1557"/>
      <c r="H9" s="1557"/>
      <c r="I9" s="1557"/>
      <c r="J9" s="1557"/>
      <c r="K9" s="1557"/>
      <c r="L9" s="1557"/>
      <c r="M9" s="1557"/>
    </row>
    <row r="10" spans="1:13" x14ac:dyDescent="0.25">
      <c r="A10" s="1611" t="s">
        <v>7</v>
      </c>
      <c r="B10" s="1611" t="s">
        <v>802</v>
      </c>
      <c r="C10" s="1611" t="s">
        <v>9</v>
      </c>
      <c r="D10" s="1635" t="s">
        <v>11</v>
      </c>
      <c r="E10" s="476" t="s">
        <v>12</v>
      </c>
      <c r="F10" s="1653" t="s">
        <v>13</v>
      </c>
      <c r="G10" s="1609" t="s">
        <v>14</v>
      </c>
      <c r="H10" s="1609" t="s">
        <v>15</v>
      </c>
      <c r="I10" s="1609" t="s">
        <v>16</v>
      </c>
      <c r="J10" s="1609" t="s">
        <v>17</v>
      </c>
      <c r="K10" s="1609" t="s">
        <v>18</v>
      </c>
      <c r="L10" s="1609" t="s">
        <v>19</v>
      </c>
      <c r="M10" s="1609" t="s">
        <v>20</v>
      </c>
    </row>
    <row r="11" spans="1:13" x14ac:dyDescent="0.25">
      <c r="A11" s="1611"/>
      <c r="B11" s="1611"/>
      <c r="C11" s="1611"/>
      <c r="D11" s="1636"/>
      <c r="E11" s="476" t="s">
        <v>21</v>
      </c>
      <c r="F11" s="1653"/>
      <c r="G11" s="1609"/>
      <c r="H11" s="1609"/>
      <c r="I11" s="1609"/>
      <c r="J11" s="1609"/>
      <c r="K11" s="1609"/>
      <c r="L11" s="1609"/>
      <c r="M11" s="1609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1092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35" t="s">
        <v>7</v>
      </c>
      <c r="B11" s="1635" t="s">
        <v>937</v>
      </c>
      <c r="C11" s="1658" t="s">
        <v>9</v>
      </c>
      <c r="D11" s="1635" t="s">
        <v>832</v>
      </c>
      <c r="E11" s="1635" t="s">
        <v>834</v>
      </c>
      <c r="F11" s="1635" t="s">
        <v>209</v>
      </c>
      <c r="G11" s="476" t="s">
        <v>12</v>
      </c>
      <c r="H11" s="1656" t="s">
        <v>13</v>
      </c>
      <c r="I11" s="1654" t="s">
        <v>14</v>
      </c>
      <c r="J11" s="1654" t="s">
        <v>15</v>
      </c>
      <c r="K11" s="1654" t="s">
        <v>16</v>
      </c>
      <c r="L11" s="1654" t="s">
        <v>17</v>
      </c>
      <c r="M11" s="1654" t="s">
        <v>18</v>
      </c>
      <c r="N11" s="1654" t="s">
        <v>19</v>
      </c>
      <c r="O11" s="1654" t="s">
        <v>20</v>
      </c>
    </row>
    <row r="12" spans="1:15" x14ac:dyDescent="0.25">
      <c r="A12" s="1636"/>
      <c r="B12" s="1636"/>
      <c r="C12" s="1659"/>
      <c r="D12" s="1636"/>
      <c r="E12" s="1636"/>
      <c r="F12" s="1636"/>
      <c r="G12" s="476" t="s">
        <v>21</v>
      </c>
      <c r="H12" s="1657"/>
      <c r="I12" s="1655"/>
      <c r="J12" s="1655"/>
      <c r="K12" s="1655"/>
      <c r="L12" s="1655"/>
      <c r="M12" s="1655"/>
      <c r="N12" s="1655"/>
      <c r="O12" s="1655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1095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11" t="s">
        <v>7</v>
      </c>
      <c r="B13" s="1635" t="s">
        <v>937</v>
      </c>
      <c r="C13" s="1620" t="s">
        <v>8</v>
      </c>
      <c r="D13" s="1620" t="s">
        <v>10</v>
      </c>
      <c r="E13" s="1620" t="s">
        <v>11</v>
      </c>
      <c r="F13" s="476" t="s">
        <v>12</v>
      </c>
      <c r="G13" s="1622" t="s">
        <v>13</v>
      </c>
      <c r="H13" s="1620" t="s">
        <v>14</v>
      </c>
      <c r="I13" s="1620" t="s">
        <v>15</v>
      </c>
      <c r="J13" s="1620" t="s">
        <v>16</v>
      </c>
      <c r="K13" s="1620" t="s">
        <v>17</v>
      </c>
      <c r="L13" s="1620" t="s">
        <v>18</v>
      </c>
      <c r="M13" s="1620" t="s">
        <v>19</v>
      </c>
      <c r="N13" s="1611" t="s">
        <v>20</v>
      </c>
    </row>
    <row r="14" spans="1:14" x14ac:dyDescent="0.25">
      <c r="A14" s="1611"/>
      <c r="B14" s="1636"/>
      <c r="C14" s="1621"/>
      <c r="D14" s="1621"/>
      <c r="E14" s="1621"/>
      <c r="F14" s="476" t="s">
        <v>21</v>
      </c>
      <c r="G14" s="1623"/>
      <c r="H14" s="1621"/>
      <c r="I14" s="1621"/>
      <c r="J14" s="1621"/>
      <c r="K14" s="1621"/>
      <c r="L14" s="1621"/>
      <c r="M14" s="1621"/>
      <c r="N14" s="161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626" t="s">
        <v>854</v>
      </c>
      <c r="I38" s="1626"/>
      <c r="J38" s="1626"/>
      <c r="K38" s="1626"/>
      <c r="L38" s="1626"/>
      <c r="M38" s="1626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627" t="s">
        <v>852</v>
      </c>
      <c r="I39" s="1627"/>
      <c r="J39" s="1627"/>
      <c r="K39" s="1627"/>
      <c r="L39" s="1627"/>
      <c r="M39" s="1627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628" t="s">
        <v>853</v>
      </c>
      <c r="I40" s="1628"/>
      <c r="J40" s="1628"/>
      <c r="K40" s="1628"/>
      <c r="L40" s="1628"/>
      <c r="M40" s="1628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629"/>
      <c r="J41" s="1629"/>
      <c r="K41" s="1629"/>
      <c r="L41" s="1629"/>
      <c r="M41" s="1629"/>
      <c r="N41" s="1629"/>
    </row>
    <row r="42" spans="1:14" ht="15.75" x14ac:dyDescent="0.25">
      <c r="A42" s="267"/>
      <c r="B42" s="267"/>
      <c r="C42" s="267"/>
      <c r="D42" s="268"/>
      <c r="E42" s="268"/>
      <c r="F42" s="269"/>
      <c r="G42" s="1549"/>
      <c r="H42" s="1549"/>
      <c r="I42" s="1549"/>
      <c r="J42" s="1549"/>
      <c r="K42" s="1549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1:13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1098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7" t="s">
        <v>404</v>
      </c>
      <c r="B9" s="1557"/>
      <c r="C9" s="1557"/>
      <c r="D9" s="1557"/>
      <c r="E9" s="1557"/>
      <c r="F9" s="1557"/>
      <c r="G9" s="1557"/>
      <c r="H9" s="1557"/>
      <c r="I9" s="1557"/>
      <c r="J9" s="1557"/>
      <c r="K9" s="1557"/>
      <c r="L9" s="1557"/>
      <c r="M9" s="1557"/>
    </row>
    <row r="10" spans="1:13" x14ac:dyDescent="0.25">
      <c r="A10" s="1611" t="s">
        <v>7</v>
      </c>
      <c r="B10" s="1611" t="s">
        <v>802</v>
      </c>
      <c r="C10" s="1611" t="s">
        <v>9</v>
      </c>
      <c r="D10" s="1635" t="s">
        <v>11</v>
      </c>
      <c r="E10" s="476" t="s">
        <v>12</v>
      </c>
      <c r="F10" s="1653" t="s">
        <v>13</v>
      </c>
      <c r="G10" s="1609" t="s">
        <v>14</v>
      </c>
      <c r="H10" s="1609" t="s">
        <v>15</v>
      </c>
      <c r="I10" s="1609" t="s">
        <v>16</v>
      </c>
      <c r="J10" s="1609" t="s">
        <v>17</v>
      </c>
      <c r="K10" s="1609" t="s">
        <v>18</v>
      </c>
      <c r="L10" s="1609" t="s">
        <v>19</v>
      </c>
      <c r="M10" s="1609" t="s">
        <v>20</v>
      </c>
    </row>
    <row r="11" spans="1:13" x14ac:dyDescent="0.25">
      <c r="A11" s="1611"/>
      <c r="B11" s="1611"/>
      <c r="C11" s="1611"/>
      <c r="D11" s="1636"/>
      <c r="E11" s="476" t="s">
        <v>21</v>
      </c>
      <c r="F11" s="1653"/>
      <c r="G11" s="1609"/>
      <c r="H11" s="1609"/>
      <c r="I11" s="1609"/>
      <c r="J11" s="1609"/>
      <c r="K11" s="1609"/>
      <c r="L11" s="1609"/>
      <c r="M11" s="1609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1099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35" t="s">
        <v>7</v>
      </c>
      <c r="B11" s="1635" t="s">
        <v>937</v>
      </c>
      <c r="C11" s="1658" t="s">
        <v>9</v>
      </c>
      <c r="D11" s="1635" t="s">
        <v>832</v>
      </c>
      <c r="E11" s="1635" t="s">
        <v>834</v>
      </c>
      <c r="F11" s="1635" t="s">
        <v>209</v>
      </c>
      <c r="G11" s="476" t="s">
        <v>12</v>
      </c>
      <c r="H11" s="1656" t="s">
        <v>13</v>
      </c>
      <c r="I11" s="1654" t="s">
        <v>14</v>
      </c>
      <c r="J11" s="1654" t="s">
        <v>15</v>
      </c>
      <c r="K11" s="1654" t="s">
        <v>16</v>
      </c>
      <c r="L11" s="1654" t="s">
        <v>17</v>
      </c>
      <c r="M11" s="1654" t="s">
        <v>18</v>
      </c>
      <c r="N11" s="1654" t="s">
        <v>19</v>
      </c>
      <c r="O11" s="1654" t="s">
        <v>20</v>
      </c>
    </row>
    <row r="12" spans="1:15" x14ac:dyDescent="0.25">
      <c r="A12" s="1636"/>
      <c r="B12" s="1636"/>
      <c r="C12" s="1659"/>
      <c r="D12" s="1636"/>
      <c r="E12" s="1636"/>
      <c r="F12" s="1636"/>
      <c r="G12" s="476" t="s">
        <v>21</v>
      </c>
      <c r="H12" s="1657"/>
      <c r="I12" s="1655"/>
      <c r="J12" s="1655"/>
      <c r="K12" s="1655"/>
      <c r="L12" s="1655"/>
      <c r="M12" s="1655"/>
      <c r="N12" s="1655"/>
      <c r="O12" s="1655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1100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11" t="s">
        <v>7</v>
      </c>
      <c r="B13" s="1635" t="s">
        <v>937</v>
      </c>
      <c r="C13" s="1620" t="s">
        <v>8</v>
      </c>
      <c r="D13" s="1620" t="s">
        <v>10</v>
      </c>
      <c r="E13" s="1620" t="s">
        <v>11</v>
      </c>
      <c r="F13" s="476" t="s">
        <v>12</v>
      </c>
      <c r="G13" s="1622" t="s">
        <v>13</v>
      </c>
      <c r="H13" s="1620" t="s">
        <v>14</v>
      </c>
      <c r="I13" s="1620" t="s">
        <v>15</v>
      </c>
      <c r="J13" s="1620" t="s">
        <v>16</v>
      </c>
      <c r="K13" s="1620" t="s">
        <v>17</v>
      </c>
      <c r="L13" s="1620" t="s">
        <v>18</v>
      </c>
      <c r="M13" s="1620" t="s">
        <v>19</v>
      </c>
      <c r="N13" s="1611" t="s">
        <v>20</v>
      </c>
    </row>
    <row r="14" spans="1:14" x14ac:dyDescent="0.25">
      <c r="A14" s="1611"/>
      <c r="B14" s="1636"/>
      <c r="C14" s="1621"/>
      <c r="D14" s="1621"/>
      <c r="E14" s="1621"/>
      <c r="F14" s="476" t="s">
        <v>21</v>
      </c>
      <c r="G14" s="1623"/>
      <c r="H14" s="1621"/>
      <c r="I14" s="1621"/>
      <c r="J14" s="1621"/>
      <c r="K14" s="1621"/>
      <c r="L14" s="1621"/>
      <c r="M14" s="1621"/>
      <c r="N14" s="1611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626" t="s">
        <v>854</v>
      </c>
      <c r="I38" s="1626"/>
      <c r="J38" s="1626"/>
      <c r="K38" s="1626"/>
      <c r="L38" s="1626"/>
      <c r="M38" s="1626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627" t="s">
        <v>852</v>
      </c>
      <c r="I39" s="1627"/>
      <c r="J39" s="1627"/>
      <c r="K39" s="1627"/>
      <c r="L39" s="1627"/>
      <c r="M39" s="1627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628" t="s">
        <v>853</v>
      </c>
      <c r="I40" s="1628"/>
      <c r="J40" s="1628"/>
      <c r="K40" s="1628"/>
      <c r="L40" s="1628"/>
      <c r="M40" s="1628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629"/>
      <c r="J41" s="1629"/>
      <c r="K41" s="1629"/>
      <c r="L41" s="1629"/>
      <c r="M41" s="1629"/>
      <c r="N41" s="1629"/>
    </row>
    <row r="42" spans="1:14" ht="15.75" x14ac:dyDescent="0.25">
      <c r="A42" s="267"/>
      <c r="B42" s="267"/>
      <c r="C42" s="267"/>
      <c r="D42" s="268"/>
      <c r="E42" s="268"/>
      <c r="F42" s="269"/>
      <c r="G42" s="1549"/>
      <c r="H42" s="1549"/>
      <c r="I42" s="1549"/>
      <c r="J42" s="1549"/>
      <c r="K42" s="1549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1:13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1102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7" t="s">
        <v>404</v>
      </c>
      <c r="B9" s="1557"/>
      <c r="C9" s="1557"/>
      <c r="D9" s="1557"/>
      <c r="E9" s="1557"/>
      <c r="F9" s="1557"/>
      <c r="G9" s="1557"/>
      <c r="H9" s="1557"/>
      <c r="I9" s="1557"/>
      <c r="J9" s="1557"/>
      <c r="K9" s="1557"/>
      <c r="L9" s="1557"/>
      <c r="M9" s="1557"/>
    </row>
    <row r="10" spans="1:13" x14ac:dyDescent="0.25">
      <c r="A10" s="1611" t="s">
        <v>7</v>
      </c>
      <c r="B10" s="1611" t="s">
        <v>802</v>
      </c>
      <c r="C10" s="1611" t="s">
        <v>9</v>
      </c>
      <c r="D10" s="1635" t="s">
        <v>11</v>
      </c>
      <c r="E10" s="476" t="s">
        <v>12</v>
      </c>
      <c r="F10" s="1653" t="s">
        <v>13</v>
      </c>
      <c r="G10" s="1609" t="s">
        <v>14</v>
      </c>
      <c r="H10" s="1609" t="s">
        <v>15</v>
      </c>
      <c r="I10" s="1609" t="s">
        <v>16</v>
      </c>
      <c r="J10" s="1609" t="s">
        <v>17</v>
      </c>
      <c r="K10" s="1609" t="s">
        <v>18</v>
      </c>
      <c r="L10" s="1609" t="s">
        <v>19</v>
      </c>
      <c r="M10" s="1609" t="s">
        <v>20</v>
      </c>
    </row>
    <row r="11" spans="1:13" x14ac:dyDescent="0.25">
      <c r="A11" s="1611"/>
      <c r="B11" s="1611"/>
      <c r="C11" s="1611"/>
      <c r="D11" s="1636"/>
      <c r="E11" s="476" t="s">
        <v>21</v>
      </c>
      <c r="F11" s="1653"/>
      <c r="G11" s="1609"/>
      <c r="H11" s="1609"/>
      <c r="I11" s="1609"/>
      <c r="J11" s="1609"/>
      <c r="K11" s="1609"/>
      <c r="L11" s="1609"/>
      <c r="M11" s="1609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1105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35" t="s">
        <v>7</v>
      </c>
      <c r="B11" s="1635" t="s">
        <v>937</v>
      </c>
      <c r="C11" s="1658" t="s">
        <v>9</v>
      </c>
      <c r="D11" s="1635" t="s">
        <v>832</v>
      </c>
      <c r="E11" s="1635" t="s">
        <v>834</v>
      </c>
      <c r="F11" s="1635" t="s">
        <v>209</v>
      </c>
      <c r="G11" s="476" t="s">
        <v>12</v>
      </c>
      <c r="H11" s="1656" t="s">
        <v>13</v>
      </c>
      <c r="I11" s="1654" t="s">
        <v>14</v>
      </c>
      <c r="J11" s="1654" t="s">
        <v>15</v>
      </c>
      <c r="K11" s="1654" t="s">
        <v>16</v>
      </c>
      <c r="L11" s="1654" t="s">
        <v>17</v>
      </c>
      <c r="M11" s="1654" t="s">
        <v>18</v>
      </c>
      <c r="N11" s="1654" t="s">
        <v>19</v>
      </c>
      <c r="O11" s="1654" t="s">
        <v>20</v>
      </c>
    </row>
    <row r="12" spans="1:15" x14ac:dyDescent="0.25">
      <c r="A12" s="1636"/>
      <c r="B12" s="1636"/>
      <c r="C12" s="1659"/>
      <c r="D12" s="1636"/>
      <c r="E12" s="1636"/>
      <c r="F12" s="1636"/>
      <c r="G12" s="476" t="s">
        <v>21</v>
      </c>
      <c r="H12" s="1657"/>
      <c r="I12" s="1655"/>
      <c r="J12" s="1655"/>
      <c r="K12" s="1655"/>
      <c r="L12" s="1655"/>
      <c r="M12" s="1655"/>
      <c r="N12" s="1655"/>
      <c r="O12" s="1655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1106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60" t="s">
        <v>7</v>
      </c>
      <c r="B13" s="1661" t="s">
        <v>937</v>
      </c>
      <c r="C13" s="1665" t="s">
        <v>8</v>
      </c>
      <c r="D13" s="1665" t="s">
        <v>10</v>
      </c>
      <c r="E13" s="1665" t="s">
        <v>11</v>
      </c>
      <c r="F13" s="419" t="s">
        <v>12</v>
      </c>
      <c r="G13" s="1663" t="s">
        <v>13</v>
      </c>
      <c r="H13" s="1665" t="s">
        <v>14</v>
      </c>
      <c r="I13" s="1665" t="s">
        <v>15</v>
      </c>
      <c r="J13" s="1665" t="s">
        <v>16</v>
      </c>
      <c r="K13" s="1665" t="s">
        <v>17</v>
      </c>
      <c r="L13" s="1665" t="s">
        <v>18</v>
      </c>
      <c r="M13" s="1665" t="s">
        <v>19</v>
      </c>
      <c r="N13" s="1660" t="s">
        <v>20</v>
      </c>
    </row>
    <row r="14" spans="1:14" x14ac:dyDescent="0.25">
      <c r="A14" s="1660"/>
      <c r="B14" s="1662"/>
      <c r="C14" s="1666"/>
      <c r="D14" s="1666"/>
      <c r="E14" s="1666"/>
      <c r="F14" s="419" t="s">
        <v>21</v>
      </c>
      <c r="G14" s="1664"/>
      <c r="H14" s="1666"/>
      <c r="I14" s="1666"/>
      <c r="J14" s="1666"/>
      <c r="K14" s="1666"/>
      <c r="L14" s="1666"/>
      <c r="M14" s="1666"/>
      <c r="N14" s="1660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626" t="s">
        <v>854</v>
      </c>
      <c r="I37" s="1626"/>
      <c r="J37" s="1626"/>
      <c r="K37" s="1626"/>
      <c r="L37" s="1626"/>
      <c r="M37" s="162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627" t="s">
        <v>852</v>
      </c>
      <c r="I38" s="1627"/>
      <c r="J38" s="1627"/>
      <c r="K38" s="1627"/>
      <c r="L38" s="1627"/>
      <c r="M38" s="162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628" t="s">
        <v>853</v>
      </c>
      <c r="I39" s="1628"/>
      <c r="J39" s="1628"/>
      <c r="K39" s="1628"/>
      <c r="L39" s="1628"/>
      <c r="M39" s="162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9"/>
      <c r="J40" s="1629"/>
      <c r="K40" s="1629"/>
      <c r="L40" s="1629"/>
      <c r="M40" s="1629"/>
      <c r="N40" s="1629"/>
    </row>
    <row r="41" spans="1:14" ht="15.75" x14ac:dyDescent="0.25">
      <c r="A41" s="267"/>
      <c r="B41" s="267"/>
      <c r="C41" s="267"/>
      <c r="D41" s="268"/>
      <c r="E41" s="268"/>
      <c r="F41" s="269"/>
      <c r="G41" s="1549"/>
      <c r="H41" s="1549"/>
      <c r="I41" s="1549"/>
      <c r="J41" s="1549"/>
      <c r="K41" s="1549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1:13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1107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7" t="s">
        <v>404</v>
      </c>
      <c r="B9" s="1557"/>
      <c r="C9" s="1557"/>
      <c r="D9" s="1557"/>
      <c r="E9" s="1557"/>
      <c r="F9" s="1557"/>
      <c r="G9" s="1557"/>
      <c r="H9" s="1557"/>
      <c r="I9" s="1557"/>
      <c r="J9" s="1557"/>
      <c r="K9" s="1557"/>
      <c r="L9" s="1557"/>
      <c r="M9" s="1557"/>
    </row>
    <row r="10" spans="1:13" x14ac:dyDescent="0.25">
      <c r="A10" s="1611" t="s">
        <v>7</v>
      </c>
      <c r="B10" s="1611" t="s">
        <v>802</v>
      </c>
      <c r="C10" s="1611" t="s">
        <v>9</v>
      </c>
      <c r="D10" s="1635" t="s">
        <v>11</v>
      </c>
      <c r="E10" s="476" t="s">
        <v>12</v>
      </c>
      <c r="F10" s="1653" t="s">
        <v>13</v>
      </c>
      <c r="G10" s="1609" t="s">
        <v>14</v>
      </c>
      <c r="H10" s="1609" t="s">
        <v>15</v>
      </c>
      <c r="I10" s="1609" t="s">
        <v>16</v>
      </c>
      <c r="J10" s="1609" t="s">
        <v>17</v>
      </c>
      <c r="K10" s="1609" t="s">
        <v>18</v>
      </c>
      <c r="L10" s="1609" t="s">
        <v>19</v>
      </c>
      <c r="M10" s="1609" t="s">
        <v>20</v>
      </c>
    </row>
    <row r="11" spans="1:13" x14ac:dyDescent="0.25">
      <c r="A11" s="1611"/>
      <c r="B11" s="1611"/>
      <c r="C11" s="1611"/>
      <c r="D11" s="1636"/>
      <c r="E11" s="476" t="s">
        <v>21</v>
      </c>
      <c r="F11" s="1653"/>
      <c r="G11" s="1609"/>
      <c r="H11" s="1609"/>
      <c r="I11" s="1609"/>
      <c r="J11" s="1609"/>
      <c r="K11" s="1609"/>
      <c r="L11" s="1609"/>
      <c r="M11" s="1609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1108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11" t="s">
        <v>7</v>
      </c>
      <c r="B11" s="1611" t="s">
        <v>937</v>
      </c>
      <c r="C11" s="1613" t="s">
        <v>9</v>
      </c>
      <c r="D11" s="1611" t="s">
        <v>832</v>
      </c>
      <c r="E11" s="1611" t="s">
        <v>834</v>
      </c>
      <c r="F11" s="1611" t="s">
        <v>209</v>
      </c>
      <c r="G11" s="476" t="s">
        <v>12</v>
      </c>
      <c r="H11" s="1612" t="s">
        <v>13</v>
      </c>
      <c r="I11" s="1609" t="s">
        <v>14</v>
      </c>
      <c r="J11" s="1609" t="s">
        <v>15</v>
      </c>
      <c r="K11" s="1609" t="s">
        <v>16</v>
      </c>
      <c r="L11" s="1609" t="s">
        <v>17</v>
      </c>
      <c r="M11" s="1609" t="s">
        <v>18</v>
      </c>
      <c r="N11" s="1609" t="s">
        <v>19</v>
      </c>
      <c r="O11" s="1609" t="s">
        <v>20</v>
      </c>
    </row>
    <row r="12" spans="1:15" x14ac:dyDescent="0.25">
      <c r="A12" s="1611"/>
      <c r="B12" s="1611"/>
      <c r="C12" s="1613"/>
      <c r="D12" s="1611"/>
      <c r="E12" s="1611"/>
      <c r="F12" s="1611"/>
      <c r="G12" s="476" t="s">
        <v>21</v>
      </c>
      <c r="H12" s="1612"/>
      <c r="I12" s="1609"/>
      <c r="J12" s="1609"/>
      <c r="K12" s="1609"/>
      <c r="L12" s="1609"/>
      <c r="M12" s="1609"/>
      <c r="N12" s="1609"/>
      <c r="O12" s="160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1109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60" t="s">
        <v>7</v>
      </c>
      <c r="B13" s="1660" t="s">
        <v>937</v>
      </c>
      <c r="C13" s="1660" t="s">
        <v>8</v>
      </c>
      <c r="D13" s="1660" t="s">
        <v>10</v>
      </c>
      <c r="E13" s="1660" t="s">
        <v>11</v>
      </c>
      <c r="F13" s="419" t="s">
        <v>12</v>
      </c>
      <c r="G13" s="1660" t="s">
        <v>13</v>
      </c>
      <c r="H13" s="1660" t="s">
        <v>14</v>
      </c>
      <c r="I13" s="1660" t="s">
        <v>15</v>
      </c>
      <c r="J13" s="1660" t="s">
        <v>16</v>
      </c>
      <c r="K13" s="1660" t="s">
        <v>17</v>
      </c>
      <c r="L13" s="1660" t="s">
        <v>18</v>
      </c>
      <c r="M13" s="1660" t="s">
        <v>19</v>
      </c>
      <c r="N13" s="1660" t="s">
        <v>20</v>
      </c>
    </row>
    <row r="14" spans="1:14" x14ac:dyDescent="0.25">
      <c r="A14" s="1660"/>
      <c r="B14" s="1660"/>
      <c r="C14" s="1660"/>
      <c r="D14" s="1660"/>
      <c r="E14" s="1660"/>
      <c r="F14" s="419" t="s">
        <v>21</v>
      </c>
      <c r="G14" s="1660"/>
      <c r="H14" s="1660"/>
      <c r="I14" s="1660"/>
      <c r="J14" s="1660"/>
      <c r="K14" s="1660"/>
      <c r="L14" s="1660"/>
      <c r="M14" s="1660"/>
      <c r="N14" s="1660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626" t="s">
        <v>854</v>
      </c>
      <c r="I37" s="1626"/>
      <c r="J37" s="1626"/>
      <c r="K37" s="1626"/>
      <c r="L37" s="1626"/>
      <c r="M37" s="1626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627" t="s">
        <v>852</v>
      </c>
      <c r="I38" s="1627"/>
      <c r="J38" s="1627"/>
      <c r="K38" s="1627"/>
      <c r="L38" s="1627"/>
      <c r="M38" s="1627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628" t="s">
        <v>853</v>
      </c>
      <c r="I39" s="1628"/>
      <c r="J39" s="1628"/>
      <c r="K39" s="1628"/>
      <c r="L39" s="1628"/>
      <c r="M39" s="1628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629"/>
      <c r="J40" s="1629"/>
      <c r="K40" s="1629"/>
      <c r="L40" s="1629"/>
      <c r="M40" s="1629"/>
      <c r="N40" s="1629"/>
    </row>
    <row r="41" spans="1:14" ht="15.75" x14ac:dyDescent="0.25">
      <c r="A41" s="267"/>
      <c r="B41" s="267"/>
      <c r="C41" s="267"/>
      <c r="D41" s="268"/>
      <c r="E41" s="268"/>
      <c r="F41" s="269"/>
      <c r="G41" s="1549"/>
      <c r="H41" s="1549"/>
      <c r="I41" s="1549"/>
      <c r="J41" s="1549"/>
      <c r="K41" s="1549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1111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886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670" t="s">
        <v>7</v>
      </c>
      <c r="B12" s="1673" t="s">
        <v>802</v>
      </c>
      <c r="C12" s="1673" t="s">
        <v>9</v>
      </c>
      <c r="D12" s="727" t="s">
        <v>12</v>
      </c>
      <c r="E12" s="1672" t="s">
        <v>13</v>
      </c>
      <c r="F12" s="1667" t="s">
        <v>14</v>
      </c>
      <c r="G12" s="1667" t="s">
        <v>15</v>
      </c>
      <c r="H12" s="1667" t="s">
        <v>16</v>
      </c>
      <c r="I12" s="1667" t="s">
        <v>17</v>
      </c>
      <c r="J12" s="1667" t="s">
        <v>18</v>
      </c>
      <c r="K12" s="1667" t="s">
        <v>19</v>
      </c>
      <c r="L12" s="1668" t="s">
        <v>20</v>
      </c>
    </row>
    <row r="13" spans="1:12" ht="16.5" customHeight="1" x14ac:dyDescent="0.25">
      <c r="A13" s="1671"/>
      <c r="B13" s="1611"/>
      <c r="C13" s="1611"/>
      <c r="D13" s="390" t="s">
        <v>21</v>
      </c>
      <c r="E13" s="1586"/>
      <c r="F13" s="1585"/>
      <c r="G13" s="1585"/>
      <c r="H13" s="1585"/>
      <c r="I13" s="1585"/>
      <c r="J13" s="1585"/>
      <c r="K13" s="1585"/>
      <c r="L13" s="1669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626" t="s">
        <v>854</v>
      </c>
      <c r="G21" s="1626"/>
      <c r="H21" s="1626"/>
      <c r="I21" s="1626"/>
      <c r="J21" s="1626"/>
      <c r="K21" s="1626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627" t="s">
        <v>852</v>
      </c>
      <c r="G22" s="1627"/>
      <c r="H22" s="1627"/>
      <c r="I22" s="1627"/>
      <c r="J22" s="1627"/>
      <c r="K22" s="1627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628" t="s">
        <v>853</v>
      </c>
      <c r="G23" s="1628"/>
      <c r="H23" s="1628"/>
      <c r="I23" s="1628"/>
      <c r="J23" s="1628"/>
      <c r="K23" s="1628"/>
      <c r="L23" s="537"/>
    </row>
    <row r="24" spans="1:12" x14ac:dyDescent="0.25">
      <c r="A24" s="546"/>
      <c r="B24" s="546"/>
      <c r="C24" s="547"/>
      <c r="D24" s="541"/>
      <c r="E24" s="540"/>
      <c r="F24" s="537"/>
      <c r="G24" s="1629"/>
      <c r="H24" s="1629"/>
      <c r="I24" s="1629"/>
      <c r="J24" s="1629"/>
      <c r="K24" s="1629"/>
      <c r="L24" s="1629"/>
    </row>
    <row r="25" spans="1:12" ht="15.75" x14ac:dyDescent="0.25">
      <c r="A25" s="267"/>
      <c r="B25" s="267"/>
      <c r="C25" s="268"/>
      <c r="D25" s="269"/>
      <c r="E25" s="1549"/>
      <c r="F25" s="1549"/>
      <c r="G25" s="1549"/>
      <c r="H25" s="1549"/>
      <c r="I25" s="1549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J12:J13"/>
    <mergeCell ref="F21:K21"/>
    <mergeCell ref="E12:E13"/>
    <mergeCell ref="K12:K13"/>
    <mergeCell ref="C12:C13"/>
    <mergeCell ref="B12:B13"/>
    <mergeCell ref="E25:I25"/>
    <mergeCell ref="G12:G13"/>
    <mergeCell ref="H12:H13"/>
    <mergeCell ref="I12:I13"/>
    <mergeCell ref="F12:F13"/>
    <mergeCell ref="G24:L24"/>
    <mergeCell ref="L12:L13"/>
    <mergeCell ref="F22:K22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1116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60" t="s">
        <v>7</v>
      </c>
      <c r="B13" s="1660" t="s">
        <v>937</v>
      </c>
      <c r="C13" s="1660" t="s">
        <v>8</v>
      </c>
      <c r="D13" s="1660" t="s">
        <v>10</v>
      </c>
      <c r="E13" s="1660" t="s">
        <v>11</v>
      </c>
      <c r="F13" s="419" t="s">
        <v>12</v>
      </c>
      <c r="G13" s="1660" t="s">
        <v>13</v>
      </c>
      <c r="H13" s="1660" t="s">
        <v>14</v>
      </c>
      <c r="I13" s="1660" t="s">
        <v>15</v>
      </c>
      <c r="J13" s="1660" t="s">
        <v>16</v>
      </c>
      <c r="K13" s="1660" t="s">
        <v>17</v>
      </c>
      <c r="L13" s="1660" t="s">
        <v>18</v>
      </c>
      <c r="M13" s="1660" t="s">
        <v>19</v>
      </c>
      <c r="N13" s="1660" t="s">
        <v>20</v>
      </c>
    </row>
    <row r="14" spans="1:14" x14ac:dyDescent="0.25">
      <c r="A14" s="1660"/>
      <c r="B14" s="1660"/>
      <c r="C14" s="1660"/>
      <c r="D14" s="1660"/>
      <c r="E14" s="1660"/>
      <c r="F14" s="419" t="s">
        <v>21</v>
      </c>
      <c r="G14" s="1660"/>
      <c r="H14" s="1660"/>
      <c r="I14" s="1660"/>
      <c r="J14" s="1660"/>
      <c r="K14" s="1660"/>
      <c r="L14" s="1660"/>
      <c r="M14" s="1660"/>
      <c r="N14" s="1660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626" t="s">
        <v>854</v>
      </c>
      <c r="I38" s="1626"/>
      <c r="J38" s="1626"/>
      <c r="K38" s="1626"/>
      <c r="L38" s="1626"/>
      <c r="M38" s="1626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627" t="s">
        <v>852</v>
      </c>
      <c r="I39" s="1627"/>
      <c r="J39" s="1627"/>
      <c r="K39" s="1627"/>
      <c r="L39" s="1627"/>
      <c r="M39" s="1627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628" t="s">
        <v>853</v>
      </c>
      <c r="I40" s="1628"/>
      <c r="J40" s="1628"/>
      <c r="K40" s="1628"/>
      <c r="L40" s="1628"/>
      <c r="M40" s="1628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629"/>
      <c r="J41" s="1629"/>
      <c r="K41" s="1629"/>
      <c r="L41" s="1629"/>
      <c r="M41" s="1629"/>
      <c r="N41" s="1629"/>
    </row>
    <row r="42" spans="1:14" ht="15.75" x14ac:dyDescent="0.25">
      <c r="A42" s="267"/>
      <c r="B42" s="267"/>
      <c r="C42" s="267"/>
      <c r="D42" s="268"/>
      <c r="E42" s="268"/>
      <c r="F42" s="269"/>
      <c r="G42" s="1549"/>
      <c r="H42" s="1549"/>
      <c r="I42" s="1549"/>
      <c r="J42" s="1549"/>
      <c r="K42" s="1549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1117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886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611" t="s">
        <v>7</v>
      </c>
      <c r="B12" s="1611" t="s">
        <v>802</v>
      </c>
      <c r="C12" s="1611" t="s">
        <v>9</v>
      </c>
      <c r="D12" s="390" t="s">
        <v>12</v>
      </c>
      <c r="E12" s="1586" t="s">
        <v>13</v>
      </c>
      <c r="F12" s="1585" t="s">
        <v>14</v>
      </c>
      <c r="G12" s="1585" t="s">
        <v>15</v>
      </c>
      <c r="H12" s="1585" t="s">
        <v>16</v>
      </c>
      <c r="I12" s="1585" t="s">
        <v>17</v>
      </c>
      <c r="J12" s="1585" t="s">
        <v>18</v>
      </c>
      <c r="K12" s="1585" t="s">
        <v>19</v>
      </c>
      <c r="L12" s="1585" t="s">
        <v>20</v>
      </c>
    </row>
    <row r="13" spans="1:12" ht="16.5" customHeight="1" x14ac:dyDescent="0.25">
      <c r="A13" s="1611"/>
      <c r="B13" s="1611"/>
      <c r="C13" s="1611"/>
      <c r="D13" s="390" t="s">
        <v>21</v>
      </c>
      <c r="E13" s="1586"/>
      <c r="F13" s="1585"/>
      <c r="G13" s="1585"/>
      <c r="H13" s="1585"/>
      <c r="I13" s="1585"/>
      <c r="J13" s="1585"/>
      <c r="K13" s="1585"/>
      <c r="L13" s="1585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626" t="s">
        <v>854</v>
      </c>
      <c r="G21" s="1626"/>
      <c r="H21" s="1626"/>
      <c r="I21" s="1626"/>
      <c r="J21" s="1626"/>
      <c r="K21" s="1626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627" t="s">
        <v>852</v>
      </c>
      <c r="G22" s="1627"/>
      <c r="H22" s="1627"/>
      <c r="I22" s="1627"/>
      <c r="J22" s="1627"/>
      <c r="K22" s="1627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628" t="s">
        <v>853</v>
      </c>
      <c r="G23" s="1628"/>
      <c r="H23" s="1628"/>
      <c r="I23" s="1628"/>
      <c r="J23" s="1628"/>
      <c r="K23" s="1628"/>
      <c r="L23" s="537"/>
    </row>
    <row r="24" spans="1:12" x14ac:dyDescent="0.25">
      <c r="A24" s="546"/>
      <c r="B24" s="546"/>
      <c r="C24" s="547"/>
      <c r="D24" s="541"/>
      <c r="E24" s="540"/>
      <c r="F24" s="537"/>
      <c r="G24" s="1629"/>
      <c r="H24" s="1629"/>
      <c r="I24" s="1629"/>
      <c r="J24" s="1629"/>
      <c r="K24" s="1629"/>
      <c r="L24" s="1629"/>
    </row>
    <row r="25" spans="1:12" ht="15.75" x14ac:dyDescent="0.25">
      <c r="A25" s="267"/>
      <c r="B25" s="267"/>
      <c r="C25" s="268"/>
      <c r="D25" s="269"/>
      <c r="E25" s="1549"/>
      <c r="F25" s="1549"/>
      <c r="G25" s="1549"/>
      <c r="H25" s="1549"/>
      <c r="I25" s="1549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1:13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1:13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1:13" x14ac:dyDescent="0.25">
      <c r="A10" s="1551" t="s">
        <v>1118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</row>
    <row r="11" spans="1:13" x14ac:dyDescent="0.25">
      <c r="A11" s="1637" t="s">
        <v>412</v>
      </c>
      <c r="B11" s="1637"/>
      <c r="C11" s="1637"/>
      <c r="D11" s="1637"/>
      <c r="E11" s="1637"/>
      <c r="F11" s="1637"/>
      <c r="G11" s="1637"/>
      <c r="H11" s="1637"/>
      <c r="I11" s="1637"/>
      <c r="J11" s="1637"/>
      <c r="K11" s="1637"/>
      <c r="L11" s="1637"/>
      <c r="M11" s="1637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618" t="s">
        <v>7</v>
      </c>
      <c r="B13" s="1638" t="s">
        <v>937</v>
      </c>
      <c r="C13" s="1618" t="s">
        <v>9</v>
      </c>
      <c r="D13" s="1618" t="s">
        <v>832</v>
      </c>
      <c r="E13" s="421" t="s">
        <v>12</v>
      </c>
      <c r="F13" s="1619" t="s">
        <v>13</v>
      </c>
      <c r="G13" s="1615" t="s">
        <v>14</v>
      </c>
      <c r="H13" s="1615" t="s">
        <v>15</v>
      </c>
      <c r="I13" s="1615" t="s">
        <v>16</v>
      </c>
      <c r="J13" s="1615" t="s">
        <v>17</v>
      </c>
      <c r="K13" s="1615" t="s">
        <v>18</v>
      </c>
      <c r="L13" s="1615" t="s">
        <v>19</v>
      </c>
      <c r="M13" s="1615" t="s">
        <v>20</v>
      </c>
    </row>
    <row r="14" spans="1:13" x14ac:dyDescent="0.25">
      <c r="A14" s="1618"/>
      <c r="B14" s="1639"/>
      <c r="C14" s="1618"/>
      <c r="D14" s="1618"/>
      <c r="E14" s="421" t="s">
        <v>21</v>
      </c>
      <c r="F14" s="1619"/>
      <c r="G14" s="1615"/>
      <c r="H14" s="1615"/>
      <c r="I14" s="1615"/>
      <c r="J14" s="1615"/>
      <c r="K14" s="1615"/>
      <c r="L14" s="1615"/>
      <c r="M14" s="1615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626" t="s">
        <v>854</v>
      </c>
      <c r="I24" s="1626"/>
      <c r="J24" s="1626"/>
      <c r="K24" s="1626"/>
      <c r="L24" s="1626"/>
      <c r="M24" s="1626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627" t="s">
        <v>852</v>
      </c>
      <c r="I25" s="1627"/>
      <c r="J25" s="1627"/>
      <c r="K25" s="1627"/>
      <c r="L25" s="1627"/>
      <c r="M25" s="1627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628" t="s">
        <v>853</v>
      </c>
      <c r="I26" s="1628"/>
      <c r="J26" s="1628"/>
      <c r="K26" s="1628"/>
      <c r="L26" s="1628"/>
      <c r="M26" s="1628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629"/>
      <c r="J27" s="1629"/>
      <c r="K27" s="1629"/>
      <c r="L27" s="1629"/>
      <c r="M27" s="1629"/>
      <c r="N27" s="1629"/>
    </row>
    <row r="28" spans="1:14" ht="15.75" x14ac:dyDescent="0.25">
      <c r="A28" s="267"/>
      <c r="B28" s="267"/>
      <c r="C28" s="267"/>
      <c r="D28" s="268"/>
      <c r="E28" s="268"/>
      <c r="F28" s="269"/>
      <c r="G28" s="1549"/>
      <c r="H28" s="1549"/>
      <c r="I28" s="1549"/>
      <c r="J28" s="1549"/>
      <c r="K28" s="1549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1:13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1124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7" t="s">
        <v>404</v>
      </c>
      <c r="B9" s="1557"/>
      <c r="C9" s="1557"/>
      <c r="D9" s="1557"/>
      <c r="E9" s="1557"/>
      <c r="F9" s="1557"/>
      <c r="G9" s="1557"/>
      <c r="H9" s="1557"/>
      <c r="I9" s="1557"/>
      <c r="J9" s="1557"/>
      <c r="K9" s="1557"/>
      <c r="L9" s="1557"/>
      <c r="M9" s="1557"/>
    </row>
    <row r="10" spans="1:13" x14ac:dyDescent="0.25">
      <c r="A10" s="1611" t="s">
        <v>7</v>
      </c>
      <c r="B10" s="1611" t="s">
        <v>802</v>
      </c>
      <c r="C10" s="1611" t="s">
        <v>9</v>
      </c>
      <c r="D10" s="1635" t="s">
        <v>11</v>
      </c>
      <c r="E10" s="476" t="s">
        <v>12</v>
      </c>
      <c r="F10" s="1653" t="s">
        <v>13</v>
      </c>
      <c r="G10" s="1609" t="s">
        <v>14</v>
      </c>
      <c r="H10" s="1609" t="s">
        <v>15</v>
      </c>
      <c r="I10" s="1609" t="s">
        <v>16</v>
      </c>
      <c r="J10" s="1609" t="s">
        <v>17</v>
      </c>
      <c r="K10" s="1609" t="s">
        <v>18</v>
      </c>
      <c r="L10" s="1609" t="s">
        <v>19</v>
      </c>
      <c r="M10" s="1609" t="s">
        <v>20</v>
      </c>
    </row>
    <row r="11" spans="1:13" x14ac:dyDescent="0.25">
      <c r="A11" s="1611"/>
      <c r="B11" s="1611"/>
      <c r="C11" s="1611"/>
      <c r="D11" s="1636"/>
      <c r="E11" s="476" t="s">
        <v>21</v>
      </c>
      <c r="F11" s="1653"/>
      <c r="G11" s="1609"/>
      <c r="H11" s="1609"/>
      <c r="I11" s="1609"/>
      <c r="J11" s="1609"/>
      <c r="K11" s="1609"/>
      <c r="L11" s="1609"/>
      <c r="M11" s="1609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1115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11" t="s">
        <v>7</v>
      </c>
      <c r="B11" s="1611" t="s">
        <v>937</v>
      </c>
      <c r="C11" s="1613" t="s">
        <v>9</v>
      </c>
      <c r="D11" s="1611" t="s">
        <v>832</v>
      </c>
      <c r="E11" s="1611" t="s">
        <v>834</v>
      </c>
      <c r="F11" s="1611" t="s">
        <v>209</v>
      </c>
      <c r="G11" s="476" t="s">
        <v>12</v>
      </c>
      <c r="H11" s="1612" t="s">
        <v>13</v>
      </c>
      <c r="I11" s="1609" t="s">
        <v>14</v>
      </c>
      <c r="J11" s="1609" t="s">
        <v>15</v>
      </c>
      <c r="K11" s="1609" t="s">
        <v>16</v>
      </c>
      <c r="L11" s="1609" t="s">
        <v>17</v>
      </c>
      <c r="M11" s="1609" t="s">
        <v>18</v>
      </c>
      <c r="N11" s="1609" t="s">
        <v>19</v>
      </c>
      <c r="O11" s="1609" t="s">
        <v>20</v>
      </c>
    </row>
    <row r="12" spans="1:15" x14ac:dyDescent="0.25">
      <c r="A12" s="1611"/>
      <c r="B12" s="1611"/>
      <c r="C12" s="1613"/>
      <c r="D12" s="1611"/>
      <c r="E12" s="1611"/>
      <c r="F12" s="1611"/>
      <c r="G12" s="476" t="s">
        <v>21</v>
      </c>
      <c r="H12" s="1612"/>
      <c r="I12" s="1609"/>
      <c r="J12" s="1609"/>
      <c r="K12" s="1609"/>
      <c r="L12" s="1609"/>
      <c r="M12" s="1609"/>
      <c r="N12" s="1609"/>
      <c r="O12" s="160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1:13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1125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7" t="s">
        <v>404</v>
      </c>
      <c r="B9" s="1557"/>
      <c r="C9" s="1557"/>
      <c r="D9" s="1557"/>
      <c r="E9" s="1557"/>
      <c r="F9" s="1557"/>
      <c r="G9" s="1557"/>
      <c r="H9" s="1557"/>
      <c r="I9" s="1557"/>
      <c r="J9" s="1557"/>
      <c r="K9" s="1557"/>
      <c r="L9" s="1557"/>
      <c r="M9" s="1557"/>
    </row>
    <row r="10" spans="1:13" x14ac:dyDescent="0.25">
      <c r="A10" s="1611" t="s">
        <v>7</v>
      </c>
      <c r="B10" s="1611" t="s">
        <v>802</v>
      </c>
      <c r="C10" s="1611" t="s">
        <v>9</v>
      </c>
      <c r="D10" s="1635" t="s">
        <v>11</v>
      </c>
      <c r="E10" s="476" t="s">
        <v>12</v>
      </c>
      <c r="F10" s="1653" t="s">
        <v>13</v>
      </c>
      <c r="G10" s="1609" t="s">
        <v>14</v>
      </c>
      <c r="H10" s="1609" t="s">
        <v>15</v>
      </c>
      <c r="I10" s="1609" t="s">
        <v>16</v>
      </c>
      <c r="J10" s="1609" t="s">
        <v>17</v>
      </c>
      <c r="K10" s="1609" t="s">
        <v>18</v>
      </c>
      <c r="L10" s="1609" t="s">
        <v>19</v>
      </c>
      <c r="M10" s="1609" t="s">
        <v>20</v>
      </c>
    </row>
    <row r="11" spans="1:13" x14ac:dyDescent="0.25">
      <c r="A11" s="1611"/>
      <c r="B11" s="1611"/>
      <c r="C11" s="1611"/>
      <c r="D11" s="1636"/>
      <c r="E11" s="476" t="s">
        <v>21</v>
      </c>
      <c r="F11" s="1653"/>
      <c r="G11" s="1609"/>
      <c r="H11" s="1609"/>
      <c r="I11" s="1609"/>
      <c r="J11" s="1609"/>
      <c r="K11" s="1609"/>
      <c r="L11" s="1609"/>
      <c r="M11" s="1609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1152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11" t="s">
        <v>7</v>
      </c>
      <c r="B11" s="1611" t="s">
        <v>937</v>
      </c>
      <c r="C11" s="1613" t="s">
        <v>9</v>
      </c>
      <c r="D11" s="1611" t="s">
        <v>832</v>
      </c>
      <c r="E11" s="1611" t="s">
        <v>834</v>
      </c>
      <c r="F11" s="1611" t="s">
        <v>209</v>
      </c>
      <c r="G11" s="476" t="s">
        <v>12</v>
      </c>
      <c r="H11" s="1612" t="s">
        <v>13</v>
      </c>
      <c r="I11" s="1609" t="s">
        <v>14</v>
      </c>
      <c r="J11" s="1609" t="s">
        <v>15</v>
      </c>
      <c r="K11" s="1609" t="s">
        <v>16</v>
      </c>
      <c r="L11" s="1609" t="s">
        <v>17</v>
      </c>
      <c r="M11" s="1609" t="s">
        <v>18</v>
      </c>
      <c r="N11" s="1609" t="s">
        <v>19</v>
      </c>
      <c r="O11" s="1609" t="s">
        <v>20</v>
      </c>
    </row>
    <row r="12" spans="1:15" x14ac:dyDescent="0.25">
      <c r="A12" s="1611"/>
      <c r="B12" s="1611"/>
      <c r="C12" s="1613"/>
      <c r="D12" s="1611"/>
      <c r="E12" s="1611"/>
      <c r="F12" s="1611"/>
      <c r="G12" s="476" t="s">
        <v>21</v>
      </c>
      <c r="H12" s="1612"/>
      <c r="I12" s="1609"/>
      <c r="J12" s="1609"/>
      <c r="K12" s="1609"/>
      <c r="L12" s="1609"/>
      <c r="M12" s="1609"/>
      <c r="N12" s="1609"/>
      <c r="O12" s="160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1155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60" t="s">
        <v>7</v>
      </c>
      <c r="B13" s="1660" t="s">
        <v>937</v>
      </c>
      <c r="C13" s="1660" t="s">
        <v>8</v>
      </c>
      <c r="D13" s="1660" t="s">
        <v>10</v>
      </c>
      <c r="E13" s="1660" t="s">
        <v>11</v>
      </c>
      <c r="F13" s="419" t="s">
        <v>12</v>
      </c>
      <c r="G13" s="1660" t="s">
        <v>13</v>
      </c>
      <c r="H13" s="1660" t="s">
        <v>14</v>
      </c>
      <c r="I13" s="1660" t="s">
        <v>15</v>
      </c>
      <c r="J13" s="1660" t="s">
        <v>16</v>
      </c>
      <c r="K13" s="1660" t="s">
        <v>17</v>
      </c>
      <c r="L13" s="1660" t="s">
        <v>18</v>
      </c>
      <c r="M13" s="1660" t="s">
        <v>19</v>
      </c>
      <c r="N13" s="1660" t="s">
        <v>20</v>
      </c>
    </row>
    <row r="14" spans="1:14" x14ac:dyDescent="0.25">
      <c r="A14" s="1660"/>
      <c r="B14" s="1660"/>
      <c r="C14" s="1660"/>
      <c r="D14" s="1660"/>
      <c r="E14" s="1660"/>
      <c r="F14" s="419" t="s">
        <v>21</v>
      </c>
      <c r="G14" s="1660"/>
      <c r="H14" s="1660"/>
      <c r="I14" s="1660"/>
      <c r="J14" s="1660"/>
      <c r="K14" s="1660"/>
      <c r="L14" s="1660"/>
      <c r="M14" s="1660"/>
      <c r="N14" s="1660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626" t="s">
        <v>854</v>
      </c>
      <c r="I38" s="1626"/>
      <c r="J38" s="1626"/>
      <c r="K38" s="1626"/>
      <c r="L38" s="1626"/>
      <c r="M38" s="1626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627" t="s">
        <v>852</v>
      </c>
      <c r="I39" s="1627"/>
      <c r="J39" s="1627"/>
      <c r="K39" s="1627"/>
      <c r="L39" s="1627"/>
      <c r="M39" s="1627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628" t="s">
        <v>853</v>
      </c>
      <c r="I40" s="1628"/>
      <c r="J40" s="1628"/>
      <c r="K40" s="1628"/>
      <c r="L40" s="1628"/>
      <c r="M40" s="1628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629"/>
      <c r="J41" s="1629"/>
      <c r="K41" s="1629"/>
      <c r="L41" s="1629"/>
      <c r="M41" s="1629"/>
      <c r="N41" s="1629"/>
    </row>
    <row r="42" spans="1:14" ht="15.75" x14ac:dyDescent="0.25">
      <c r="A42" s="267"/>
      <c r="B42" s="267"/>
      <c r="C42" s="267"/>
      <c r="D42" s="268"/>
      <c r="E42" s="268"/>
      <c r="F42" s="269"/>
      <c r="G42" s="1549"/>
      <c r="H42" s="1549"/>
      <c r="I42" s="1549"/>
      <c r="J42" s="1549"/>
      <c r="K42" s="1549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1:13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1:13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1:13" x14ac:dyDescent="0.25">
      <c r="A10" s="1551" t="s">
        <v>1159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</row>
    <row r="11" spans="1:13" x14ac:dyDescent="0.25">
      <c r="A11" s="1637" t="s">
        <v>412</v>
      </c>
      <c r="B11" s="1637"/>
      <c r="C11" s="1637"/>
      <c r="D11" s="1637"/>
      <c r="E11" s="1637"/>
      <c r="F11" s="1637"/>
      <c r="G11" s="1637"/>
      <c r="H11" s="1637"/>
      <c r="I11" s="1637"/>
      <c r="J11" s="1637"/>
      <c r="K11" s="1637"/>
      <c r="L11" s="1637"/>
      <c r="M11" s="1637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618" t="s">
        <v>7</v>
      </c>
      <c r="B13" s="1638" t="s">
        <v>937</v>
      </c>
      <c r="C13" s="1618" t="s">
        <v>9</v>
      </c>
      <c r="D13" s="1618" t="s">
        <v>832</v>
      </c>
      <c r="E13" s="421" t="s">
        <v>12</v>
      </c>
      <c r="F13" s="1619" t="s">
        <v>13</v>
      </c>
      <c r="G13" s="1615" t="s">
        <v>14</v>
      </c>
      <c r="H13" s="1615" t="s">
        <v>15</v>
      </c>
      <c r="I13" s="1615" t="s">
        <v>16</v>
      </c>
      <c r="J13" s="1615" t="s">
        <v>17</v>
      </c>
      <c r="K13" s="1615" t="s">
        <v>18</v>
      </c>
      <c r="L13" s="1615" t="s">
        <v>19</v>
      </c>
      <c r="M13" s="1615" t="s">
        <v>20</v>
      </c>
    </row>
    <row r="14" spans="1:13" x14ac:dyDescent="0.25">
      <c r="A14" s="1618"/>
      <c r="B14" s="1639"/>
      <c r="C14" s="1618"/>
      <c r="D14" s="1618"/>
      <c r="E14" s="421" t="s">
        <v>21</v>
      </c>
      <c r="F14" s="1619"/>
      <c r="G14" s="1615"/>
      <c r="H14" s="1615"/>
      <c r="I14" s="1615"/>
      <c r="J14" s="1615"/>
      <c r="K14" s="1615"/>
      <c r="L14" s="1615"/>
      <c r="M14" s="1615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626" t="s">
        <v>854</v>
      </c>
      <c r="I24" s="1626"/>
      <c r="J24" s="1626"/>
      <c r="K24" s="1626"/>
      <c r="L24" s="1626"/>
      <c r="M24" s="1626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627" t="s">
        <v>852</v>
      </c>
      <c r="I25" s="1627"/>
      <c r="J25" s="1627"/>
      <c r="K25" s="1627"/>
      <c r="L25" s="1627"/>
      <c r="M25" s="1627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628" t="s">
        <v>853</v>
      </c>
      <c r="I26" s="1628"/>
      <c r="J26" s="1628"/>
      <c r="K26" s="1628"/>
      <c r="L26" s="1628"/>
      <c r="M26" s="1628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629"/>
      <c r="J27" s="1629"/>
      <c r="K27" s="1629"/>
      <c r="L27" s="1629"/>
      <c r="M27" s="1629"/>
      <c r="N27" s="1629"/>
    </row>
    <row r="28" spans="1:14" ht="15.75" x14ac:dyDescent="0.25">
      <c r="A28" s="267"/>
      <c r="B28" s="267"/>
      <c r="C28" s="267"/>
      <c r="D28" s="268"/>
      <c r="E28" s="268"/>
      <c r="F28" s="269"/>
      <c r="G28" s="1549"/>
      <c r="H28" s="1549"/>
      <c r="I28" s="1549"/>
      <c r="J28" s="1549"/>
      <c r="K28" s="1549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1160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886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611" t="s">
        <v>7</v>
      </c>
      <c r="B12" s="1611" t="s">
        <v>802</v>
      </c>
      <c r="C12" s="1611" t="s">
        <v>9</v>
      </c>
      <c r="D12" s="390" t="s">
        <v>12</v>
      </c>
      <c r="E12" s="1586" t="s">
        <v>13</v>
      </c>
      <c r="F12" s="1585" t="s">
        <v>14</v>
      </c>
      <c r="G12" s="1585" t="s">
        <v>15</v>
      </c>
      <c r="H12" s="1585" t="s">
        <v>16</v>
      </c>
      <c r="I12" s="1585" t="s">
        <v>17</v>
      </c>
      <c r="J12" s="1585" t="s">
        <v>18</v>
      </c>
      <c r="K12" s="1585" t="s">
        <v>19</v>
      </c>
      <c r="L12" s="1585" t="s">
        <v>20</v>
      </c>
    </row>
    <row r="13" spans="1:12" ht="16.5" customHeight="1" x14ac:dyDescent="0.25">
      <c r="A13" s="1611"/>
      <c r="B13" s="1611"/>
      <c r="C13" s="1611"/>
      <c r="D13" s="390" t="s">
        <v>21</v>
      </c>
      <c r="E13" s="1586"/>
      <c r="F13" s="1585"/>
      <c r="G13" s="1585"/>
      <c r="H13" s="1585"/>
      <c r="I13" s="1585"/>
      <c r="J13" s="1585"/>
      <c r="K13" s="1585"/>
      <c r="L13" s="1585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626" t="s">
        <v>854</v>
      </c>
      <c r="G25" s="1626"/>
      <c r="H25" s="1626"/>
      <c r="I25" s="1626"/>
      <c r="J25" s="1626"/>
      <c r="K25" s="1626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627" t="s">
        <v>852</v>
      </c>
      <c r="G26" s="1627"/>
      <c r="H26" s="1627"/>
      <c r="I26" s="1627"/>
      <c r="J26" s="1627"/>
      <c r="K26" s="1627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628" t="s">
        <v>853</v>
      </c>
      <c r="G27" s="1628"/>
      <c r="H27" s="1628"/>
      <c r="I27" s="1628"/>
      <c r="J27" s="1628"/>
      <c r="K27" s="1628"/>
      <c r="L27" s="537"/>
    </row>
    <row r="28" spans="1:12" x14ac:dyDescent="0.25">
      <c r="A28" s="546"/>
      <c r="B28" s="546"/>
      <c r="C28" s="547"/>
      <c r="D28" s="541"/>
      <c r="E28" s="540"/>
      <c r="F28" s="537"/>
      <c r="G28" s="1629"/>
      <c r="H28" s="1629"/>
      <c r="I28" s="1629"/>
      <c r="J28" s="1629"/>
      <c r="K28" s="1629"/>
      <c r="L28" s="1629"/>
    </row>
    <row r="29" spans="1:12" ht="15.75" x14ac:dyDescent="0.25">
      <c r="A29" s="267"/>
      <c r="B29" s="267"/>
      <c r="C29" s="268"/>
      <c r="D29" s="269"/>
      <c r="E29" s="1549"/>
      <c r="F29" s="1549"/>
      <c r="G29" s="1549"/>
      <c r="H29" s="1549"/>
      <c r="I29" s="1549"/>
      <c r="J29" s="271"/>
      <c r="K29" s="271"/>
      <c r="L29" s="259"/>
    </row>
    <row r="30" spans="1:12" x14ac:dyDescent="0.25">
      <c r="D30" t="s">
        <v>641</v>
      </c>
    </row>
  </sheetData>
  <mergeCells count="21"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  <mergeCell ref="A12:A13"/>
    <mergeCell ref="K12:K13"/>
    <mergeCell ref="L12:L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1:13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1:13" x14ac:dyDescent="0.25">
      <c r="A8" s="1556" t="s">
        <v>1164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1:13" x14ac:dyDescent="0.25">
      <c r="A9" s="1557" t="s">
        <v>404</v>
      </c>
      <c r="B9" s="1557"/>
      <c r="C9" s="1557"/>
      <c r="D9" s="1557"/>
      <c r="E9" s="1557"/>
      <c r="F9" s="1557"/>
      <c r="G9" s="1557"/>
      <c r="H9" s="1557"/>
      <c r="I9" s="1557"/>
      <c r="J9" s="1557"/>
      <c r="K9" s="1557"/>
      <c r="L9" s="1557"/>
      <c r="M9" s="1557"/>
    </row>
    <row r="10" spans="1:13" x14ac:dyDescent="0.25">
      <c r="A10" s="1611" t="s">
        <v>7</v>
      </c>
      <c r="B10" s="1611" t="s">
        <v>802</v>
      </c>
      <c r="C10" s="1611" t="s">
        <v>9</v>
      </c>
      <c r="D10" s="1635" t="s">
        <v>11</v>
      </c>
      <c r="E10" s="476" t="s">
        <v>12</v>
      </c>
      <c r="F10" s="1653" t="s">
        <v>13</v>
      </c>
      <c r="G10" s="1609" t="s">
        <v>14</v>
      </c>
      <c r="H10" s="1609" t="s">
        <v>15</v>
      </c>
      <c r="I10" s="1609" t="s">
        <v>16</v>
      </c>
      <c r="J10" s="1609" t="s">
        <v>17</v>
      </c>
      <c r="K10" s="1609" t="s">
        <v>18</v>
      </c>
      <c r="L10" s="1609" t="s">
        <v>19</v>
      </c>
      <c r="M10" s="1609" t="s">
        <v>20</v>
      </c>
    </row>
    <row r="11" spans="1:13" x14ac:dyDescent="0.25">
      <c r="A11" s="1611"/>
      <c r="B11" s="1611"/>
      <c r="C11" s="1611"/>
      <c r="D11" s="1636"/>
      <c r="E11" s="476" t="s">
        <v>21</v>
      </c>
      <c r="F11" s="1653"/>
      <c r="G11" s="1609"/>
      <c r="H11" s="1609"/>
      <c r="I11" s="1609"/>
      <c r="J11" s="1609"/>
      <c r="K11" s="1609"/>
      <c r="L11" s="1609"/>
      <c r="M11" s="1609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1166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11" t="s">
        <v>7</v>
      </c>
      <c r="B11" s="1611" t="s">
        <v>937</v>
      </c>
      <c r="C11" s="1613" t="s">
        <v>9</v>
      </c>
      <c r="D11" s="1611" t="s">
        <v>832</v>
      </c>
      <c r="E11" s="1611" t="s">
        <v>834</v>
      </c>
      <c r="F11" s="1611" t="s">
        <v>209</v>
      </c>
      <c r="G11" s="476" t="s">
        <v>12</v>
      </c>
      <c r="H11" s="1612" t="s">
        <v>13</v>
      </c>
      <c r="I11" s="1609" t="s">
        <v>14</v>
      </c>
      <c r="J11" s="1609" t="s">
        <v>15</v>
      </c>
      <c r="K11" s="1609" t="s">
        <v>16</v>
      </c>
      <c r="L11" s="1609" t="s">
        <v>17</v>
      </c>
      <c r="M11" s="1609" t="s">
        <v>18</v>
      </c>
      <c r="N11" s="1609" t="s">
        <v>19</v>
      </c>
      <c r="O11" s="1609" t="s">
        <v>20</v>
      </c>
    </row>
    <row r="12" spans="1:15" x14ac:dyDescent="0.25">
      <c r="A12" s="1611"/>
      <c r="B12" s="1611"/>
      <c r="C12" s="1613"/>
      <c r="D12" s="1611"/>
      <c r="E12" s="1611"/>
      <c r="F12" s="1611"/>
      <c r="G12" s="476" t="s">
        <v>21</v>
      </c>
      <c r="H12" s="1612"/>
      <c r="I12" s="1609"/>
      <c r="J12" s="1609"/>
      <c r="K12" s="1609"/>
      <c r="L12" s="1609"/>
      <c r="M12" s="1609"/>
      <c r="N12" s="1609"/>
      <c r="O12" s="160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1170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60" t="s">
        <v>7</v>
      </c>
      <c r="B13" s="1660" t="s">
        <v>937</v>
      </c>
      <c r="C13" s="1660" t="s">
        <v>8</v>
      </c>
      <c r="D13" s="1660" t="s">
        <v>10</v>
      </c>
      <c r="E13" s="1660" t="s">
        <v>11</v>
      </c>
      <c r="F13" s="419" t="s">
        <v>12</v>
      </c>
      <c r="G13" s="1660" t="s">
        <v>13</v>
      </c>
      <c r="H13" s="1660" t="s">
        <v>14</v>
      </c>
      <c r="I13" s="1660" t="s">
        <v>15</v>
      </c>
      <c r="J13" s="1660" t="s">
        <v>16</v>
      </c>
      <c r="K13" s="1660" t="s">
        <v>17</v>
      </c>
      <c r="L13" s="1660" t="s">
        <v>18</v>
      </c>
      <c r="M13" s="1660" t="s">
        <v>19</v>
      </c>
      <c r="N13" s="1660" t="s">
        <v>20</v>
      </c>
    </row>
    <row r="14" spans="1:14" x14ac:dyDescent="0.25">
      <c r="A14" s="1660"/>
      <c r="B14" s="1660"/>
      <c r="C14" s="1660"/>
      <c r="D14" s="1660"/>
      <c r="E14" s="1660"/>
      <c r="F14" s="419" t="s">
        <v>21</v>
      </c>
      <c r="G14" s="1660"/>
      <c r="H14" s="1660"/>
      <c r="I14" s="1660"/>
      <c r="J14" s="1660"/>
      <c r="K14" s="1660"/>
      <c r="L14" s="1660"/>
      <c r="M14" s="1660"/>
      <c r="N14" s="1660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626" t="s">
        <v>854</v>
      </c>
      <c r="I41" s="1626"/>
      <c r="J41" s="1626"/>
      <c r="K41" s="1626"/>
      <c r="L41" s="1626"/>
      <c r="M41" s="1626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627" t="s">
        <v>852</v>
      </c>
      <c r="I42" s="1627"/>
      <c r="J42" s="1627"/>
      <c r="K42" s="1627"/>
      <c r="L42" s="1627"/>
      <c r="M42" s="1627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628" t="s">
        <v>853</v>
      </c>
      <c r="I43" s="1628"/>
      <c r="J43" s="1628"/>
      <c r="K43" s="1628"/>
      <c r="L43" s="1628"/>
      <c r="M43" s="1628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629"/>
      <c r="J44" s="1629"/>
      <c r="K44" s="1629"/>
      <c r="L44" s="1629"/>
      <c r="M44" s="1629"/>
      <c r="N44" s="1629"/>
    </row>
    <row r="45" spans="1:14" ht="15.75" x14ac:dyDescent="0.25">
      <c r="A45" s="267"/>
      <c r="B45" s="267"/>
      <c r="C45" s="267"/>
      <c r="D45" s="268"/>
      <c r="E45" s="268"/>
      <c r="F45" s="269"/>
      <c r="G45" s="1549"/>
      <c r="H45" s="1549"/>
      <c r="I45" s="1549"/>
      <c r="J45" s="1549"/>
      <c r="K45" s="1549"/>
      <c r="L45" s="271"/>
      <c r="M45" s="271"/>
      <c r="N45" s="259"/>
    </row>
  </sheetData>
  <mergeCells count="23"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1:13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1:13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1:13" x14ac:dyDescent="0.25">
      <c r="A10" s="1551" t="s">
        <v>1171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</row>
    <row r="11" spans="1:13" x14ac:dyDescent="0.25">
      <c r="A11" s="1637" t="s">
        <v>412</v>
      </c>
      <c r="B11" s="1637"/>
      <c r="C11" s="1637"/>
      <c r="D11" s="1637"/>
      <c r="E11" s="1637"/>
      <c r="F11" s="1637"/>
      <c r="G11" s="1637"/>
      <c r="H11" s="1637"/>
      <c r="I11" s="1637"/>
      <c r="J11" s="1637"/>
      <c r="K11" s="1637"/>
      <c r="L11" s="1637"/>
      <c r="M11" s="1637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618" t="s">
        <v>7</v>
      </c>
      <c r="B13" s="1638" t="s">
        <v>937</v>
      </c>
      <c r="C13" s="1618" t="s">
        <v>9</v>
      </c>
      <c r="D13" s="1618" t="s">
        <v>832</v>
      </c>
      <c r="E13" s="421" t="s">
        <v>12</v>
      </c>
      <c r="F13" s="1619" t="s">
        <v>13</v>
      </c>
      <c r="G13" s="1615" t="s">
        <v>14</v>
      </c>
      <c r="H13" s="1615" t="s">
        <v>15</v>
      </c>
      <c r="I13" s="1615" t="s">
        <v>16</v>
      </c>
      <c r="J13" s="1615" t="s">
        <v>17</v>
      </c>
      <c r="K13" s="1615" t="s">
        <v>18</v>
      </c>
      <c r="L13" s="1615" t="s">
        <v>19</v>
      </c>
      <c r="M13" s="1615" t="s">
        <v>20</v>
      </c>
    </row>
    <row r="14" spans="1:13" x14ac:dyDescent="0.25">
      <c r="A14" s="1618"/>
      <c r="B14" s="1639"/>
      <c r="C14" s="1618"/>
      <c r="D14" s="1618"/>
      <c r="E14" s="421" t="s">
        <v>21</v>
      </c>
      <c r="F14" s="1619"/>
      <c r="G14" s="1615"/>
      <c r="H14" s="1615"/>
      <c r="I14" s="1615"/>
      <c r="J14" s="1615"/>
      <c r="K14" s="1615"/>
      <c r="L14" s="1615"/>
      <c r="M14" s="1615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626" t="s">
        <v>854</v>
      </c>
      <c r="I29" s="1626"/>
      <c r="J29" s="1626"/>
      <c r="K29" s="1626"/>
      <c r="L29" s="1626"/>
      <c r="M29" s="1626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627" t="s">
        <v>852</v>
      </c>
      <c r="I30" s="1627"/>
      <c r="J30" s="1627"/>
      <c r="K30" s="1627"/>
      <c r="L30" s="1627"/>
      <c r="M30" s="1627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628" t="s">
        <v>853</v>
      </c>
      <c r="I31" s="1628"/>
      <c r="J31" s="1628"/>
      <c r="K31" s="1628"/>
      <c r="L31" s="1628"/>
      <c r="M31" s="1628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629"/>
      <c r="J32" s="1629"/>
      <c r="K32" s="1629"/>
      <c r="L32" s="1629"/>
      <c r="M32" s="1629"/>
      <c r="N32" s="1629"/>
    </row>
    <row r="33" spans="7:11" ht="15.75" x14ac:dyDescent="0.25">
      <c r="G33" s="1549"/>
      <c r="H33" s="1549"/>
      <c r="I33" s="1549"/>
      <c r="J33" s="1549"/>
      <c r="K33" s="154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676" t="s">
        <v>0</v>
      </c>
      <c r="B5" s="1676"/>
      <c r="C5" s="1676"/>
      <c r="D5" s="1676"/>
      <c r="E5" s="1676"/>
      <c r="F5" s="1676"/>
      <c r="G5" s="1676"/>
      <c r="H5" s="1676"/>
      <c r="I5" s="1676"/>
      <c r="J5" s="1676"/>
      <c r="K5" s="1676"/>
      <c r="L5" s="1676"/>
      <c r="M5" s="1676"/>
    </row>
    <row r="6" spans="1:13" x14ac:dyDescent="0.25">
      <c r="A6" s="1676" t="s">
        <v>3</v>
      </c>
      <c r="B6" s="1676"/>
      <c r="C6" s="1676"/>
      <c r="D6" s="1676"/>
      <c r="E6" s="1676"/>
      <c r="F6" s="1676"/>
      <c r="G6" s="1676"/>
      <c r="H6" s="1676"/>
      <c r="I6" s="1676"/>
      <c r="J6" s="1676"/>
      <c r="K6" s="1676"/>
      <c r="L6" s="1676"/>
      <c r="M6" s="1676"/>
    </row>
    <row r="7" spans="1:13" x14ac:dyDescent="0.25">
      <c r="A7" s="1676" t="s">
        <v>1173</v>
      </c>
      <c r="B7" s="1676"/>
      <c r="C7" s="1676"/>
      <c r="D7" s="1676"/>
      <c r="E7" s="1676"/>
      <c r="F7" s="1676"/>
      <c r="G7" s="1676"/>
      <c r="H7" s="1676"/>
      <c r="I7" s="1676"/>
      <c r="J7" s="1676"/>
      <c r="K7" s="1676"/>
      <c r="L7" s="1676"/>
      <c r="M7" s="1676"/>
    </row>
    <row r="8" spans="1:13" x14ac:dyDescent="0.25">
      <c r="A8" s="1677" t="s">
        <v>404</v>
      </c>
      <c r="B8" s="1677"/>
      <c r="C8" s="1677"/>
      <c r="D8" s="1677"/>
      <c r="E8" s="1677"/>
      <c r="F8" s="1677"/>
      <c r="G8" s="1677"/>
      <c r="H8" s="1677"/>
      <c r="I8" s="1677"/>
      <c r="J8" s="1677"/>
      <c r="K8" s="1677"/>
      <c r="L8" s="1677"/>
      <c r="M8" s="1677"/>
    </row>
    <row r="9" spans="1:13" x14ac:dyDescent="0.25">
      <c r="A9" s="1678" t="s">
        <v>7</v>
      </c>
      <c r="B9" s="1678" t="s">
        <v>802</v>
      </c>
      <c r="C9" s="1678" t="s">
        <v>9</v>
      </c>
      <c r="D9" s="1678" t="s">
        <v>11</v>
      </c>
      <c r="E9" s="772" t="s">
        <v>12</v>
      </c>
      <c r="F9" s="1680" t="s">
        <v>13</v>
      </c>
      <c r="G9" s="1674" t="s">
        <v>14</v>
      </c>
      <c r="H9" s="1674" t="s">
        <v>15</v>
      </c>
      <c r="I9" s="1674" t="s">
        <v>16</v>
      </c>
      <c r="J9" s="1674" t="s">
        <v>17</v>
      </c>
      <c r="K9" s="1674" t="s">
        <v>18</v>
      </c>
      <c r="L9" s="1674" t="s">
        <v>19</v>
      </c>
      <c r="M9" s="1674" t="s">
        <v>20</v>
      </c>
    </row>
    <row r="10" spans="1:13" x14ac:dyDescent="0.25">
      <c r="A10" s="1679"/>
      <c r="B10" s="1679"/>
      <c r="C10" s="1679"/>
      <c r="D10" s="1679"/>
      <c r="E10" s="772" t="s">
        <v>21</v>
      </c>
      <c r="F10" s="1681"/>
      <c r="G10" s="1675"/>
      <c r="H10" s="1675"/>
      <c r="I10" s="1675"/>
      <c r="J10" s="1675"/>
      <c r="K10" s="1675"/>
      <c r="L10" s="1675"/>
      <c r="M10" s="1675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1172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886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611" t="s">
        <v>7</v>
      </c>
      <c r="B12" s="1611" t="s">
        <v>802</v>
      </c>
      <c r="C12" s="1611" t="s">
        <v>9</v>
      </c>
      <c r="D12" s="390" t="s">
        <v>12</v>
      </c>
      <c r="E12" s="1586" t="s">
        <v>13</v>
      </c>
      <c r="F12" s="1585" t="s">
        <v>14</v>
      </c>
      <c r="G12" s="1585" t="s">
        <v>15</v>
      </c>
      <c r="H12" s="1585" t="s">
        <v>16</v>
      </c>
      <c r="I12" s="1585" t="s">
        <v>17</v>
      </c>
      <c r="J12" s="1585" t="s">
        <v>18</v>
      </c>
      <c r="K12" s="1585" t="s">
        <v>19</v>
      </c>
      <c r="L12" s="1585" t="s">
        <v>20</v>
      </c>
    </row>
    <row r="13" spans="1:12" ht="16.5" customHeight="1" x14ac:dyDescent="0.25">
      <c r="A13" s="1611"/>
      <c r="B13" s="1611"/>
      <c r="C13" s="1611"/>
      <c r="D13" s="390" t="s">
        <v>21</v>
      </c>
      <c r="E13" s="1586"/>
      <c r="F13" s="1585"/>
      <c r="G13" s="1585"/>
      <c r="H13" s="1585"/>
      <c r="I13" s="1585"/>
      <c r="J13" s="1585"/>
      <c r="K13" s="1585"/>
      <c r="L13" s="1585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626" t="s">
        <v>854</v>
      </c>
      <c r="G31" s="1626"/>
      <c r="H31" s="1626"/>
      <c r="I31" s="1626"/>
      <c r="J31" s="1626"/>
      <c r="K31" s="1626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627" t="s">
        <v>852</v>
      </c>
      <c r="G32" s="1627"/>
      <c r="H32" s="1627"/>
      <c r="I32" s="1627"/>
      <c r="J32" s="1627"/>
      <c r="K32" s="1627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628" t="s">
        <v>853</v>
      </c>
      <c r="G33" s="1628"/>
      <c r="H33" s="1628"/>
      <c r="I33" s="1628"/>
      <c r="J33" s="1628"/>
      <c r="K33" s="1628"/>
      <c r="L33" s="537"/>
    </row>
    <row r="34" spans="1:12" x14ac:dyDescent="0.25">
      <c r="A34" s="546"/>
      <c r="B34" s="546"/>
      <c r="C34" s="547"/>
      <c r="D34" s="541"/>
      <c r="E34" s="540"/>
      <c r="F34" s="537"/>
      <c r="G34" s="1629"/>
      <c r="H34" s="1629"/>
      <c r="I34" s="1629"/>
      <c r="J34" s="1629"/>
      <c r="K34" s="1629"/>
      <c r="L34" s="1629"/>
    </row>
    <row r="35" spans="1:12" ht="15.75" x14ac:dyDescent="0.25">
      <c r="A35" s="267"/>
      <c r="B35" s="267"/>
      <c r="C35" s="268"/>
      <c r="D35" s="269"/>
      <c r="E35" s="1549"/>
      <c r="F35" s="1549"/>
      <c r="G35" s="1549"/>
      <c r="H35" s="1549"/>
      <c r="I35" s="1549"/>
      <c r="J35" s="271"/>
      <c r="K35" s="271"/>
      <c r="L35" s="259"/>
    </row>
    <row r="36" spans="1:12" x14ac:dyDescent="0.25">
      <c r="D36" t="s">
        <v>641</v>
      </c>
    </row>
  </sheetData>
  <mergeCells count="21">
    <mergeCell ref="A6:L6"/>
    <mergeCell ref="A7:L7"/>
    <mergeCell ref="A8:L8"/>
    <mergeCell ref="A9:L9"/>
    <mergeCell ref="A10:L10"/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1179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11" t="s">
        <v>7</v>
      </c>
      <c r="B11" s="1611" t="s">
        <v>937</v>
      </c>
      <c r="C11" s="1613" t="s">
        <v>9</v>
      </c>
      <c r="D11" s="1611" t="s">
        <v>832</v>
      </c>
      <c r="E11" s="1611" t="s">
        <v>834</v>
      </c>
      <c r="F11" s="1611" t="s">
        <v>209</v>
      </c>
      <c r="G11" s="757" t="s">
        <v>12</v>
      </c>
      <c r="H11" s="1612" t="s">
        <v>13</v>
      </c>
      <c r="I11" s="1609" t="s">
        <v>14</v>
      </c>
      <c r="J11" s="1609" t="s">
        <v>15</v>
      </c>
      <c r="K11" s="1609" t="s">
        <v>16</v>
      </c>
      <c r="L11" s="1609" t="s">
        <v>17</v>
      </c>
      <c r="M11" s="1609" t="s">
        <v>18</v>
      </c>
      <c r="N11" s="1609" t="s">
        <v>19</v>
      </c>
      <c r="O11" s="1609" t="s">
        <v>20</v>
      </c>
    </row>
    <row r="12" spans="1:15" x14ac:dyDescent="0.25">
      <c r="A12" s="1611"/>
      <c r="B12" s="1611"/>
      <c r="C12" s="1613"/>
      <c r="D12" s="1611"/>
      <c r="E12" s="1611"/>
      <c r="F12" s="1611"/>
      <c r="G12" s="757" t="s">
        <v>21</v>
      </c>
      <c r="H12" s="1612"/>
      <c r="I12" s="1609"/>
      <c r="J12" s="1609"/>
      <c r="K12" s="1609"/>
      <c r="L12" s="1609"/>
      <c r="M12" s="1609"/>
      <c r="N12" s="1609"/>
      <c r="O12" s="160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1183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60" t="s">
        <v>7</v>
      </c>
      <c r="B13" s="1660" t="s">
        <v>937</v>
      </c>
      <c r="C13" s="1660" t="s">
        <v>8</v>
      </c>
      <c r="D13" s="1660" t="s">
        <v>10</v>
      </c>
      <c r="E13" s="1660" t="s">
        <v>11</v>
      </c>
      <c r="F13" s="419" t="s">
        <v>12</v>
      </c>
      <c r="G13" s="1660" t="s">
        <v>13</v>
      </c>
      <c r="H13" s="1660" t="s">
        <v>14</v>
      </c>
      <c r="I13" s="1660" t="s">
        <v>15</v>
      </c>
      <c r="J13" s="1660" t="s">
        <v>16</v>
      </c>
      <c r="K13" s="1660" t="s">
        <v>17</v>
      </c>
      <c r="L13" s="1660" t="s">
        <v>18</v>
      </c>
      <c r="M13" s="1660" t="s">
        <v>19</v>
      </c>
      <c r="N13" s="1660" t="s">
        <v>20</v>
      </c>
    </row>
    <row r="14" spans="1:14" x14ac:dyDescent="0.25">
      <c r="A14" s="1660"/>
      <c r="B14" s="1660"/>
      <c r="C14" s="1660"/>
      <c r="D14" s="1660"/>
      <c r="E14" s="1660"/>
      <c r="F14" s="419" t="s">
        <v>21</v>
      </c>
      <c r="G14" s="1660"/>
      <c r="H14" s="1660"/>
      <c r="I14" s="1660"/>
      <c r="J14" s="1660"/>
      <c r="K14" s="1660"/>
      <c r="L14" s="1660"/>
      <c r="M14" s="1660"/>
      <c r="N14" s="1660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626" t="s">
        <v>854</v>
      </c>
      <c r="I55" s="1626"/>
      <c r="J55" s="1626"/>
      <c r="K55" s="1626"/>
      <c r="L55" s="1626"/>
      <c r="M55" s="1626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627" t="s">
        <v>852</v>
      </c>
      <c r="I56" s="1627"/>
      <c r="J56" s="1627"/>
      <c r="K56" s="1627"/>
      <c r="L56" s="1627"/>
      <c r="M56" s="1627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628" t="s">
        <v>853</v>
      </c>
      <c r="I57" s="1628"/>
      <c r="J57" s="1628"/>
      <c r="K57" s="1628"/>
      <c r="L57" s="1628"/>
      <c r="M57" s="1628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629"/>
      <c r="J58" s="1629"/>
      <c r="K58" s="1629"/>
      <c r="L58" s="1629"/>
      <c r="M58" s="1629"/>
      <c r="N58" s="1629"/>
    </row>
    <row r="59" spans="1:14" ht="15.75" x14ac:dyDescent="0.25">
      <c r="A59" s="267"/>
      <c r="B59" s="267"/>
      <c r="C59" s="267"/>
      <c r="D59" s="268"/>
      <c r="E59" s="268"/>
      <c r="F59" s="269"/>
      <c r="G59" s="1549"/>
      <c r="H59" s="1549"/>
      <c r="I59" s="1549"/>
      <c r="J59" s="1549"/>
      <c r="K59" s="1549"/>
      <c r="L59" s="271"/>
      <c r="M59" s="271"/>
      <c r="N59" s="259"/>
    </row>
  </sheetData>
  <mergeCells count="23"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1:13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1:13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1:13" x14ac:dyDescent="0.25">
      <c r="A10" s="1551" t="s">
        <v>1181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</row>
    <row r="11" spans="1:13" x14ac:dyDescent="0.25">
      <c r="A11" s="1637" t="s">
        <v>412</v>
      </c>
      <c r="B11" s="1637"/>
      <c r="C11" s="1637"/>
      <c r="D11" s="1637"/>
      <c r="E11" s="1637"/>
      <c r="F11" s="1637"/>
      <c r="G11" s="1637"/>
      <c r="H11" s="1637"/>
      <c r="I11" s="1637"/>
      <c r="J11" s="1637"/>
      <c r="K11" s="1637"/>
      <c r="L11" s="1637"/>
      <c r="M11" s="1637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618" t="s">
        <v>7</v>
      </c>
      <c r="B13" s="1638" t="s">
        <v>937</v>
      </c>
      <c r="C13" s="1618" t="s">
        <v>9</v>
      </c>
      <c r="D13" s="1618" t="s">
        <v>832</v>
      </c>
      <c r="E13" s="421" t="s">
        <v>12</v>
      </c>
      <c r="F13" s="1619" t="s">
        <v>13</v>
      </c>
      <c r="G13" s="1615" t="s">
        <v>14</v>
      </c>
      <c r="H13" s="1615" t="s">
        <v>15</v>
      </c>
      <c r="I13" s="1615" t="s">
        <v>16</v>
      </c>
      <c r="J13" s="1615" t="s">
        <v>17</v>
      </c>
      <c r="K13" s="1615" t="s">
        <v>18</v>
      </c>
      <c r="L13" s="1615" t="s">
        <v>19</v>
      </c>
      <c r="M13" s="1615" t="s">
        <v>20</v>
      </c>
    </row>
    <row r="14" spans="1:13" x14ac:dyDescent="0.25">
      <c r="A14" s="1618"/>
      <c r="B14" s="1639"/>
      <c r="C14" s="1618"/>
      <c r="D14" s="1618"/>
      <c r="E14" s="421" t="s">
        <v>21</v>
      </c>
      <c r="F14" s="1619"/>
      <c r="G14" s="1615"/>
      <c r="H14" s="1615"/>
      <c r="I14" s="1615"/>
      <c r="J14" s="1615"/>
      <c r="K14" s="1615"/>
      <c r="L14" s="1615"/>
      <c r="M14" s="1615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626" t="s">
        <v>854</v>
      </c>
      <c r="I34" s="1626"/>
      <c r="J34" s="1626"/>
      <c r="K34" s="1626"/>
      <c r="L34" s="1626"/>
      <c r="M34" s="1626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627" t="s">
        <v>852</v>
      </c>
      <c r="I35" s="1627"/>
      <c r="J35" s="1627"/>
      <c r="K35" s="1627"/>
      <c r="L35" s="1627"/>
      <c r="M35" s="1627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628" t="s">
        <v>853</v>
      </c>
      <c r="I36" s="1628"/>
      <c r="J36" s="1628"/>
      <c r="K36" s="1628"/>
      <c r="L36" s="1628"/>
      <c r="M36" s="1628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629"/>
      <c r="J37" s="1629"/>
      <c r="K37" s="1629"/>
      <c r="L37" s="1629"/>
      <c r="M37" s="1629"/>
      <c r="N37" s="1629"/>
    </row>
    <row r="38" spans="1:14" ht="15.75" x14ac:dyDescent="0.25">
      <c r="A38" s="267"/>
      <c r="B38" s="267"/>
      <c r="C38" s="267"/>
      <c r="D38" s="268"/>
      <c r="E38" s="268"/>
      <c r="F38" s="269"/>
      <c r="G38" s="1549"/>
      <c r="H38" s="1549"/>
      <c r="I38" s="1549"/>
      <c r="J38" s="1549"/>
      <c r="K38" s="1549"/>
      <c r="L38" s="271"/>
      <c r="M38" s="271"/>
      <c r="N3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1182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886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611" t="s">
        <v>7</v>
      </c>
      <c r="B12" s="1611" t="s">
        <v>802</v>
      </c>
      <c r="C12" s="1611" t="s">
        <v>9</v>
      </c>
      <c r="D12" s="390" t="s">
        <v>12</v>
      </c>
      <c r="E12" s="1586" t="s">
        <v>13</v>
      </c>
      <c r="F12" s="1585" t="s">
        <v>14</v>
      </c>
      <c r="G12" s="1585" t="s">
        <v>15</v>
      </c>
      <c r="H12" s="1585" t="s">
        <v>16</v>
      </c>
      <c r="I12" s="1585" t="s">
        <v>17</v>
      </c>
      <c r="J12" s="1585" t="s">
        <v>18</v>
      </c>
      <c r="K12" s="1585" t="s">
        <v>19</v>
      </c>
      <c r="L12" s="1585" t="s">
        <v>20</v>
      </c>
    </row>
    <row r="13" spans="1:12" ht="16.5" customHeight="1" x14ac:dyDescent="0.25">
      <c r="A13" s="1611"/>
      <c r="B13" s="1611"/>
      <c r="C13" s="1611"/>
      <c r="D13" s="390" t="s">
        <v>21</v>
      </c>
      <c r="E13" s="1586"/>
      <c r="F13" s="1585"/>
      <c r="G13" s="1585"/>
      <c r="H13" s="1585"/>
      <c r="I13" s="1585"/>
      <c r="J13" s="1585"/>
      <c r="K13" s="1585"/>
      <c r="L13" s="1585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626" t="s">
        <v>854</v>
      </c>
      <c r="G74" s="1626"/>
      <c r="H74" s="1626"/>
      <c r="I74" s="1626"/>
      <c r="J74" s="1626"/>
      <c r="K74" s="1626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627" t="s">
        <v>852</v>
      </c>
      <c r="G75" s="1627"/>
      <c r="H75" s="1627"/>
      <c r="I75" s="1627"/>
      <c r="J75" s="1627"/>
      <c r="K75" s="1627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628" t="s">
        <v>853</v>
      </c>
      <c r="G76" s="1628"/>
      <c r="H76" s="1628"/>
      <c r="I76" s="1628"/>
      <c r="J76" s="1628"/>
      <c r="K76" s="1628"/>
      <c r="L76" s="537"/>
    </row>
    <row r="77" spans="1:12" x14ac:dyDescent="0.25">
      <c r="A77" s="546"/>
      <c r="B77" s="546"/>
      <c r="C77" s="547"/>
      <c r="D77" s="541"/>
      <c r="E77" s="540"/>
      <c r="F77" s="537"/>
      <c r="G77" s="1629"/>
      <c r="H77" s="1629"/>
      <c r="I77" s="1629"/>
      <c r="J77" s="1629"/>
      <c r="K77" s="1629"/>
      <c r="L77" s="1629"/>
    </row>
    <row r="78" spans="1:12" ht="15.75" x14ac:dyDescent="0.25">
      <c r="A78" s="267"/>
      <c r="B78" s="267"/>
      <c r="C78" s="268"/>
      <c r="D78" s="269"/>
      <c r="E78" s="1549"/>
      <c r="F78" s="1549"/>
      <c r="G78" s="1549"/>
      <c r="H78" s="1549"/>
      <c r="I78" s="1549"/>
      <c r="J78" s="271"/>
      <c r="K78" s="271"/>
      <c r="L78" s="259"/>
    </row>
    <row r="79" spans="1:12" x14ac:dyDescent="0.25">
      <c r="D79" t="s">
        <v>641</v>
      </c>
    </row>
  </sheetData>
  <mergeCells count="21">
    <mergeCell ref="B12:B13"/>
    <mergeCell ref="F76:K76"/>
    <mergeCell ref="A12:A13"/>
    <mergeCell ref="L12:L13"/>
    <mergeCell ref="C12:C13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1196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1197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611" t="s">
        <v>7</v>
      </c>
      <c r="B12" s="1611" t="s">
        <v>802</v>
      </c>
      <c r="C12" s="1611" t="s">
        <v>9</v>
      </c>
      <c r="D12" s="390" t="s">
        <v>12</v>
      </c>
      <c r="E12" s="1586" t="s">
        <v>13</v>
      </c>
      <c r="F12" s="1585" t="s">
        <v>14</v>
      </c>
      <c r="G12" s="1585" t="s">
        <v>15</v>
      </c>
      <c r="H12" s="1585" t="s">
        <v>16</v>
      </c>
      <c r="I12" s="1585" t="s">
        <v>17</v>
      </c>
      <c r="J12" s="1585" t="s">
        <v>18</v>
      </c>
      <c r="K12" s="1585" t="s">
        <v>19</v>
      </c>
      <c r="L12" s="1585" t="s">
        <v>20</v>
      </c>
    </row>
    <row r="13" spans="1:12" ht="16.5" customHeight="1" x14ac:dyDescent="0.25">
      <c r="A13" s="1611"/>
      <c r="B13" s="1611"/>
      <c r="C13" s="1611"/>
      <c r="D13" s="390" t="s">
        <v>21</v>
      </c>
      <c r="E13" s="1586"/>
      <c r="F13" s="1585"/>
      <c r="G13" s="1585"/>
      <c r="H13" s="1585"/>
      <c r="I13" s="1585"/>
      <c r="J13" s="1585"/>
      <c r="K13" s="1585"/>
      <c r="L13" s="1585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626" t="s">
        <v>854</v>
      </c>
      <c r="G36" s="1626"/>
      <c r="H36" s="1626"/>
      <c r="I36" s="1626"/>
      <c r="J36" s="1626"/>
      <c r="K36" s="1626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627" t="s">
        <v>852</v>
      </c>
      <c r="G37" s="1627"/>
      <c r="H37" s="1627"/>
      <c r="I37" s="1627"/>
      <c r="J37" s="1627"/>
      <c r="K37" s="1627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628" t="s">
        <v>853</v>
      </c>
      <c r="G38" s="1628"/>
      <c r="H38" s="1628"/>
      <c r="I38" s="1628"/>
      <c r="J38" s="1628"/>
      <c r="K38" s="1628"/>
      <c r="L38" s="537"/>
    </row>
    <row r="39" spans="1:12" x14ac:dyDescent="0.25">
      <c r="A39" s="546"/>
      <c r="B39" s="546"/>
      <c r="C39" s="547"/>
      <c r="D39" s="541"/>
      <c r="E39" s="540"/>
      <c r="F39" s="537"/>
      <c r="G39" s="1629"/>
      <c r="H39" s="1629"/>
      <c r="I39" s="1629"/>
      <c r="J39" s="1629"/>
      <c r="K39" s="1629"/>
      <c r="L39" s="1629"/>
    </row>
    <row r="40" spans="1:12" ht="15.75" x14ac:dyDescent="0.25">
      <c r="A40" s="267"/>
      <c r="B40" s="267"/>
      <c r="C40" s="268"/>
      <c r="D40" s="269"/>
      <c r="E40" s="1549"/>
      <c r="F40" s="1549"/>
      <c r="G40" s="1549"/>
      <c r="H40" s="1549"/>
      <c r="I40" s="1549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F36:K36"/>
    <mergeCell ref="E12:E13"/>
    <mergeCell ref="C12:C13"/>
    <mergeCell ref="B12:B13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676" t="s">
        <v>0</v>
      </c>
      <c r="B5" s="1676"/>
      <c r="C5" s="1676"/>
      <c r="D5" s="1676"/>
      <c r="E5" s="1676"/>
      <c r="F5" s="1676"/>
      <c r="G5" s="1676"/>
      <c r="H5" s="1676"/>
      <c r="I5" s="1676"/>
      <c r="J5" s="1676"/>
      <c r="K5" s="1676"/>
      <c r="L5" s="1676"/>
      <c r="M5" s="1676"/>
    </row>
    <row r="6" spans="1:13" x14ac:dyDescent="0.25">
      <c r="A6" s="1676" t="s">
        <v>3</v>
      </c>
      <c r="B6" s="1676"/>
      <c r="C6" s="1676"/>
      <c r="D6" s="1676"/>
      <c r="E6" s="1676"/>
      <c r="F6" s="1676"/>
      <c r="G6" s="1676"/>
      <c r="H6" s="1676"/>
      <c r="I6" s="1676"/>
      <c r="J6" s="1676"/>
      <c r="K6" s="1676"/>
      <c r="L6" s="1676"/>
      <c r="M6" s="1676"/>
    </row>
    <row r="7" spans="1:13" x14ac:dyDescent="0.25">
      <c r="A7" s="1676" t="s">
        <v>1211</v>
      </c>
      <c r="B7" s="1676"/>
      <c r="C7" s="1676"/>
      <c r="D7" s="1676"/>
      <c r="E7" s="1676"/>
      <c r="F7" s="1676"/>
      <c r="G7" s="1676"/>
      <c r="H7" s="1676"/>
      <c r="I7" s="1676"/>
      <c r="J7" s="1676"/>
      <c r="K7" s="1676"/>
      <c r="L7" s="1676"/>
      <c r="M7" s="1676"/>
    </row>
    <row r="8" spans="1:13" x14ac:dyDescent="0.25">
      <c r="A8" s="1677" t="s">
        <v>404</v>
      </c>
      <c r="B8" s="1677"/>
      <c r="C8" s="1677"/>
      <c r="D8" s="1677"/>
      <c r="E8" s="1677"/>
      <c r="F8" s="1677"/>
      <c r="G8" s="1677"/>
      <c r="H8" s="1677"/>
      <c r="I8" s="1677"/>
      <c r="J8" s="1677"/>
      <c r="K8" s="1677"/>
      <c r="L8" s="1677"/>
      <c r="M8" s="1677"/>
    </row>
    <row r="9" spans="1:13" x14ac:dyDescent="0.25">
      <c r="A9" s="1678" t="s">
        <v>7</v>
      </c>
      <c r="B9" s="1678" t="s">
        <v>802</v>
      </c>
      <c r="C9" s="1678" t="s">
        <v>9</v>
      </c>
      <c r="D9" s="1678" t="s">
        <v>11</v>
      </c>
      <c r="E9" s="772" t="s">
        <v>12</v>
      </c>
      <c r="F9" s="1680" t="s">
        <v>13</v>
      </c>
      <c r="G9" s="1674" t="s">
        <v>14</v>
      </c>
      <c r="H9" s="1674" t="s">
        <v>15</v>
      </c>
      <c r="I9" s="1674" t="s">
        <v>16</v>
      </c>
      <c r="J9" s="1674" t="s">
        <v>17</v>
      </c>
      <c r="K9" s="1674" t="s">
        <v>18</v>
      </c>
      <c r="L9" s="1674" t="s">
        <v>19</v>
      </c>
      <c r="M9" s="1674" t="s">
        <v>20</v>
      </c>
    </row>
    <row r="10" spans="1:13" x14ac:dyDescent="0.25">
      <c r="A10" s="1679"/>
      <c r="B10" s="1679"/>
      <c r="C10" s="1679"/>
      <c r="D10" s="1679"/>
      <c r="E10" s="772" t="s">
        <v>21</v>
      </c>
      <c r="F10" s="1681"/>
      <c r="G10" s="1675"/>
      <c r="H10" s="1675"/>
      <c r="I10" s="1675"/>
      <c r="J10" s="1675"/>
      <c r="K10" s="1675"/>
      <c r="L10" s="1675"/>
      <c r="M10" s="1675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1212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11" t="s">
        <v>7</v>
      </c>
      <c r="B11" s="1611" t="s">
        <v>937</v>
      </c>
      <c r="C11" s="1613" t="s">
        <v>9</v>
      </c>
      <c r="D11" s="1611" t="s">
        <v>832</v>
      </c>
      <c r="E11" s="1611" t="s">
        <v>834</v>
      </c>
      <c r="F11" s="1611" t="s">
        <v>209</v>
      </c>
      <c r="G11" s="757" t="s">
        <v>12</v>
      </c>
      <c r="H11" s="1612" t="s">
        <v>13</v>
      </c>
      <c r="I11" s="1609" t="s">
        <v>14</v>
      </c>
      <c r="J11" s="1609" t="s">
        <v>15</v>
      </c>
      <c r="K11" s="1609" t="s">
        <v>16</v>
      </c>
      <c r="L11" s="1609" t="s">
        <v>17</v>
      </c>
      <c r="M11" s="1609" t="s">
        <v>18</v>
      </c>
      <c r="N11" s="1609" t="s">
        <v>19</v>
      </c>
      <c r="O11" s="1609" t="s">
        <v>20</v>
      </c>
    </row>
    <row r="12" spans="1:15" x14ac:dyDescent="0.25">
      <c r="A12" s="1611"/>
      <c r="B12" s="1611"/>
      <c r="C12" s="1613"/>
      <c r="D12" s="1611"/>
      <c r="E12" s="1611"/>
      <c r="F12" s="1611"/>
      <c r="G12" s="757" t="s">
        <v>21</v>
      </c>
      <c r="H12" s="1612"/>
      <c r="I12" s="1609"/>
      <c r="J12" s="1609"/>
      <c r="K12" s="1609"/>
      <c r="L12" s="1609"/>
      <c r="M12" s="1609"/>
      <c r="N12" s="1609"/>
      <c r="O12" s="160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1213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60" t="s">
        <v>7</v>
      </c>
      <c r="B13" s="1660" t="s">
        <v>937</v>
      </c>
      <c r="C13" s="1660" t="s">
        <v>8</v>
      </c>
      <c r="D13" s="1660" t="s">
        <v>10</v>
      </c>
      <c r="E13" s="1660" t="s">
        <v>11</v>
      </c>
      <c r="F13" s="419" t="s">
        <v>12</v>
      </c>
      <c r="G13" s="1660" t="s">
        <v>13</v>
      </c>
      <c r="H13" s="1660" t="s">
        <v>14</v>
      </c>
      <c r="I13" s="1660" t="s">
        <v>15</v>
      </c>
      <c r="J13" s="1660" t="s">
        <v>16</v>
      </c>
      <c r="K13" s="1660" t="s">
        <v>17</v>
      </c>
      <c r="L13" s="1660" t="s">
        <v>18</v>
      </c>
      <c r="M13" s="1660" t="s">
        <v>19</v>
      </c>
      <c r="N13" s="1660" t="s">
        <v>20</v>
      </c>
    </row>
    <row r="14" spans="1:14" x14ac:dyDescent="0.25">
      <c r="A14" s="1660"/>
      <c r="B14" s="1660"/>
      <c r="C14" s="1660"/>
      <c r="D14" s="1660"/>
      <c r="E14" s="1660"/>
      <c r="F14" s="419" t="s">
        <v>21</v>
      </c>
      <c r="G14" s="1660"/>
      <c r="H14" s="1660"/>
      <c r="I14" s="1660"/>
      <c r="J14" s="1660"/>
      <c r="K14" s="1660"/>
      <c r="L14" s="1660"/>
      <c r="M14" s="1660"/>
      <c r="N14" s="1660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626" t="s">
        <v>1223</v>
      </c>
      <c r="I58" s="1626"/>
      <c r="J58" s="1626"/>
      <c r="K58" s="1626"/>
      <c r="L58" s="1626"/>
      <c r="M58" s="1626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627" t="s">
        <v>852</v>
      </c>
      <c r="I59" s="1627"/>
      <c r="J59" s="1627"/>
      <c r="K59" s="1627"/>
      <c r="L59" s="1627"/>
      <c r="M59" s="1627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628" t="s">
        <v>1224</v>
      </c>
      <c r="I60" s="1628"/>
      <c r="J60" s="1628"/>
      <c r="K60" s="1628"/>
      <c r="L60" s="1628"/>
      <c r="M60" s="1628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629"/>
      <c r="J61" s="1629"/>
      <c r="K61" s="1629"/>
      <c r="L61" s="1629"/>
      <c r="M61" s="1629"/>
      <c r="N61" s="1629"/>
    </row>
    <row r="62" spans="1:14" ht="15.75" x14ac:dyDescent="0.25">
      <c r="A62" s="267"/>
      <c r="B62" s="267"/>
      <c r="C62" s="267"/>
      <c r="D62" s="268"/>
      <c r="E62" s="268"/>
      <c r="F62" s="269"/>
      <c r="G62" s="1549"/>
      <c r="H62" s="1549"/>
      <c r="I62" s="1549"/>
      <c r="J62" s="1549"/>
      <c r="K62" s="1549"/>
      <c r="L62" s="271"/>
      <c r="M62" s="271"/>
      <c r="N62" s="259"/>
    </row>
  </sheetData>
  <mergeCells count="23"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1214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886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611" t="s">
        <v>7</v>
      </c>
      <c r="B12" s="1611" t="s">
        <v>802</v>
      </c>
      <c r="C12" s="1611" t="s">
        <v>9</v>
      </c>
      <c r="D12" s="390" t="s">
        <v>12</v>
      </c>
      <c r="E12" s="1586" t="s">
        <v>13</v>
      </c>
      <c r="F12" s="1585" t="s">
        <v>14</v>
      </c>
      <c r="G12" s="1585" t="s">
        <v>15</v>
      </c>
      <c r="H12" s="1585" t="s">
        <v>16</v>
      </c>
      <c r="I12" s="1585" t="s">
        <v>17</v>
      </c>
      <c r="J12" s="1585" t="s">
        <v>18</v>
      </c>
      <c r="K12" s="1585" t="s">
        <v>19</v>
      </c>
      <c r="L12" s="1585" t="s">
        <v>20</v>
      </c>
    </row>
    <row r="13" spans="1:12" ht="16.5" customHeight="1" x14ac:dyDescent="0.25">
      <c r="A13" s="1611"/>
      <c r="B13" s="1611"/>
      <c r="C13" s="1611"/>
      <c r="D13" s="390" t="s">
        <v>21</v>
      </c>
      <c r="E13" s="1586"/>
      <c r="F13" s="1585"/>
      <c r="G13" s="1585"/>
      <c r="H13" s="1585"/>
      <c r="I13" s="1585"/>
      <c r="J13" s="1585"/>
      <c r="K13" s="1585"/>
      <c r="L13" s="1585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682" t="s">
        <v>1234</v>
      </c>
      <c r="G68" s="1682"/>
      <c r="H68" s="1682"/>
      <c r="I68" s="1682"/>
      <c r="J68" s="1682"/>
      <c r="K68" s="1682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627" t="s">
        <v>1222</v>
      </c>
      <c r="G69" s="1627"/>
      <c r="H69" s="1627"/>
      <c r="I69" s="1627"/>
      <c r="J69" s="1627"/>
      <c r="K69" s="1627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628" t="s">
        <v>1224</v>
      </c>
      <c r="G70" s="1628"/>
      <c r="H70" s="1628"/>
      <c r="I70" s="1628"/>
      <c r="J70" s="1628"/>
      <c r="K70" s="1628"/>
      <c r="L70" s="537"/>
    </row>
    <row r="71" spans="1:12" x14ac:dyDescent="0.25">
      <c r="A71" s="546"/>
      <c r="B71" s="546"/>
      <c r="C71" s="547"/>
      <c r="D71" s="541"/>
      <c r="E71" s="540"/>
      <c r="F71" s="537"/>
      <c r="G71" s="1629"/>
      <c r="H71" s="1629"/>
      <c r="I71" s="1629"/>
      <c r="J71" s="1629"/>
      <c r="K71" s="1629"/>
      <c r="L71" s="1629"/>
    </row>
    <row r="72" spans="1:12" ht="15.75" x14ac:dyDescent="0.25">
      <c r="A72" s="267"/>
      <c r="B72" s="267"/>
      <c r="C72" s="268"/>
      <c r="D72" s="269"/>
      <c r="E72" s="1549"/>
      <c r="F72" s="1549"/>
      <c r="G72" s="1549"/>
      <c r="H72" s="1549"/>
      <c r="I72" s="1549"/>
      <c r="J72" s="271"/>
      <c r="K72" s="271"/>
      <c r="L72" s="259"/>
    </row>
    <row r="73" spans="1:12" x14ac:dyDescent="0.25">
      <c r="D73" t="s">
        <v>641</v>
      </c>
    </row>
  </sheetData>
  <mergeCells count="21"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1215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1197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611" t="s">
        <v>7</v>
      </c>
      <c r="B12" s="1611" t="s">
        <v>802</v>
      </c>
      <c r="C12" s="1611" t="s">
        <v>9</v>
      </c>
      <c r="D12" s="390" t="s">
        <v>12</v>
      </c>
      <c r="E12" s="1586" t="s">
        <v>13</v>
      </c>
      <c r="F12" s="1585" t="s">
        <v>14</v>
      </c>
      <c r="G12" s="1585" t="s">
        <v>15</v>
      </c>
      <c r="H12" s="1585" t="s">
        <v>16</v>
      </c>
      <c r="I12" s="1585" t="s">
        <v>17</v>
      </c>
      <c r="J12" s="1585" t="s">
        <v>18</v>
      </c>
      <c r="K12" s="1585" t="s">
        <v>19</v>
      </c>
      <c r="L12" s="1585" t="s">
        <v>20</v>
      </c>
    </row>
    <row r="13" spans="1:12" ht="16.5" customHeight="1" x14ac:dyDescent="0.25">
      <c r="A13" s="1611"/>
      <c r="B13" s="1611"/>
      <c r="C13" s="1611"/>
      <c r="D13" s="390" t="s">
        <v>21</v>
      </c>
      <c r="E13" s="1586"/>
      <c r="F13" s="1585"/>
      <c r="G13" s="1585"/>
      <c r="H13" s="1585"/>
      <c r="I13" s="1585"/>
      <c r="J13" s="1585"/>
      <c r="K13" s="1585"/>
      <c r="L13" s="1585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626" t="s">
        <v>854</v>
      </c>
      <c r="G36" s="1626"/>
      <c r="H36" s="1626"/>
      <c r="I36" s="1626"/>
      <c r="J36" s="1626"/>
      <c r="K36" s="1626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627" t="s">
        <v>852</v>
      </c>
      <c r="G37" s="1627"/>
      <c r="H37" s="1627"/>
      <c r="I37" s="1627"/>
      <c r="J37" s="1627"/>
      <c r="K37" s="1627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628" t="s">
        <v>1236</v>
      </c>
      <c r="G38" s="1628"/>
      <c r="H38" s="1628"/>
      <c r="I38" s="1628"/>
      <c r="J38" s="1628"/>
      <c r="K38" s="1628"/>
      <c r="L38" s="537"/>
    </row>
    <row r="39" spans="1:12" x14ac:dyDescent="0.25">
      <c r="A39" s="546"/>
      <c r="B39" s="546"/>
      <c r="C39" s="547"/>
      <c r="D39" s="541"/>
      <c r="E39" s="540"/>
      <c r="F39" s="537"/>
      <c r="G39" s="1629"/>
      <c r="H39" s="1629"/>
      <c r="I39" s="1629"/>
      <c r="J39" s="1629"/>
      <c r="K39" s="1629"/>
      <c r="L39" s="1629"/>
    </row>
    <row r="40" spans="1:12" ht="15.75" x14ac:dyDescent="0.25">
      <c r="A40" s="267"/>
      <c r="B40" s="267"/>
      <c r="C40" s="268"/>
      <c r="D40" s="269"/>
      <c r="E40" s="1549"/>
      <c r="F40" s="1549"/>
      <c r="G40" s="1549"/>
      <c r="H40" s="1549"/>
      <c r="I40" s="1549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676" t="s">
        <v>0</v>
      </c>
      <c r="B5" s="1676"/>
      <c r="C5" s="1676"/>
      <c r="D5" s="1676"/>
      <c r="E5" s="1676"/>
      <c r="F5" s="1676"/>
      <c r="G5" s="1676"/>
      <c r="H5" s="1676"/>
      <c r="I5" s="1676"/>
      <c r="J5" s="1676"/>
      <c r="K5" s="1676"/>
      <c r="L5" s="1676"/>
      <c r="M5" s="1676"/>
    </row>
    <row r="6" spans="1:13" x14ac:dyDescent="0.25">
      <c r="A6" s="1676" t="s">
        <v>3</v>
      </c>
      <c r="B6" s="1676"/>
      <c r="C6" s="1676"/>
      <c r="D6" s="1676"/>
      <c r="E6" s="1676"/>
      <c r="F6" s="1676"/>
      <c r="G6" s="1676"/>
      <c r="H6" s="1676"/>
      <c r="I6" s="1676"/>
      <c r="J6" s="1676"/>
      <c r="K6" s="1676"/>
      <c r="L6" s="1676"/>
      <c r="M6" s="1676"/>
    </row>
    <row r="7" spans="1:13" x14ac:dyDescent="0.25">
      <c r="A7" s="1676" t="s">
        <v>1240</v>
      </c>
      <c r="B7" s="1676"/>
      <c r="C7" s="1676"/>
      <c r="D7" s="1676"/>
      <c r="E7" s="1676"/>
      <c r="F7" s="1676"/>
      <c r="G7" s="1676"/>
      <c r="H7" s="1676"/>
      <c r="I7" s="1676"/>
      <c r="J7" s="1676"/>
      <c r="K7" s="1676"/>
      <c r="L7" s="1676"/>
      <c r="M7" s="1676"/>
    </row>
    <row r="8" spans="1:13" x14ac:dyDescent="0.25">
      <c r="A8" s="1677" t="s">
        <v>404</v>
      </c>
      <c r="B8" s="1677"/>
      <c r="C8" s="1677"/>
      <c r="D8" s="1677"/>
      <c r="E8" s="1677"/>
      <c r="F8" s="1677"/>
      <c r="G8" s="1677"/>
      <c r="H8" s="1677"/>
      <c r="I8" s="1677"/>
      <c r="J8" s="1677"/>
      <c r="K8" s="1677"/>
      <c r="L8" s="1677"/>
      <c r="M8" s="1677"/>
    </row>
    <row r="9" spans="1:13" x14ac:dyDescent="0.25">
      <c r="A9" s="1678" t="s">
        <v>7</v>
      </c>
      <c r="B9" s="1678" t="s">
        <v>802</v>
      </c>
      <c r="C9" s="1678" t="s">
        <v>9</v>
      </c>
      <c r="D9" s="1678" t="s">
        <v>11</v>
      </c>
      <c r="E9" s="772" t="s">
        <v>12</v>
      </c>
      <c r="F9" s="1680" t="s">
        <v>13</v>
      </c>
      <c r="G9" s="1674" t="s">
        <v>14</v>
      </c>
      <c r="H9" s="1674" t="s">
        <v>15</v>
      </c>
      <c r="I9" s="1674" t="s">
        <v>16</v>
      </c>
      <c r="J9" s="1674" t="s">
        <v>17</v>
      </c>
      <c r="K9" s="1674" t="s">
        <v>18</v>
      </c>
      <c r="L9" s="1674" t="s">
        <v>19</v>
      </c>
      <c r="M9" s="1674" t="s">
        <v>20</v>
      </c>
    </row>
    <row r="10" spans="1:13" x14ac:dyDescent="0.25">
      <c r="A10" s="1679"/>
      <c r="B10" s="1679"/>
      <c r="C10" s="1679"/>
      <c r="D10" s="1679"/>
      <c r="E10" s="772" t="s">
        <v>21</v>
      </c>
      <c r="F10" s="1681"/>
      <c r="G10" s="1675"/>
      <c r="H10" s="1675"/>
      <c r="I10" s="1675"/>
      <c r="J10" s="1675"/>
      <c r="K10" s="1675"/>
      <c r="L10" s="1675"/>
      <c r="M10" s="1675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1241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11" t="s">
        <v>7</v>
      </c>
      <c r="B11" s="1611" t="s">
        <v>937</v>
      </c>
      <c r="C11" s="1613" t="s">
        <v>9</v>
      </c>
      <c r="D11" s="1611" t="s">
        <v>832</v>
      </c>
      <c r="E11" s="1611" t="s">
        <v>834</v>
      </c>
      <c r="F11" s="1611" t="s">
        <v>209</v>
      </c>
      <c r="G11" s="757" t="s">
        <v>12</v>
      </c>
      <c r="H11" s="1612" t="s">
        <v>13</v>
      </c>
      <c r="I11" s="1609" t="s">
        <v>14</v>
      </c>
      <c r="J11" s="1609" t="s">
        <v>15</v>
      </c>
      <c r="K11" s="1609" t="s">
        <v>16</v>
      </c>
      <c r="L11" s="1609" t="s">
        <v>17</v>
      </c>
      <c r="M11" s="1609" t="s">
        <v>18</v>
      </c>
      <c r="N11" s="1609" t="s">
        <v>19</v>
      </c>
      <c r="O11" s="1609" t="s">
        <v>20</v>
      </c>
    </row>
    <row r="12" spans="1:15" x14ac:dyDescent="0.25">
      <c r="A12" s="1611"/>
      <c r="B12" s="1611"/>
      <c r="C12" s="1613"/>
      <c r="D12" s="1611"/>
      <c r="E12" s="1611"/>
      <c r="F12" s="1611"/>
      <c r="G12" s="757" t="s">
        <v>21</v>
      </c>
      <c r="H12" s="1612"/>
      <c r="I12" s="1609"/>
      <c r="J12" s="1609"/>
      <c r="K12" s="1609"/>
      <c r="L12" s="1609"/>
      <c r="M12" s="1609"/>
      <c r="N12" s="1609"/>
      <c r="O12" s="160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1244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61" t="s">
        <v>7</v>
      </c>
      <c r="B13" s="1660" t="s">
        <v>937</v>
      </c>
      <c r="C13" s="1660" t="s">
        <v>8</v>
      </c>
      <c r="D13" s="1660" t="s">
        <v>10</v>
      </c>
      <c r="E13" s="1660" t="s">
        <v>11</v>
      </c>
      <c r="F13" s="419" t="s">
        <v>12</v>
      </c>
      <c r="G13" s="1660" t="s">
        <v>13</v>
      </c>
      <c r="H13" s="1660" t="s">
        <v>14</v>
      </c>
      <c r="I13" s="1660" t="s">
        <v>15</v>
      </c>
      <c r="J13" s="1660" t="s">
        <v>16</v>
      </c>
      <c r="K13" s="1660" t="s">
        <v>17</v>
      </c>
      <c r="L13" s="1660" t="s">
        <v>18</v>
      </c>
      <c r="M13" s="1660" t="s">
        <v>19</v>
      </c>
      <c r="N13" s="1660" t="s">
        <v>20</v>
      </c>
    </row>
    <row r="14" spans="1:14" x14ac:dyDescent="0.25">
      <c r="A14" s="1662"/>
      <c r="B14" s="1660"/>
      <c r="C14" s="1660"/>
      <c r="D14" s="1660"/>
      <c r="E14" s="1660"/>
      <c r="F14" s="419" t="s">
        <v>21</v>
      </c>
      <c r="G14" s="1660"/>
      <c r="H14" s="1660"/>
      <c r="I14" s="1660"/>
      <c r="J14" s="1660"/>
      <c r="K14" s="1660"/>
      <c r="L14" s="1660"/>
      <c r="M14" s="1660"/>
      <c r="N14" s="1660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626" t="s">
        <v>1252</v>
      </c>
      <c r="I49" s="1626"/>
      <c r="J49" s="1626"/>
      <c r="K49" s="1626"/>
      <c r="L49" s="1626"/>
      <c r="M49" s="1626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627" t="s">
        <v>852</v>
      </c>
      <c r="I50" s="1627"/>
      <c r="J50" s="1627"/>
      <c r="K50" s="1627"/>
      <c r="L50" s="1627"/>
      <c r="M50" s="1627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628" t="s">
        <v>1224</v>
      </c>
      <c r="I51" s="1628"/>
      <c r="J51" s="1628"/>
      <c r="K51" s="1628"/>
      <c r="L51" s="1628"/>
      <c r="M51" s="1628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629"/>
      <c r="J52" s="1629"/>
      <c r="K52" s="1629"/>
      <c r="L52" s="1629"/>
      <c r="M52" s="1629"/>
      <c r="N52" s="1629"/>
    </row>
    <row r="53" spans="1:14" ht="15.75" x14ac:dyDescent="0.25">
      <c r="A53" s="267"/>
      <c r="B53" s="267"/>
      <c r="C53" s="267"/>
      <c r="D53" s="268"/>
      <c r="E53" s="268"/>
      <c r="F53" s="269"/>
      <c r="G53" s="1549"/>
      <c r="H53" s="1549"/>
      <c r="I53" s="1549"/>
      <c r="J53" s="1549"/>
      <c r="K53" s="1549"/>
      <c r="L53" s="271"/>
      <c r="M53" s="271"/>
      <c r="N53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1242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886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611" t="s">
        <v>7</v>
      </c>
      <c r="B12" s="1611" t="s">
        <v>802</v>
      </c>
      <c r="C12" s="1611" t="s">
        <v>9</v>
      </c>
      <c r="D12" s="390" t="s">
        <v>12</v>
      </c>
      <c r="E12" s="1586" t="s">
        <v>13</v>
      </c>
      <c r="F12" s="1585" t="s">
        <v>14</v>
      </c>
      <c r="G12" s="1585" t="s">
        <v>15</v>
      </c>
      <c r="H12" s="1585" t="s">
        <v>16</v>
      </c>
      <c r="I12" s="1585" t="s">
        <v>17</v>
      </c>
      <c r="J12" s="1585" t="s">
        <v>18</v>
      </c>
      <c r="K12" s="1585" t="s">
        <v>19</v>
      </c>
      <c r="L12" s="1585" t="s">
        <v>20</v>
      </c>
    </row>
    <row r="13" spans="1:12" ht="16.5" customHeight="1" x14ac:dyDescent="0.25">
      <c r="A13" s="1611"/>
      <c r="B13" s="1611"/>
      <c r="C13" s="1611"/>
      <c r="D13" s="390" t="s">
        <v>21</v>
      </c>
      <c r="E13" s="1586"/>
      <c r="F13" s="1585"/>
      <c r="G13" s="1585"/>
      <c r="H13" s="1585"/>
      <c r="I13" s="1585"/>
      <c r="J13" s="1585"/>
      <c r="K13" s="1585"/>
      <c r="L13" s="1585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682" t="s">
        <v>1234</v>
      </c>
      <c r="G64" s="1682"/>
      <c r="H64" s="1682"/>
      <c r="I64" s="1682"/>
      <c r="J64" s="1682"/>
      <c r="K64" s="1682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627" t="s">
        <v>1222</v>
      </c>
      <c r="G65" s="1627"/>
      <c r="H65" s="1627"/>
      <c r="I65" s="1627"/>
      <c r="J65" s="1627"/>
      <c r="K65" s="1627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628" t="s">
        <v>1224</v>
      </c>
      <c r="G66" s="1628"/>
      <c r="H66" s="1628"/>
      <c r="I66" s="1628"/>
      <c r="J66" s="1628"/>
      <c r="K66" s="1628"/>
      <c r="L66" s="537"/>
    </row>
    <row r="67" spans="1:12" x14ac:dyDescent="0.25">
      <c r="A67" s="546"/>
      <c r="B67" s="546"/>
      <c r="C67" s="547"/>
      <c r="D67" s="541"/>
      <c r="E67" s="540"/>
      <c r="F67" s="537"/>
      <c r="G67" s="1629"/>
      <c r="H67" s="1629"/>
      <c r="I67" s="1629"/>
      <c r="J67" s="1629"/>
      <c r="K67" s="1629"/>
      <c r="L67" s="1629"/>
    </row>
    <row r="68" spans="1:12" ht="15.75" x14ac:dyDescent="0.25">
      <c r="A68" s="267"/>
      <c r="B68" s="267"/>
      <c r="C68" s="268"/>
      <c r="D68" s="269"/>
      <c r="E68" s="1549"/>
      <c r="F68" s="1549"/>
      <c r="G68" s="1549"/>
      <c r="H68" s="1549"/>
      <c r="I68" s="1549"/>
      <c r="J68" s="271"/>
      <c r="K68" s="271"/>
      <c r="L68" s="259"/>
    </row>
    <row r="69" spans="1:12" x14ac:dyDescent="0.25">
      <c r="D69" t="s">
        <v>641</v>
      </c>
    </row>
  </sheetData>
  <mergeCells count="21">
    <mergeCell ref="A6:L6"/>
    <mergeCell ref="A7:L7"/>
    <mergeCell ref="A8:L8"/>
    <mergeCell ref="A9:L9"/>
    <mergeCell ref="A10:L10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12:A13"/>
    <mergeCell ref="C12:C13"/>
    <mergeCell ref="J12:J13"/>
    <mergeCell ref="L12:L13"/>
    <mergeCell ref="E12:E13"/>
    <mergeCell ref="B12:B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1243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1197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611" t="s">
        <v>7</v>
      </c>
      <c r="B12" s="1611" t="s">
        <v>802</v>
      </c>
      <c r="C12" s="1611" t="s">
        <v>9</v>
      </c>
      <c r="D12" s="390" t="s">
        <v>12</v>
      </c>
      <c r="E12" s="1586" t="s">
        <v>13</v>
      </c>
      <c r="F12" s="1585" t="s">
        <v>14</v>
      </c>
      <c r="G12" s="1585" t="s">
        <v>15</v>
      </c>
      <c r="H12" s="1585" t="s">
        <v>16</v>
      </c>
      <c r="I12" s="1585" t="s">
        <v>17</v>
      </c>
      <c r="J12" s="1585" t="s">
        <v>18</v>
      </c>
      <c r="K12" s="1585" t="s">
        <v>19</v>
      </c>
      <c r="L12" s="1585" t="s">
        <v>20</v>
      </c>
    </row>
    <row r="13" spans="1:12" ht="16.5" customHeight="1" x14ac:dyDescent="0.25">
      <c r="A13" s="1611"/>
      <c r="B13" s="1611"/>
      <c r="C13" s="1611"/>
      <c r="D13" s="390" t="s">
        <v>21</v>
      </c>
      <c r="E13" s="1586"/>
      <c r="F13" s="1585"/>
      <c r="G13" s="1585"/>
      <c r="H13" s="1585"/>
      <c r="I13" s="1585"/>
      <c r="J13" s="1585"/>
      <c r="K13" s="1585"/>
      <c r="L13" s="1585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682" t="s">
        <v>1255</v>
      </c>
      <c r="G36" s="1682"/>
      <c r="H36" s="1682"/>
      <c r="I36" s="1682"/>
      <c r="J36" s="1682"/>
      <c r="K36" s="1682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627" t="s">
        <v>852</v>
      </c>
      <c r="G37" s="1627"/>
      <c r="H37" s="1627"/>
      <c r="I37" s="1627"/>
      <c r="J37" s="1627"/>
      <c r="K37" s="1627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628" t="s">
        <v>1257</v>
      </c>
      <c r="G38" s="1628"/>
      <c r="H38" s="1628"/>
      <c r="I38" s="1628"/>
      <c r="J38" s="1628"/>
      <c r="K38" s="1628"/>
      <c r="L38" s="537"/>
    </row>
    <row r="39" spans="1:12" x14ac:dyDescent="0.25">
      <c r="A39" s="546"/>
      <c r="B39" s="546"/>
      <c r="C39" s="547"/>
      <c r="D39" s="541"/>
      <c r="E39" s="540"/>
      <c r="F39" s="537"/>
      <c r="G39" s="1629"/>
      <c r="H39" s="1629"/>
      <c r="I39" s="1629"/>
      <c r="J39" s="1629"/>
      <c r="K39" s="1629"/>
      <c r="L39" s="1629"/>
    </row>
    <row r="40" spans="1:12" ht="15.75" x14ac:dyDescent="0.25">
      <c r="A40" s="267"/>
      <c r="B40" s="267"/>
      <c r="C40" s="268"/>
      <c r="D40" s="269"/>
      <c r="E40" s="1549"/>
      <c r="F40" s="1549"/>
      <c r="G40" s="1549"/>
      <c r="H40" s="1549"/>
      <c r="I40" s="1549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12:A13"/>
    <mergeCell ref="C12:C13"/>
    <mergeCell ref="J12:J13"/>
    <mergeCell ref="L12:L13"/>
    <mergeCell ref="E12:E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685" t="s">
        <v>0</v>
      </c>
      <c r="C5" s="1685"/>
      <c r="D5" s="1685"/>
      <c r="E5" s="1685"/>
      <c r="F5" s="1685"/>
      <c r="G5" s="1685"/>
      <c r="H5" s="1685"/>
      <c r="I5" s="1685"/>
      <c r="J5" s="1685"/>
      <c r="K5" s="1685"/>
      <c r="L5" s="1685"/>
      <c r="M5" s="1685"/>
      <c r="N5" s="1685"/>
    </row>
    <row r="6" spans="2:14" ht="15.75" x14ac:dyDescent="0.25">
      <c r="B6" s="1685" t="s">
        <v>3</v>
      </c>
      <c r="C6" s="1685"/>
      <c r="D6" s="1685"/>
      <c r="E6" s="1685"/>
      <c r="F6" s="1685"/>
      <c r="G6" s="1685"/>
      <c r="H6" s="1685"/>
      <c r="I6" s="1685"/>
      <c r="J6" s="1685"/>
      <c r="K6" s="1685"/>
      <c r="L6" s="1685"/>
      <c r="M6" s="1685"/>
      <c r="N6" s="1685"/>
    </row>
    <row r="7" spans="2:14" ht="15.75" x14ac:dyDescent="0.25">
      <c r="B7" s="1685" t="s">
        <v>1260</v>
      </c>
      <c r="C7" s="1685"/>
      <c r="D7" s="1685"/>
      <c r="E7" s="1685"/>
      <c r="F7" s="1685"/>
      <c r="G7" s="1685"/>
      <c r="H7" s="1685"/>
      <c r="I7" s="1685"/>
      <c r="J7" s="1685"/>
      <c r="K7" s="1685"/>
      <c r="L7" s="1685"/>
      <c r="M7" s="1685"/>
      <c r="N7" s="1685"/>
    </row>
    <row r="8" spans="2:14" ht="15.75" x14ac:dyDescent="0.25">
      <c r="B8" s="1686" t="s">
        <v>404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2:14" ht="15.75" x14ac:dyDescent="0.25">
      <c r="B9" s="1687" t="s">
        <v>7</v>
      </c>
      <c r="C9" s="1687" t="s">
        <v>802</v>
      </c>
      <c r="D9" s="1687" t="s">
        <v>9</v>
      </c>
      <c r="E9" s="1687" t="s">
        <v>11</v>
      </c>
      <c r="F9" s="870" t="s">
        <v>12</v>
      </c>
      <c r="G9" s="1689" t="s">
        <v>13</v>
      </c>
      <c r="H9" s="1688" t="s">
        <v>14</v>
      </c>
      <c r="I9" s="1688" t="s">
        <v>15</v>
      </c>
      <c r="J9" s="1688" t="s">
        <v>16</v>
      </c>
      <c r="K9" s="1688" t="s">
        <v>17</v>
      </c>
      <c r="L9" s="1688" t="s">
        <v>18</v>
      </c>
      <c r="M9" s="1688" t="s">
        <v>19</v>
      </c>
      <c r="N9" s="1688" t="s">
        <v>20</v>
      </c>
    </row>
    <row r="10" spans="2:14" ht="15.75" x14ac:dyDescent="0.25">
      <c r="B10" s="1687"/>
      <c r="C10" s="1687"/>
      <c r="D10" s="1687"/>
      <c r="E10" s="1687"/>
      <c r="F10" s="870" t="s">
        <v>21</v>
      </c>
      <c r="G10" s="1689"/>
      <c r="H10" s="1688"/>
      <c r="I10" s="1688"/>
      <c r="J10" s="1688"/>
      <c r="K10" s="1688"/>
      <c r="L10" s="1688"/>
      <c r="M10" s="1688"/>
      <c r="N10" s="1688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683" t="s">
        <v>852</v>
      </c>
      <c r="K213" s="1683"/>
      <c r="L213" s="1683"/>
      <c r="M213" s="1683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684" t="s">
        <v>1224</v>
      </c>
      <c r="K214" s="1684"/>
      <c r="L214" s="1684"/>
      <c r="M214" s="1684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G9:G10"/>
    <mergeCell ref="H9:H10"/>
    <mergeCell ref="J213:M213"/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  <mergeCell ref="K9:K10"/>
    <mergeCell ref="L9:L10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1261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11" t="s">
        <v>7</v>
      </c>
      <c r="B11" s="1611" t="s">
        <v>937</v>
      </c>
      <c r="C11" s="1613" t="s">
        <v>9</v>
      </c>
      <c r="D11" s="1611" t="s">
        <v>832</v>
      </c>
      <c r="E11" s="1611" t="s">
        <v>834</v>
      </c>
      <c r="F11" s="1611" t="s">
        <v>209</v>
      </c>
      <c r="G11" s="757" t="s">
        <v>12</v>
      </c>
      <c r="H11" s="1612" t="s">
        <v>13</v>
      </c>
      <c r="I11" s="1609" t="s">
        <v>14</v>
      </c>
      <c r="J11" s="1609" t="s">
        <v>15</v>
      </c>
      <c r="K11" s="1609" t="s">
        <v>16</v>
      </c>
      <c r="L11" s="1609" t="s">
        <v>17</v>
      </c>
      <c r="M11" s="1609" t="s">
        <v>18</v>
      </c>
      <c r="N11" s="1609" t="s">
        <v>19</v>
      </c>
      <c r="O11" s="1609" t="s">
        <v>20</v>
      </c>
    </row>
    <row r="12" spans="1:15" x14ac:dyDescent="0.25">
      <c r="A12" s="1611"/>
      <c r="B12" s="1611"/>
      <c r="C12" s="1613"/>
      <c r="D12" s="1611"/>
      <c r="E12" s="1611"/>
      <c r="F12" s="1611"/>
      <c r="G12" s="757" t="s">
        <v>21</v>
      </c>
      <c r="H12" s="1612"/>
      <c r="I12" s="1609"/>
      <c r="J12" s="1609"/>
      <c r="K12" s="1609"/>
      <c r="L12" s="1609"/>
      <c r="M12" s="1609"/>
      <c r="N12" s="1609"/>
      <c r="O12" s="1609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628" t="s">
        <v>1267</v>
      </c>
      <c r="F101" s="1628"/>
      <c r="G101" s="1628"/>
      <c r="H101" s="1628"/>
      <c r="I101" s="1628"/>
      <c r="J101" s="1628"/>
      <c r="K101" s="1628"/>
      <c r="L101" s="1628"/>
      <c r="M101" s="1628"/>
      <c r="N101" s="1628"/>
      <c r="O101" s="1628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551" t="s">
        <v>0</v>
      </c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  <c r="O7" s="1551"/>
    </row>
    <row r="8" spans="2:15" x14ac:dyDescent="0.25">
      <c r="B8" s="1551" t="s">
        <v>1</v>
      </c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  <c r="O8" s="1551"/>
    </row>
    <row r="9" spans="2:15" x14ac:dyDescent="0.25">
      <c r="B9" s="1551" t="s">
        <v>3</v>
      </c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  <c r="O9" s="1551"/>
    </row>
    <row r="10" spans="2:15" x14ac:dyDescent="0.25">
      <c r="B10" s="1551" t="s">
        <v>1262</v>
      </c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  <c r="O10" s="1551"/>
    </row>
    <row r="11" spans="2:15" x14ac:dyDescent="0.25">
      <c r="B11" s="1552" t="s">
        <v>5</v>
      </c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  <c r="O11" s="1552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61" t="s">
        <v>7</v>
      </c>
      <c r="C13" s="1660" t="s">
        <v>937</v>
      </c>
      <c r="D13" s="1660" t="s">
        <v>8</v>
      </c>
      <c r="E13" s="1660" t="s">
        <v>10</v>
      </c>
      <c r="F13" s="1660" t="s">
        <v>11</v>
      </c>
      <c r="G13" s="419" t="s">
        <v>12</v>
      </c>
      <c r="H13" s="1660" t="s">
        <v>13</v>
      </c>
      <c r="I13" s="1660" t="s">
        <v>14</v>
      </c>
      <c r="J13" s="1660" t="s">
        <v>15</v>
      </c>
      <c r="K13" s="1660" t="s">
        <v>16</v>
      </c>
      <c r="L13" s="1660" t="s">
        <v>17</v>
      </c>
      <c r="M13" s="1660" t="s">
        <v>18</v>
      </c>
      <c r="N13" s="1660" t="s">
        <v>19</v>
      </c>
      <c r="O13" s="1660" t="s">
        <v>20</v>
      </c>
    </row>
    <row r="14" spans="2:15" x14ac:dyDescent="0.25">
      <c r="B14" s="1662"/>
      <c r="C14" s="1660"/>
      <c r="D14" s="1660"/>
      <c r="E14" s="1660"/>
      <c r="F14" s="1660"/>
      <c r="G14" s="419" t="s">
        <v>21</v>
      </c>
      <c r="H14" s="1660"/>
      <c r="I14" s="1660"/>
      <c r="J14" s="1660"/>
      <c r="K14" s="1660"/>
      <c r="L14" s="1660"/>
      <c r="M14" s="1660"/>
      <c r="N14" s="1660"/>
      <c r="O14" s="1660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690" t="s">
        <v>1269</v>
      </c>
      <c r="C45" s="1690"/>
      <c r="D45" s="1690"/>
      <c r="E45" s="753"/>
      <c r="F45" s="753"/>
      <c r="G45" s="754"/>
      <c r="H45" s="755"/>
      <c r="J45" s="1691" t="s">
        <v>852</v>
      </c>
      <c r="K45" s="1691"/>
      <c r="L45" s="1691"/>
      <c r="M45" s="1691"/>
      <c r="N45" s="1691"/>
      <c r="O45" s="1691"/>
    </row>
    <row r="46" spans="2:15" s="259" customFormat="1" ht="19.5" customHeight="1" x14ac:dyDescent="0.25">
      <c r="B46" s="1628" t="s">
        <v>1270</v>
      </c>
      <c r="C46" s="1628"/>
      <c r="D46" s="1628"/>
      <c r="E46" s="753"/>
      <c r="F46" s="753"/>
      <c r="G46" s="754"/>
      <c r="H46" s="755"/>
      <c r="J46" s="1692" t="s">
        <v>1224</v>
      </c>
      <c r="K46" s="1692"/>
      <c r="L46" s="1692"/>
      <c r="M46" s="1692"/>
      <c r="N46" s="1692"/>
      <c r="O46" s="1692"/>
    </row>
    <row r="58" spans="8:15" x14ac:dyDescent="0.25">
      <c r="H58" s="540"/>
      <c r="I58" s="537"/>
      <c r="J58" s="1629"/>
      <c r="K58" s="1629"/>
      <c r="L58" s="1629"/>
      <c r="M58" s="1629"/>
      <c r="N58" s="1629"/>
      <c r="O58" s="1629"/>
    </row>
    <row r="59" spans="8:15" ht="15.75" x14ac:dyDescent="0.25">
      <c r="H59" s="1549"/>
      <c r="I59" s="1549"/>
      <c r="J59" s="1549"/>
      <c r="K59" s="1549"/>
      <c r="L59" s="1549"/>
      <c r="M59" s="271"/>
      <c r="N59" s="271"/>
      <c r="O59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3" t="s">
        <v>0</v>
      </c>
      <c r="B6" s="1693"/>
      <c r="C6" s="1693"/>
      <c r="D6" s="1693"/>
      <c r="E6" s="1693"/>
      <c r="F6" s="1693"/>
      <c r="G6" s="1693"/>
      <c r="H6" s="1693"/>
      <c r="I6" s="1693"/>
      <c r="J6" s="1693"/>
      <c r="K6" s="1693"/>
      <c r="L6" s="1693"/>
    </row>
    <row r="7" spans="1:12" x14ac:dyDescent="0.25">
      <c r="A7" s="1693" t="s">
        <v>1</v>
      </c>
      <c r="B7" s="1693"/>
      <c r="C7" s="1693"/>
      <c r="D7" s="1693"/>
      <c r="E7" s="1693"/>
      <c r="F7" s="1693"/>
      <c r="G7" s="1693"/>
      <c r="H7" s="1693"/>
      <c r="I7" s="1693"/>
      <c r="J7" s="1693"/>
      <c r="K7" s="1693"/>
      <c r="L7" s="1693"/>
    </row>
    <row r="8" spans="1:12" x14ac:dyDescent="0.25">
      <c r="A8" s="1693" t="s">
        <v>3</v>
      </c>
      <c r="B8" s="1693"/>
      <c r="C8" s="1693"/>
      <c r="D8" s="1693"/>
      <c r="E8" s="1693"/>
      <c r="F8" s="1693"/>
      <c r="G8" s="1693"/>
      <c r="H8" s="1693"/>
      <c r="I8" s="1693"/>
      <c r="J8" s="1693"/>
      <c r="K8" s="1693"/>
      <c r="L8" s="1693"/>
    </row>
    <row r="9" spans="1:12" x14ac:dyDescent="0.25">
      <c r="A9" s="1693" t="s">
        <v>1263</v>
      </c>
      <c r="B9" s="1693"/>
      <c r="C9" s="1693"/>
      <c r="D9" s="1693"/>
      <c r="E9" s="1693"/>
      <c r="F9" s="1693"/>
      <c r="G9" s="1693"/>
      <c r="H9" s="1693"/>
      <c r="I9" s="1693"/>
      <c r="J9" s="1693"/>
      <c r="K9" s="1693"/>
      <c r="L9" s="1693"/>
    </row>
    <row r="10" spans="1:12" x14ac:dyDescent="0.25">
      <c r="A10" s="1694" t="s">
        <v>886</v>
      </c>
      <c r="B10" s="1694"/>
      <c r="C10" s="1694"/>
      <c r="D10" s="1694"/>
      <c r="E10" s="1694"/>
      <c r="F10" s="1694"/>
      <c r="G10" s="1694"/>
      <c r="H10" s="1694"/>
      <c r="I10" s="1694"/>
      <c r="J10" s="1694"/>
      <c r="K10" s="1694"/>
      <c r="L10" s="1694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95" t="s">
        <v>7</v>
      </c>
      <c r="B12" s="1695" t="s">
        <v>802</v>
      </c>
      <c r="C12" s="1699" t="s">
        <v>9</v>
      </c>
      <c r="D12" s="888" t="s">
        <v>12</v>
      </c>
      <c r="E12" s="1697" t="s">
        <v>13</v>
      </c>
      <c r="F12" s="1700" t="s">
        <v>14</v>
      </c>
      <c r="G12" s="1700" t="s">
        <v>15</v>
      </c>
      <c r="H12" s="1700" t="s">
        <v>16</v>
      </c>
      <c r="I12" s="1700" t="s">
        <v>17</v>
      </c>
      <c r="J12" s="1700" t="s">
        <v>18</v>
      </c>
      <c r="K12" s="1700" t="s">
        <v>19</v>
      </c>
      <c r="L12" s="1700" t="s">
        <v>20</v>
      </c>
    </row>
    <row r="13" spans="1:12" ht="16.5" customHeight="1" x14ac:dyDescent="0.25">
      <c r="A13" s="1695"/>
      <c r="B13" s="1695"/>
      <c r="C13" s="1699"/>
      <c r="D13" s="888" t="s">
        <v>21</v>
      </c>
      <c r="E13" s="1697"/>
      <c r="F13" s="1700"/>
      <c r="G13" s="1700"/>
      <c r="H13" s="1700"/>
      <c r="I13" s="1700"/>
      <c r="J13" s="1700"/>
      <c r="K13" s="1700"/>
      <c r="L13" s="1700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696" t="s">
        <v>1234</v>
      </c>
      <c r="G59" s="1696"/>
      <c r="H59" s="1696"/>
      <c r="I59" s="1696"/>
      <c r="J59" s="1696"/>
      <c r="K59" s="1696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702" t="s">
        <v>1222</v>
      </c>
      <c r="G60" s="1702"/>
      <c r="H60" s="1702"/>
      <c r="I60" s="1702"/>
      <c r="J60" s="1702"/>
      <c r="K60" s="1702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701" t="s">
        <v>1224</v>
      </c>
      <c r="G61" s="1701"/>
      <c r="H61" s="1701"/>
      <c r="I61" s="1701"/>
      <c r="J61" s="1701"/>
      <c r="K61" s="1701"/>
      <c r="L61" s="915"/>
    </row>
    <row r="71" spans="4:12" x14ac:dyDescent="0.25">
      <c r="D71" s="924"/>
      <c r="E71" s="923"/>
      <c r="F71" s="915"/>
      <c r="G71" s="1698"/>
      <c r="H71" s="1698"/>
      <c r="I71" s="1698"/>
      <c r="J71" s="1698"/>
      <c r="K71" s="1698"/>
      <c r="L71" s="1698"/>
    </row>
    <row r="72" spans="4:12" x14ac:dyDescent="0.25">
      <c r="D72" s="925"/>
      <c r="E72" s="1694"/>
      <c r="F72" s="1694"/>
      <c r="G72" s="1694"/>
      <c r="H72" s="1694"/>
      <c r="I72" s="1694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E72:I72"/>
    <mergeCell ref="G12:G13"/>
    <mergeCell ref="H12:H13"/>
    <mergeCell ref="I12:I13"/>
    <mergeCell ref="F12:F13"/>
    <mergeCell ref="F61:K61"/>
    <mergeCell ref="K12:K13"/>
    <mergeCell ref="F60:K60"/>
    <mergeCell ref="B12:B13"/>
    <mergeCell ref="A12:A13"/>
    <mergeCell ref="F59:K59"/>
    <mergeCell ref="E12:E13"/>
    <mergeCell ref="G71:L71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1264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1197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611" t="s">
        <v>7</v>
      </c>
      <c r="B12" s="1611" t="s">
        <v>802</v>
      </c>
      <c r="C12" s="1611" t="s">
        <v>9</v>
      </c>
      <c r="D12" s="390" t="s">
        <v>12</v>
      </c>
      <c r="E12" s="1586" t="s">
        <v>13</v>
      </c>
      <c r="F12" s="1585" t="s">
        <v>14</v>
      </c>
      <c r="G12" s="1585" t="s">
        <v>15</v>
      </c>
      <c r="H12" s="1585" t="s">
        <v>16</v>
      </c>
      <c r="I12" s="1585" t="s">
        <v>17</v>
      </c>
      <c r="J12" s="1585" t="s">
        <v>18</v>
      </c>
      <c r="K12" s="1585" t="s">
        <v>19</v>
      </c>
      <c r="L12" s="1585" t="s">
        <v>20</v>
      </c>
    </row>
    <row r="13" spans="1:12" ht="15" customHeight="1" x14ac:dyDescent="0.25">
      <c r="A13" s="1611"/>
      <c r="B13" s="1611"/>
      <c r="C13" s="1611"/>
      <c r="D13" s="390" t="s">
        <v>21</v>
      </c>
      <c r="E13" s="1586"/>
      <c r="F13" s="1585"/>
      <c r="G13" s="1585"/>
      <c r="H13" s="1585"/>
      <c r="I13" s="1585"/>
      <c r="J13" s="1585"/>
      <c r="K13" s="1585"/>
      <c r="L13" s="1585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682" t="s">
        <v>1255</v>
      </c>
      <c r="G36" s="1682"/>
      <c r="H36" s="1682"/>
      <c r="I36" s="1682"/>
      <c r="J36" s="1682"/>
      <c r="K36" s="1682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627" t="s">
        <v>852</v>
      </c>
      <c r="G37" s="1627"/>
      <c r="H37" s="1627"/>
      <c r="I37" s="1627"/>
      <c r="J37" s="1627"/>
      <c r="K37" s="1627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628" t="s">
        <v>1257</v>
      </c>
      <c r="G38" s="1628"/>
      <c r="H38" s="1628"/>
      <c r="I38" s="1628"/>
      <c r="J38" s="1628"/>
      <c r="K38" s="1628"/>
      <c r="L38" s="537"/>
    </row>
    <row r="39" spans="1:12" x14ac:dyDescent="0.25">
      <c r="A39" s="546"/>
      <c r="B39" s="546"/>
      <c r="C39" s="547"/>
      <c r="D39" s="541"/>
      <c r="E39" s="540"/>
      <c r="F39" s="537"/>
      <c r="G39" s="1629"/>
      <c r="H39" s="1629"/>
      <c r="I39" s="1629"/>
      <c r="J39" s="1629"/>
      <c r="K39" s="1629"/>
      <c r="L39" s="1629"/>
    </row>
    <row r="40" spans="1:12" ht="15.75" x14ac:dyDescent="0.25">
      <c r="A40" s="267"/>
      <c r="B40" s="267"/>
      <c r="C40" s="268"/>
      <c r="D40" s="269"/>
      <c r="E40" s="1549"/>
      <c r="F40" s="1549"/>
      <c r="G40" s="1549"/>
      <c r="H40" s="1549"/>
      <c r="I40" s="1549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B12:B13"/>
    <mergeCell ref="A12:A13"/>
    <mergeCell ref="F36:K36"/>
    <mergeCell ref="E12:E13"/>
    <mergeCell ref="G39:L39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685" t="s">
        <v>0</v>
      </c>
      <c r="C5" s="1685"/>
      <c r="D5" s="1685"/>
      <c r="E5" s="1685"/>
      <c r="F5" s="1685"/>
      <c r="G5" s="1685"/>
      <c r="H5" s="1685"/>
      <c r="I5" s="1685"/>
      <c r="J5" s="1685"/>
      <c r="K5" s="1685"/>
      <c r="L5" s="1685"/>
      <c r="M5" s="1685"/>
      <c r="N5" s="1685"/>
    </row>
    <row r="6" spans="2:14" ht="15.75" x14ac:dyDescent="0.25">
      <c r="B6" s="1685" t="s">
        <v>3</v>
      </c>
      <c r="C6" s="1685"/>
      <c r="D6" s="1685"/>
      <c r="E6" s="1685"/>
      <c r="F6" s="1685"/>
      <c r="G6" s="1685"/>
      <c r="H6" s="1685"/>
      <c r="I6" s="1685"/>
      <c r="J6" s="1685"/>
      <c r="K6" s="1685"/>
      <c r="L6" s="1685"/>
      <c r="M6" s="1685"/>
      <c r="N6" s="1685"/>
    </row>
    <row r="7" spans="2:14" ht="15.75" x14ac:dyDescent="0.25">
      <c r="B7" s="1685" t="s">
        <v>1334</v>
      </c>
      <c r="C7" s="1685"/>
      <c r="D7" s="1685"/>
      <c r="E7" s="1685"/>
      <c r="F7" s="1685"/>
      <c r="G7" s="1685"/>
      <c r="H7" s="1685"/>
      <c r="I7" s="1685"/>
      <c r="J7" s="1685"/>
      <c r="K7" s="1685"/>
      <c r="L7" s="1685"/>
      <c r="M7" s="1685"/>
      <c r="N7" s="1685"/>
    </row>
    <row r="8" spans="2:14" ht="15.75" x14ac:dyDescent="0.25">
      <c r="B8" s="1686" t="s">
        <v>404</v>
      </c>
      <c r="C8" s="1686"/>
      <c r="D8" s="1686"/>
      <c r="E8" s="1686"/>
      <c r="F8" s="1686"/>
      <c r="G8" s="1686"/>
      <c r="H8" s="1686"/>
      <c r="I8" s="1686"/>
      <c r="J8" s="1686"/>
      <c r="K8" s="1686"/>
      <c r="L8" s="1686"/>
      <c r="M8" s="1686"/>
      <c r="N8" s="1686"/>
    </row>
    <row r="9" spans="2:14" ht="15.75" x14ac:dyDescent="0.25">
      <c r="B9" s="1687" t="s">
        <v>7</v>
      </c>
      <c r="C9" s="1687" t="s">
        <v>802</v>
      </c>
      <c r="D9" s="1687" t="s">
        <v>9</v>
      </c>
      <c r="E9" s="1687" t="s">
        <v>11</v>
      </c>
      <c r="F9" s="870" t="s">
        <v>12</v>
      </c>
      <c r="G9" s="1689" t="s">
        <v>13</v>
      </c>
      <c r="H9" s="1688" t="s">
        <v>14</v>
      </c>
      <c r="I9" s="1688" t="s">
        <v>15</v>
      </c>
      <c r="J9" s="1688" t="s">
        <v>16</v>
      </c>
      <c r="K9" s="1688" t="s">
        <v>17</v>
      </c>
      <c r="L9" s="1688" t="s">
        <v>18</v>
      </c>
      <c r="M9" s="1688" t="s">
        <v>19</v>
      </c>
      <c r="N9" s="1688" t="s">
        <v>20</v>
      </c>
    </row>
    <row r="10" spans="2:14" ht="15.75" x14ac:dyDescent="0.25">
      <c r="B10" s="1687"/>
      <c r="C10" s="1687"/>
      <c r="D10" s="1687"/>
      <c r="E10" s="1687"/>
      <c r="F10" s="870" t="s">
        <v>21</v>
      </c>
      <c r="G10" s="1689"/>
      <c r="H10" s="1688"/>
      <c r="I10" s="1688"/>
      <c r="J10" s="1688"/>
      <c r="K10" s="1688"/>
      <c r="L10" s="1688"/>
      <c r="M10" s="1688"/>
      <c r="N10" s="1688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683" t="s">
        <v>852</v>
      </c>
      <c r="K239" s="1683"/>
      <c r="L239" s="1683"/>
      <c r="M239" s="1683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684" t="s">
        <v>1224</v>
      </c>
      <c r="K240" s="1684"/>
      <c r="L240" s="1684"/>
      <c r="M240" s="1684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J239:M239"/>
    <mergeCell ref="J240:M240"/>
    <mergeCell ref="I9:I10"/>
    <mergeCell ref="J9:J10"/>
    <mergeCell ref="K9:K10"/>
    <mergeCell ref="L9:L10"/>
    <mergeCell ref="M9:M10"/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1276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11" t="s">
        <v>7</v>
      </c>
      <c r="B11" s="1611" t="s">
        <v>937</v>
      </c>
      <c r="C11" s="1613" t="s">
        <v>9</v>
      </c>
      <c r="D11" s="1611" t="s">
        <v>832</v>
      </c>
      <c r="E11" s="1611" t="s">
        <v>834</v>
      </c>
      <c r="F11" s="1611" t="s">
        <v>209</v>
      </c>
      <c r="G11" s="757" t="s">
        <v>12</v>
      </c>
      <c r="H11" s="1612" t="s">
        <v>13</v>
      </c>
      <c r="I11" s="1609" t="s">
        <v>14</v>
      </c>
      <c r="J11" s="1609" t="s">
        <v>15</v>
      </c>
      <c r="K11" s="1609" t="s">
        <v>16</v>
      </c>
      <c r="L11" s="1609" t="s">
        <v>17</v>
      </c>
      <c r="M11" s="1609" t="s">
        <v>18</v>
      </c>
      <c r="N11" s="1609" t="s">
        <v>19</v>
      </c>
      <c r="O11" s="1609" t="s">
        <v>20</v>
      </c>
    </row>
    <row r="12" spans="1:15" x14ac:dyDescent="0.25">
      <c r="A12" s="1611"/>
      <c r="B12" s="1611"/>
      <c r="C12" s="1613"/>
      <c r="D12" s="1611"/>
      <c r="E12" s="1611"/>
      <c r="F12" s="1611"/>
      <c r="G12" s="757" t="s">
        <v>21</v>
      </c>
      <c r="H12" s="1612"/>
      <c r="I12" s="1609"/>
      <c r="J12" s="1609"/>
      <c r="K12" s="1609"/>
      <c r="L12" s="1609"/>
      <c r="M12" s="1609"/>
      <c r="N12" s="1609"/>
      <c r="O12" s="1609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628" t="s">
        <v>1267</v>
      </c>
      <c r="F133" s="1628"/>
      <c r="G133" s="1628"/>
      <c r="H133" s="1628"/>
      <c r="I133" s="1628"/>
      <c r="J133" s="1628"/>
      <c r="K133" s="1628"/>
      <c r="L133" s="1628"/>
      <c r="M133" s="1628"/>
      <c r="N133" s="1628"/>
      <c r="O133" s="1628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4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51" t="s">
        <v>0</v>
      </c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  <c r="O7" s="1551"/>
    </row>
    <row r="8" spans="2:15" x14ac:dyDescent="0.25">
      <c r="B8" s="1551" t="s">
        <v>1</v>
      </c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  <c r="O8" s="1551"/>
    </row>
    <row r="9" spans="2:15" x14ac:dyDescent="0.25">
      <c r="B9" s="1551" t="s">
        <v>3</v>
      </c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  <c r="O9" s="1551"/>
    </row>
    <row r="10" spans="2:15" x14ac:dyDescent="0.25">
      <c r="B10" s="1551" t="s">
        <v>1277</v>
      </c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  <c r="O10" s="1551"/>
    </row>
    <row r="11" spans="2:15" x14ac:dyDescent="0.25">
      <c r="B11" s="1552" t="s">
        <v>5</v>
      </c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  <c r="O11" s="1552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61" t="s">
        <v>7</v>
      </c>
      <c r="C13" s="1660" t="s">
        <v>937</v>
      </c>
      <c r="D13" s="1660" t="s">
        <v>8</v>
      </c>
      <c r="E13" s="1660" t="s">
        <v>10</v>
      </c>
      <c r="F13" s="1660" t="s">
        <v>11</v>
      </c>
      <c r="G13" s="419" t="s">
        <v>12</v>
      </c>
      <c r="H13" s="1660" t="s">
        <v>13</v>
      </c>
      <c r="I13" s="1660" t="s">
        <v>14</v>
      </c>
      <c r="J13" s="1660" t="s">
        <v>15</v>
      </c>
      <c r="K13" s="1660" t="s">
        <v>16</v>
      </c>
      <c r="L13" s="1660" t="s">
        <v>17</v>
      </c>
      <c r="M13" s="1660" t="s">
        <v>18</v>
      </c>
      <c r="N13" s="1660" t="s">
        <v>19</v>
      </c>
      <c r="O13" s="1660" t="s">
        <v>20</v>
      </c>
    </row>
    <row r="14" spans="2:15" x14ac:dyDescent="0.25">
      <c r="B14" s="1662"/>
      <c r="C14" s="1660"/>
      <c r="D14" s="1660"/>
      <c r="E14" s="1660"/>
      <c r="F14" s="1660"/>
      <c r="G14" s="419" t="s">
        <v>21</v>
      </c>
      <c r="H14" s="1660"/>
      <c r="I14" s="1660"/>
      <c r="J14" s="1660"/>
      <c r="K14" s="1660"/>
      <c r="L14" s="1660"/>
      <c r="M14" s="1660"/>
      <c r="N14" s="1660"/>
      <c r="O14" s="1660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690" t="s">
        <v>1269</v>
      </c>
      <c r="C47" s="1690"/>
      <c r="D47" s="1690"/>
      <c r="E47" s="753"/>
      <c r="F47" s="753"/>
      <c r="G47" s="754"/>
      <c r="H47" s="755"/>
      <c r="J47" s="1691" t="s">
        <v>852</v>
      </c>
      <c r="K47" s="1691"/>
      <c r="L47" s="1691"/>
      <c r="M47" s="1691"/>
      <c r="N47" s="1691"/>
      <c r="O47" s="1691"/>
    </row>
    <row r="48" spans="2:15" s="259" customFormat="1" ht="19.5" customHeight="1" x14ac:dyDescent="0.25">
      <c r="B48" s="1628" t="s">
        <v>1270</v>
      </c>
      <c r="C48" s="1628"/>
      <c r="D48" s="1628"/>
      <c r="E48" s="753"/>
      <c r="F48" s="753"/>
      <c r="G48" s="754"/>
      <c r="H48" s="755"/>
      <c r="J48" s="1692" t="s">
        <v>1224</v>
      </c>
      <c r="K48" s="1692"/>
      <c r="L48" s="1692"/>
      <c r="M48" s="1692"/>
      <c r="N48" s="1692"/>
      <c r="O48" s="1692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629"/>
      <c r="K60" s="1629"/>
      <c r="L60" s="1629"/>
      <c r="M60" s="1629"/>
      <c r="N60" s="1629"/>
      <c r="O60" s="1629"/>
    </row>
    <row r="61" spans="2:15" ht="15.75" x14ac:dyDescent="0.25">
      <c r="B61" s="267"/>
      <c r="C61" s="267"/>
      <c r="D61" s="267"/>
      <c r="E61" s="268"/>
      <c r="F61" s="268"/>
      <c r="G61" s="269"/>
      <c r="H61" s="1549"/>
      <c r="I61" s="1549"/>
      <c r="J61" s="1549"/>
      <c r="K61" s="1549"/>
      <c r="L61" s="1549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3" t="s">
        <v>0</v>
      </c>
      <c r="B6" s="1693"/>
      <c r="C6" s="1693"/>
      <c r="D6" s="1693"/>
      <c r="E6" s="1693"/>
      <c r="F6" s="1693"/>
      <c r="G6" s="1693"/>
      <c r="H6" s="1693"/>
      <c r="I6" s="1693"/>
      <c r="J6" s="1693"/>
      <c r="K6" s="1693"/>
      <c r="L6" s="1693"/>
    </row>
    <row r="7" spans="1:12" x14ac:dyDescent="0.25">
      <c r="A7" s="1693" t="s">
        <v>1</v>
      </c>
      <c r="B7" s="1693"/>
      <c r="C7" s="1693"/>
      <c r="D7" s="1693"/>
      <c r="E7" s="1693"/>
      <c r="F7" s="1693"/>
      <c r="G7" s="1693"/>
      <c r="H7" s="1693"/>
      <c r="I7" s="1693"/>
      <c r="J7" s="1693"/>
      <c r="K7" s="1693"/>
      <c r="L7" s="1693"/>
    </row>
    <row r="8" spans="1:12" x14ac:dyDescent="0.25">
      <c r="A8" s="1693" t="s">
        <v>3</v>
      </c>
      <c r="B8" s="1693"/>
      <c r="C8" s="1693"/>
      <c r="D8" s="1693"/>
      <c r="E8" s="1693"/>
      <c r="F8" s="1693"/>
      <c r="G8" s="1693"/>
      <c r="H8" s="1693"/>
      <c r="I8" s="1693"/>
      <c r="J8" s="1693"/>
      <c r="K8" s="1693"/>
      <c r="L8" s="1693"/>
    </row>
    <row r="9" spans="1:12" x14ac:dyDescent="0.25">
      <c r="A9" s="1693" t="s">
        <v>1274</v>
      </c>
      <c r="B9" s="1693"/>
      <c r="C9" s="1693"/>
      <c r="D9" s="1693"/>
      <c r="E9" s="1693"/>
      <c r="F9" s="1693"/>
      <c r="G9" s="1693"/>
      <c r="H9" s="1693"/>
      <c r="I9" s="1693"/>
      <c r="J9" s="1693"/>
      <c r="K9" s="1693"/>
      <c r="L9" s="1693"/>
    </row>
    <row r="10" spans="1:12" x14ac:dyDescent="0.25">
      <c r="A10" s="1694" t="s">
        <v>886</v>
      </c>
      <c r="B10" s="1694"/>
      <c r="C10" s="1694"/>
      <c r="D10" s="1694"/>
      <c r="E10" s="1694"/>
      <c r="F10" s="1694"/>
      <c r="G10" s="1694"/>
      <c r="H10" s="1694"/>
      <c r="I10" s="1694"/>
      <c r="J10" s="1694"/>
      <c r="K10" s="1694"/>
      <c r="L10" s="1694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95" t="s">
        <v>7</v>
      </c>
      <c r="B12" s="1695" t="s">
        <v>802</v>
      </c>
      <c r="C12" s="1699" t="s">
        <v>9</v>
      </c>
      <c r="D12" s="888" t="s">
        <v>12</v>
      </c>
      <c r="E12" s="1697" t="s">
        <v>13</v>
      </c>
      <c r="F12" s="1700" t="s">
        <v>14</v>
      </c>
      <c r="G12" s="1700" t="s">
        <v>15</v>
      </c>
      <c r="H12" s="1700" t="s">
        <v>16</v>
      </c>
      <c r="I12" s="1700" t="s">
        <v>17</v>
      </c>
      <c r="J12" s="1700" t="s">
        <v>18</v>
      </c>
      <c r="K12" s="1700" t="s">
        <v>19</v>
      </c>
      <c r="L12" s="1700" t="s">
        <v>20</v>
      </c>
    </row>
    <row r="13" spans="1:12" ht="16.5" customHeight="1" x14ac:dyDescent="0.25">
      <c r="A13" s="1695"/>
      <c r="B13" s="1695"/>
      <c r="C13" s="1699"/>
      <c r="D13" s="888" t="s">
        <v>21</v>
      </c>
      <c r="E13" s="1697"/>
      <c r="F13" s="1700"/>
      <c r="G13" s="1700"/>
      <c r="H13" s="1700"/>
      <c r="I13" s="1700"/>
      <c r="J13" s="1700"/>
      <c r="K13" s="1700"/>
      <c r="L13" s="1700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696" t="s">
        <v>1234</v>
      </c>
      <c r="G55" s="1696"/>
      <c r="H55" s="1696"/>
      <c r="I55" s="1696"/>
      <c r="J55" s="1696"/>
      <c r="K55" s="1696"/>
    </row>
    <row r="56" spans="1:11" x14ac:dyDescent="0.25">
      <c r="A56" s="920" t="s">
        <v>1238</v>
      </c>
      <c r="B56" s="920"/>
      <c r="C56" s="921"/>
      <c r="D56" s="915"/>
      <c r="E56" s="915"/>
      <c r="F56" s="1702" t="s">
        <v>1222</v>
      </c>
      <c r="G56" s="1702"/>
      <c r="H56" s="1702"/>
      <c r="I56" s="1702"/>
      <c r="J56" s="1702"/>
      <c r="K56" s="1702"/>
    </row>
    <row r="57" spans="1:11" x14ac:dyDescent="0.25">
      <c r="A57" s="916" t="s">
        <v>1239</v>
      </c>
      <c r="B57" s="916"/>
      <c r="C57" s="915"/>
      <c r="D57" s="915"/>
      <c r="E57" s="923"/>
      <c r="F57" s="1701" t="s">
        <v>1224</v>
      </c>
      <c r="G57" s="1701"/>
      <c r="H57" s="1701"/>
      <c r="I57" s="1701"/>
      <c r="J57" s="1701"/>
      <c r="K57" s="1701"/>
    </row>
    <row r="67" spans="4:12" x14ac:dyDescent="0.25">
      <c r="D67" s="924"/>
      <c r="E67" s="923"/>
      <c r="F67" s="915"/>
      <c r="G67" s="1698"/>
      <c r="H67" s="1698"/>
      <c r="I67" s="1698"/>
      <c r="J67" s="1698"/>
      <c r="K67" s="1698"/>
      <c r="L67" s="1698"/>
    </row>
    <row r="68" spans="4:12" x14ac:dyDescent="0.25">
      <c r="D68" s="925"/>
      <c r="E68" s="1694"/>
      <c r="F68" s="1694"/>
      <c r="G68" s="1694"/>
      <c r="H68" s="1694"/>
      <c r="I68" s="1694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1273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1197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611" t="s">
        <v>7</v>
      </c>
      <c r="B12" s="1611" t="s">
        <v>802</v>
      </c>
      <c r="C12" s="1611" t="s">
        <v>9</v>
      </c>
      <c r="D12" s="390" t="s">
        <v>12</v>
      </c>
      <c r="E12" s="1586" t="s">
        <v>13</v>
      </c>
      <c r="F12" s="1585" t="s">
        <v>14</v>
      </c>
      <c r="G12" s="1585" t="s">
        <v>15</v>
      </c>
      <c r="H12" s="1585" t="s">
        <v>16</v>
      </c>
      <c r="I12" s="1585" t="s">
        <v>17</v>
      </c>
      <c r="J12" s="1585" t="s">
        <v>18</v>
      </c>
      <c r="K12" s="1585" t="s">
        <v>19</v>
      </c>
      <c r="L12" s="1585" t="s">
        <v>20</v>
      </c>
    </row>
    <row r="13" spans="1:12" ht="15" customHeight="1" x14ac:dyDescent="0.25">
      <c r="A13" s="1611"/>
      <c r="B13" s="1611"/>
      <c r="C13" s="1611"/>
      <c r="D13" s="390" t="s">
        <v>21</v>
      </c>
      <c r="E13" s="1586"/>
      <c r="F13" s="1585"/>
      <c r="G13" s="1585"/>
      <c r="H13" s="1585"/>
      <c r="I13" s="1585"/>
      <c r="J13" s="1585"/>
      <c r="K13" s="1585"/>
      <c r="L13" s="1585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682" t="s">
        <v>1255</v>
      </c>
      <c r="G36" s="1682"/>
      <c r="H36" s="1682"/>
      <c r="I36" s="1682"/>
      <c r="J36" s="1682"/>
      <c r="K36" s="1682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627" t="s">
        <v>852</v>
      </c>
      <c r="G37" s="1627"/>
      <c r="H37" s="1627"/>
      <c r="I37" s="1627"/>
      <c r="J37" s="1627"/>
      <c r="K37" s="1627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628" t="s">
        <v>1257</v>
      </c>
      <c r="G38" s="1628"/>
      <c r="H38" s="1628"/>
      <c r="I38" s="1628"/>
      <c r="J38" s="1628"/>
      <c r="K38" s="1628"/>
      <c r="L38" s="537"/>
    </row>
    <row r="39" spans="1:12" x14ac:dyDescent="0.25">
      <c r="A39" s="546"/>
      <c r="B39" s="546"/>
      <c r="C39" s="547"/>
      <c r="D39" s="541"/>
      <c r="E39" s="540"/>
      <c r="F39" s="537"/>
      <c r="G39" s="1629"/>
      <c r="H39" s="1629"/>
      <c r="I39" s="1629"/>
      <c r="J39" s="1629"/>
      <c r="K39" s="1629"/>
      <c r="L39" s="1629"/>
    </row>
    <row r="40" spans="1:12" ht="15.75" x14ac:dyDescent="0.25">
      <c r="A40" s="267"/>
      <c r="B40" s="267"/>
      <c r="C40" s="268"/>
      <c r="D40" s="269"/>
      <c r="E40" s="1549"/>
      <c r="F40" s="1549"/>
      <c r="G40" s="1549"/>
      <c r="H40" s="1549"/>
      <c r="I40" s="1549"/>
      <c r="J40" s="271"/>
      <c r="K40" s="271"/>
      <c r="L40" s="259"/>
    </row>
    <row r="41" spans="1:12" x14ac:dyDescent="0.25">
      <c r="D41" t="s">
        <v>641</v>
      </c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topLeftCell="A92" zoomScale="77" zoomScaleNormal="77" workbookViewId="0">
      <selection activeCell="B124" sqref="B124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685" t="s">
        <v>0</v>
      </c>
      <c r="C6" s="1685"/>
      <c r="D6" s="1685"/>
      <c r="E6" s="1685"/>
      <c r="F6" s="1685"/>
      <c r="G6" s="1685"/>
      <c r="H6" s="1685"/>
      <c r="I6" s="1685"/>
      <c r="J6" s="1685"/>
      <c r="K6" s="1685"/>
      <c r="L6" s="1685"/>
      <c r="M6" s="1685"/>
      <c r="N6" s="1685"/>
    </row>
    <row r="7" spans="2:14" ht="15.75" x14ac:dyDescent="0.25">
      <c r="B7" s="1685" t="s">
        <v>3</v>
      </c>
      <c r="C7" s="1685"/>
      <c r="D7" s="1685"/>
      <c r="E7" s="1685"/>
      <c r="F7" s="1685"/>
      <c r="G7" s="1685"/>
      <c r="H7" s="1685"/>
      <c r="I7" s="1685"/>
      <c r="J7" s="1685"/>
      <c r="K7" s="1685"/>
      <c r="L7" s="1685"/>
      <c r="M7" s="1685"/>
      <c r="N7" s="1685"/>
    </row>
    <row r="8" spans="2:14" ht="15.75" x14ac:dyDescent="0.25">
      <c r="B8" s="1685" t="s">
        <v>1340</v>
      </c>
      <c r="C8" s="1685"/>
      <c r="D8" s="1685"/>
      <c r="E8" s="1685"/>
      <c r="F8" s="1685"/>
      <c r="G8" s="1685"/>
      <c r="H8" s="1685"/>
      <c r="I8" s="1685"/>
      <c r="J8" s="1685"/>
      <c r="K8" s="1685"/>
      <c r="L8" s="1685"/>
      <c r="M8" s="1685"/>
      <c r="N8" s="1685"/>
    </row>
    <row r="9" spans="2:14" ht="15.75" x14ac:dyDescent="0.25">
      <c r="B9" s="1706" t="s">
        <v>404</v>
      </c>
      <c r="C9" s="1706"/>
      <c r="D9" s="1706"/>
      <c r="E9" s="1706"/>
      <c r="F9" s="1706"/>
      <c r="G9" s="1706"/>
      <c r="H9" s="1706"/>
      <c r="I9" s="1706"/>
      <c r="J9" s="1706"/>
      <c r="K9" s="1706"/>
      <c r="L9" s="1706"/>
      <c r="M9" s="1706"/>
      <c r="N9" s="1706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707" t="s">
        <v>7</v>
      </c>
      <c r="C11" s="1707" t="s">
        <v>802</v>
      </c>
      <c r="D11" s="1707" t="s">
        <v>9</v>
      </c>
      <c r="E11" s="1707" t="s">
        <v>11</v>
      </c>
      <c r="F11" s="1057" t="s">
        <v>12</v>
      </c>
      <c r="G11" s="1704" t="s">
        <v>13</v>
      </c>
      <c r="H11" s="1705" t="s">
        <v>14</v>
      </c>
      <c r="I11" s="1705" t="s">
        <v>15</v>
      </c>
      <c r="J11" s="1705" t="s">
        <v>16</v>
      </c>
      <c r="K11" s="1705" t="s">
        <v>17</v>
      </c>
      <c r="L11" s="1705" t="s">
        <v>18</v>
      </c>
      <c r="M11" s="1705" t="s">
        <v>19</v>
      </c>
      <c r="N11" s="1705" t="s">
        <v>20</v>
      </c>
    </row>
    <row r="12" spans="2:14" ht="15.75" x14ac:dyDescent="0.25">
      <c r="B12" s="1707"/>
      <c r="C12" s="1707"/>
      <c r="D12" s="1707"/>
      <c r="E12" s="1707"/>
      <c r="F12" s="1057" t="s">
        <v>21</v>
      </c>
      <c r="G12" s="1704"/>
      <c r="H12" s="1705"/>
      <c r="I12" s="1705"/>
      <c r="J12" s="1705"/>
      <c r="K12" s="1705"/>
      <c r="L12" s="1705"/>
      <c r="M12" s="1705"/>
      <c r="N12" s="1705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703" t="s">
        <v>1271</v>
      </c>
      <c r="C248" s="1703"/>
      <c r="D248" s="874"/>
      <c r="E248" s="874"/>
      <c r="F248" s="875"/>
      <c r="G248" s="873"/>
      <c r="H248" s="873"/>
      <c r="I248" s="1683" t="s">
        <v>852</v>
      </c>
      <c r="J248" s="1683"/>
      <c r="K248" s="1683"/>
      <c r="L248" s="1683"/>
      <c r="M248" s="1683"/>
      <c r="N248" s="1683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684" t="s">
        <v>1370</v>
      </c>
      <c r="K249" s="1684"/>
      <c r="L249" s="1684"/>
      <c r="M249" s="1684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110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1341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09" t="s">
        <v>7</v>
      </c>
      <c r="B11" s="1709" t="s">
        <v>937</v>
      </c>
      <c r="C11" s="1712" t="s">
        <v>9</v>
      </c>
      <c r="D11" s="1709" t="s">
        <v>832</v>
      </c>
      <c r="E11" s="1709" t="s">
        <v>834</v>
      </c>
      <c r="F11" s="1709" t="s">
        <v>209</v>
      </c>
      <c r="G11" s="1051" t="s">
        <v>12</v>
      </c>
      <c r="H11" s="1711" t="s">
        <v>13</v>
      </c>
      <c r="I11" s="1710" t="s">
        <v>14</v>
      </c>
      <c r="J11" s="1710" t="s">
        <v>15</v>
      </c>
      <c r="K11" s="1710" t="s">
        <v>16</v>
      </c>
      <c r="L11" s="1710" t="s">
        <v>17</v>
      </c>
      <c r="M11" s="1710" t="s">
        <v>18</v>
      </c>
      <c r="N11" s="1710" t="s">
        <v>19</v>
      </c>
      <c r="O11" s="1710" t="s">
        <v>20</v>
      </c>
    </row>
    <row r="12" spans="1:15" x14ac:dyDescent="0.25">
      <c r="A12" s="1709"/>
      <c r="B12" s="1709"/>
      <c r="C12" s="1712"/>
      <c r="D12" s="1709"/>
      <c r="E12" s="1709"/>
      <c r="F12" s="1709"/>
      <c r="G12" s="1051" t="s">
        <v>21</v>
      </c>
      <c r="H12" s="1711"/>
      <c r="I12" s="1710"/>
      <c r="J12" s="1710"/>
      <c r="K12" s="1710"/>
      <c r="L12" s="1710"/>
      <c r="M12" s="1710"/>
      <c r="N12" s="1710"/>
      <c r="O12" s="1710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708" t="s">
        <v>1375</v>
      </c>
      <c r="J141" s="1708"/>
      <c r="K141" s="1708"/>
      <c r="L141" s="1708"/>
      <c r="M141" s="1708"/>
      <c r="N141" s="1708"/>
      <c r="O141" s="1708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692" t="s">
        <v>1224</v>
      </c>
      <c r="J142" s="1692"/>
      <c r="K142" s="1692"/>
      <c r="L142" s="1692"/>
      <c r="M142" s="1692"/>
      <c r="N142" s="1692"/>
      <c r="O142" s="1692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A5:O5"/>
    <mergeCell ref="A6:O6"/>
    <mergeCell ref="A7:O7"/>
    <mergeCell ref="A8:O8"/>
    <mergeCell ref="A9:O9"/>
    <mergeCell ref="A11:A12"/>
    <mergeCell ref="J11:J12"/>
    <mergeCell ref="C11:C12"/>
    <mergeCell ref="F11:F12"/>
    <mergeCell ref="B11:B12"/>
    <mergeCell ref="I11:I12"/>
    <mergeCell ref="D11:D12"/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51" t="s">
        <v>0</v>
      </c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  <c r="O7" s="1551"/>
    </row>
    <row r="8" spans="2:15" x14ac:dyDescent="0.25">
      <c r="B8" s="1551" t="s">
        <v>1</v>
      </c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  <c r="O8" s="1551"/>
    </row>
    <row r="9" spans="2:15" x14ac:dyDescent="0.25">
      <c r="B9" s="1551" t="s">
        <v>3</v>
      </c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  <c r="O9" s="1551"/>
    </row>
    <row r="10" spans="2:15" x14ac:dyDescent="0.25">
      <c r="B10" s="1551" t="s">
        <v>1342</v>
      </c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  <c r="O10" s="1551"/>
    </row>
    <row r="11" spans="2:15" x14ac:dyDescent="0.25">
      <c r="B11" s="1552" t="s">
        <v>5</v>
      </c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  <c r="O11" s="1552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714" t="s">
        <v>7</v>
      </c>
      <c r="C13" s="1713" t="s">
        <v>937</v>
      </c>
      <c r="D13" s="1713" t="s">
        <v>8</v>
      </c>
      <c r="E13" s="1713" t="s">
        <v>10</v>
      </c>
      <c r="F13" s="1713" t="s">
        <v>11</v>
      </c>
      <c r="G13" s="1047" t="s">
        <v>12</v>
      </c>
      <c r="H13" s="1713" t="s">
        <v>13</v>
      </c>
      <c r="I13" s="1713" t="s">
        <v>14</v>
      </c>
      <c r="J13" s="1713" t="s">
        <v>15</v>
      </c>
      <c r="K13" s="1713" t="s">
        <v>16</v>
      </c>
      <c r="L13" s="1713" t="s">
        <v>17</v>
      </c>
      <c r="M13" s="1713" t="s">
        <v>18</v>
      </c>
      <c r="N13" s="1713" t="s">
        <v>19</v>
      </c>
      <c r="O13" s="1713" t="s">
        <v>20</v>
      </c>
    </row>
    <row r="14" spans="2:15" x14ac:dyDescent="0.25">
      <c r="B14" s="1715"/>
      <c r="C14" s="1713"/>
      <c r="D14" s="1713"/>
      <c r="E14" s="1713"/>
      <c r="F14" s="1713"/>
      <c r="G14" s="1047" t="s">
        <v>21</v>
      </c>
      <c r="H14" s="1713"/>
      <c r="I14" s="1713"/>
      <c r="J14" s="1713"/>
      <c r="K14" s="1713"/>
      <c r="L14" s="1713"/>
      <c r="M14" s="1713"/>
      <c r="N14" s="1713"/>
      <c r="O14" s="1713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90" t="s">
        <v>1269</v>
      </c>
      <c r="C50" s="1690"/>
      <c r="D50" s="1690"/>
      <c r="E50" s="753"/>
      <c r="F50" s="753"/>
      <c r="G50" s="754"/>
      <c r="H50" s="755"/>
      <c r="J50" s="1691" t="s">
        <v>852</v>
      </c>
      <c r="K50" s="1691"/>
      <c r="L50" s="1691"/>
      <c r="M50" s="1691"/>
      <c r="N50" s="1691"/>
      <c r="O50" s="1691"/>
    </row>
    <row r="51" spans="2:15" s="259" customFormat="1" ht="19.5" customHeight="1" x14ac:dyDescent="0.25">
      <c r="B51" s="1628" t="s">
        <v>1270</v>
      </c>
      <c r="C51" s="1628"/>
      <c r="D51" s="1628"/>
      <c r="E51" s="753"/>
      <c r="F51" s="753"/>
      <c r="G51" s="754"/>
      <c r="H51" s="755"/>
      <c r="J51" s="1692" t="s">
        <v>1224</v>
      </c>
      <c r="K51" s="1692"/>
      <c r="L51" s="1692"/>
      <c r="M51" s="1692"/>
      <c r="N51" s="1692"/>
      <c r="O51" s="1692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629"/>
      <c r="K63" s="1629"/>
      <c r="L63" s="1629"/>
      <c r="M63" s="1629"/>
      <c r="N63" s="1629"/>
      <c r="O63" s="1629"/>
    </row>
    <row r="64" spans="2:15" ht="15.75" x14ac:dyDescent="0.25">
      <c r="B64" s="267"/>
      <c r="C64" s="267"/>
      <c r="D64" s="267"/>
      <c r="E64" s="268"/>
      <c r="F64" s="268"/>
      <c r="G64" s="269"/>
      <c r="H64" s="1549"/>
      <c r="I64" s="1549"/>
      <c r="J64" s="1549"/>
      <c r="K64" s="1549"/>
      <c r="L64" s="1549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E13:E14"/>
    <mergeCell ref="B7:O7"/>
    <mergeCell ref="B8:O8"/>
    <mergeCell ref="B9:O9"/>
    <mergeCell ref="B10:O10"/>
    <mergeCell ref="B11:O11"/>
    <mergeCell ref="F13:F14"/>
    <mergeCell ref="B13:B14"/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3" t="s">
        <v>0</v>
      </c>
      <c r="B6" s="1693"/>
      <c r="C6" s="1693"/>
      <c r="D6" s="1693"/>
      <c r="E6" s="1693"/>
      <c r="F6" s="1693"/>
      <c r="G6" s="1693"/>
      <c r="H6" s="1693"/>
      <c r="I6" s="1693"/>
      <c r="J6" s="1693"/>
      <c r="K6" s="1693"/>
      <c r="L6" s="1693"/>
    </row>
    <row r="7" spans="1:12" x14ac:dyDescent="0.25">
      <c r="A7" s="1693" t="s">
        <v>1</v>
      </c>
      <c r="B7" s="1693"/>
      <c r="C7" s="1693"/>
      <c r="D7" s="1693"/>
      <c r="E7" s="1693"/>
      <c r="F7" s="1693"/>
      <c r="G7" s="1693"/>
      <c r="H7" s="1693"/>
      <c r="I7" s="1693"/>
      <c r="J7" s="1693"/>
      <c r="K7" s="1693"/>
      <c r="L7" s="1693"/>
    </row>
    <row r="8" spans="1:12" x14ac:dyDescent="0.25">
      <c r="A8" s="1693" t="s">
        <v>3</v>
      </c>
      <c r="B8" s="1693"/>
      <c r="C8" s="1693"/>
      <c r="D8" s="1693"/>
      <c r="E8" s="1693"/>
      <c r="F8" s="1693"/>
      <c r="G8" s="1693"/>
      <c r="H8" s="1693"/>
      <c r="I8" s="1693"/>
      <c r="J8" s="1693"/>
      <c r="K8" s="1693"/>
      <c r="L8" s="1693"/>
    </row>
    <row r="9" spans="1:12" x14ac:dyDescent="0.25">
      <c r="A9" s="1693" t="s">
        <v>1343</v>
      </c>
      <c r="B9" s="1693"/>
      <c r="C9" s="1693"/>
      <c r="D9" s="1693"/>
      <c r="E9" s="1693"/>
      <c r="F9" s="1693"/>
      <c r="G9" s="1693"/>
      <c r="H9" s="1693"/>
      <c r="I9" s="1693"/>
      <c r="J9" s="1693"/>
      <c r="K9" s="1693"/>
      <c r="L9" s="1693"/>
    </row>
    <row r="10" spans="1:12" x14ac:dyDescent="0.25">
      <c r="A10" s="1694" t="s">
        <v>886</v>
      </c>
      <c r="B10" s="1694"/>
      <c r="C10" s="1694"/>
      <c r="D10" s="1694"/>
      <c r="E10" s="1694"/>
      <c r="F10" s="1694"/>
      <c r="G10" s="1694"/>
      <c r="H10" s="1694"/>
      <c r="I10" s="1694"/>
      <c r="J10" s="1694"/>
      <c r="K10" s="1694"/>
      <c r="L10" s="1694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717" t="s">
        <v>7</v>
      </c>
      <c r="B12" s="1717" t="s">
        <v>802</v>
      </c>
      <c r="C12" s="1718" t="s">
        <v>9</v>
      </c>
      <c r="D12" s="1046" t="s">
        <v>12</v>
      </c>
      <c r="E12" s="1719" t="s">
        <v>13</v>
      </c>
      <c r="F12" s="1716" t="s">
        <v>14</v>
      </c>
      <c r="G12" s="1716" t="s">
        <v>15</v>
      </c>
      <c r="H12" s="1716" t="s">
        <v>16</v>
      </c>
      <c r="I12" s="1716" t="s">
        <v>17</v>
      </c>
      <c r="J12" s="1716" t="s">
        <v>18</v>
      </c>
      <c r="K12" s="1716" t="s">
        <v>19</v>
      </c>
      <c r="L12" s="1716" t="s">
        <v>20</v>
      </c>
    </row>
    <row r="13" spans="1:12" ht="16.5" customHeight="1" x14ac:dyDescent="0.25">
      <c r="A13" s="1717"/>
      <c r="B13" s="1717"/>
      <c r="C13" s="1718"/>
      <c r="D13" s="1046" t="s">
        <v>21</v>
      </c>
      <c r="E13" s="1719"/>
      <c r="F13" s="1716"/>
      <c r="G13" s="1716"/>
      <c r="H13" s="1716"/>
      <c r="I13" s="1716"/>
      <c r="J13" s="1716"/>
      <c r="K13" s="1716"/>
      <c r="L13" s="1716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696" t="s">
        <v>1372</v>
      </c>
      <c r="G58" s="1696"/>
      <c r="H58" s="1696"/>
      <c r="I58" s="1696"/>
      <c r="J58" s="1696"/>
      <c r="K58" s="1696"/>
    </row>
    <row r="59" spans="1:11" x14ac:dyDescent="0.25">
      <c r="A59" s="920" t="s">
        <v>1238</v>
      </c>
      <c r="B59" s="920"/>
      <c r="C59" s="921"/>
      <c r="D59" s="915"/>
      <c r="E59" s="915"/>
      <c r="F59" s="1702" t="s">
        <v>1222</v>
      </c>
      <c r="G59" s="1702"/>
      <c r="H59" s="1702"/>
      <c r="I59" s="1702"/>
      <c r="J59" s="1702"/>
      <c r="K59" s="1702"/>
    </row>
    <row r="60" spans="1:11" x14ac:dyDescent="0.25">
      <c r="A60" s="916" t="s">
        <v>1239</v>
      </c>
      <c r="B60" s="916"/>
      <c r="C60" s="915"/>
      <c r="D60" s="915"/>
      <c r="E60" s="923"/>
      <c r="F60" s="1701" t="s">
        <v>1224</v>
      </c>
      <c r="G60" s="1701"/>
      <c r="H60" s="1701"/>
      <c r="I60" s="1701"/>
      <c r="J60" s="1701"/>
      <c r="K60" s="1701"/>
    </row>
    <row r="70" spans="4:12" x14ac:dyDescent="0.25">
      <c r="D70" s="924"/>
      <c r="E70" s="923"/>
      <c r="F70" s="915"/>
      <c r="G70" s="1698"/>
      <c r="H70" s="1698"/>
      <c r="I70" s="1698"/>
      <c r="J70" s="1698"/>
      <c r="K70" s="1698"/>
      <c r="L70" s="1698"/>
    </row>
    <row r="71" spans="4:12" x14ac:dyDescent="0.25">
      <c r="D71" s="925"/>
      <c r="E71" s="1694"/>
      <c r="F71" s="1694"/>
      <c r="G71" s="1694"/>
      <c r="H71" s="1694"/>
      <c r="I71" s="1694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E71:I71"/>
    <mergeCell ref="G12:G13"/>
    <mergeCell ref="H12:H13"/>
    <mergeCell ref="I12:I13"/>
    <mergeCell ref="J12:J13"/>
    <mergeCell ref="F12:F13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1344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1197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712" t="s">
        <v>7</v>
      </c>
      <c r="B12" s="1709" t="s">
        <v>802</v>
      </c>
      <c r="C12" s="1709" t="s">
        <v>9</v>
      </c>
      <c r="D12" s="1067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5" customHeight="1" x14ac:dyDescent="0.25">
      <c r="A13" s="1712"/>
      <c r="B13" s="1709"/>
      <c r="C13" s="1709"/>
      <c r="D13" s="1067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682" t="s">
        <v>1255</v>
      </c>
      <c r="G36" s="1682"/>
      <c r="H36" s="1682"/>
      <c r="I36" s="1682"/>
      <c r="J36" s="1682"/>
      <c r="K36" s="1682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627" t="s">
        <v>852</v>
      </c>
      <c r="G37" s="1627"/>
      <c r="H37" s="1627"/>
      <c r="I37" s="1627"/>
      <c r="J37" s="1627"/>
      <c r="K37" s="1627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628" t="s">
        <v>1257</v>
      </c>
      <c r="G38" s="1628"/>
      <c r="H38" s="1628"/>
      <c r="I38" s="1628"/>
      <c r="J38" s="1628"/>
      <c r="K38" s="1628"/>
      <c r="L38" s="537"/>
    </row>
    <row r="39" spans="1:12" x14ac:dyDescent="0.25">
      <c r="A39" s="546"/>
      <c r="B39" s="546"/>
      <c r="C39" s="547"/>
      <c r="D39" s="541"/>
      <c r="E39" s="540"/>
      <c r="F39" s="537"/>
      <c r="G39" s="1629"/>
      <c r="H39" s="1629"/>
      <c r="I39" s="1629"/>
      <c r="J39" s="1629"/>
      <c r="K39" s="1629"/>
      <c r="L39" s="1629"/>
    </row>
    <row r="40" spans="1:12" ht="15.75" x14ac:dyDescent="0.25">
      <c r="A40" s="267"/>
      <c r="B40" s="267"/>
      <c r="C40" s="268"/>
      <c r="D40" s="269"/>
      <c r="E40" s="1549"/>
      <c r="F40" s="1549"/>
      <c r="G40" s="1549"/>
      <c r="H40" s="1549"/>
      <c r="I40" s="1549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E40:I40"/>
    <mergeCell ref="G12:G13"/>
    <mergeCell ref="H12:H13"/>
    <mergeCell ref="I12:I13"/>
    <mergeCell ref="J12:J13"/>
    <mergeCell ref="F12:F13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view="pageBreakPreview" topLeftCell="C203" zoomScale="60" zoomScaleNormal="77" workbookViewId="0">
      <selection activeCell="F71" sqref="F71:N71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685" t="s">
        <v>0</v>
      </c>
      <c r="C6" s="1685"/>
      <c r="D6" s="1685"/>
      <c r="E6" s="1685"/>
      <c r="F6" s="1685"/>
      <c r="G6" s="1685"/>
      <c r="H6" s="1685"/>
      <c r="I6" s="1685"/>
      <c r="J6" s="1685"/>
      <c r="K6" s="1685"/>
      <c r="L6" s="1685"/>
      <c r="M6" s="1685"/>
      <c r="N6" s="1685"/>
    </row>
    <row r="7" spans="2:14" ht="15.75" x14ac:dyDescent="0.25">
      <c r="B7" s="1685" t="s">
        <v>3</v>
      </c>
      <c r="C7" s="1685"/>
      <c r="D7" s="1685"/>
      <c r="E7" s="1685"/>
      <c r="F7" s="1685"/>
      <c r="G7" s="1685"/>
      <c r="H7" s="1685"/>
      <c r="I7" s="1685"/>
      <c r="J7" s="1685"/>
      <c r="K7" s="1685"/>
      <c r="L7" s="1685"/>
      <c r="M7" s="1685"/>
      <c r="N7" s="1685"/>
    </row>
    <row r="8" spans="2:14" ht="15.75" x14ac:dyDescent="0.25">
      <c r="B8" s="1685" t="s">
        <v>1378</v>
      </c>
      <c r="C8" s="1685"/>
      <c r="D8" s="1685"/>
      <c r="E8" s="1685"/>
      <c r="F8" s="1685"/>
      <c r="G8" s="1685"/>
      <c r="H8" s="1685"/>
      <c r="I8" s="1685"/>
      <c r="J8" s="1685"/>
      <c r="K8" s="1685"/>
      <c r="L8" s="1685"/>
      <c r="M8" s="1685"/>
      <c r="N8" s="1685"/>
    </row>
    <row r="9" spans="2:14" ht="15.75" x14ac:dyDescent="0.25">
      <c r="B9" s="1706" t="s">
        <v>404</v>
      </c>
      <c r="C9" s="1706"/>
      <c r="D9" s="1706"/>
      <c r="E9" s="1706"/>
      <c r="F9" s="1706"/>
      <c r="G9" s="1706"/>
      <c r="H9" s="1706"/>
      <c r="I9" s="1706"/>
      <c r="J9" s="1706"/>
      <c r="K9" s="1706"/>
      <c r="L9" s="1706"/>
      <c r="M9" s="1706"/>
      <c r="N9" s="1706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707" t="s">
        <v>7</v>
      </c>
      <c r="C11" s="1707" t="s">
        <v>802</v>
      </c>
      <c r="D11" s="1707" t="s">
        <v>9</v>
      </c>
      <c r="E11" s="1707" t="s">
        <v>11</v>
      </c>
      <c r="F11" s="1057" t="s">
        <v>12</v>
      </c>
      <c r="G11" s="1704" t="s">
        <v>13</v>
      </c>
      <c r="H11" s="1705" t="s">
        <v>14</v>
      </c>
      <c r="I11" s="1705" t="s">
        <v>15</v>
      </c>
      <c r="J11" s="1705" t="s">
        <v>16</v>
      </c>
      <c r="K11" s="1705" t="s">
        <v>17</v>
      </c>
      <c r="L11" s="1705" t="s">
        <v>18</v>
      </c>
      <c r="M11" s="1705" t="s">
        <v>19</v>
      </c>
      <c r="N11" s="1705" t="s">
        <v>20</v>
      </c>
    </row>
    <row r="12" spans="2:14" ht="15.75" x14ac:dyDescent="0.25">
      <c r="B12" s="1707"/>
      <c r="C12" s="1707"/>
      <c r="D12" s="1707"/>
      <c r="E12" s="1707"/>
      <c r="F12" s="1057" t="s">
        <v>21</v>
      </c>
      <c r="G12" s="1704"/>
      <c r="H12" s="1705"/>
      <c r="I12" s="1705"/>
      <c r="J12" s="1705"/>
      <c r="K12" s="1705"/>
      <c r="L12" s="1705"/>
      <c r="M12" s="1705"/>
      <c r="N12" s="1705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>SUM(H21:H22)</f>
        <v>113500</v>
      </c>
      <c r="I23" s="965">
        <f>SUM(I21:I22)</f>
        <v>3257.45</v>
      </c>
      <c r="J23" s="965">
        <f t="shared" ref="J23:N23" si="1">SUM(J21:J22)</f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>SUM(H60:H71)</f>
        <v>373500</v>
      </c>
      <c r="I72" s="963">
        <f>SUM(I60:I71)</f>
        <v>10719.45</v>
      </c>
      <c r="J72" s="963">
        <f t="shared" ref="J72:N72" si="10">SUM(J60:J71)</f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L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>SUM(M164:M165)</f>
        <v>23190.35</v>
      </c>
      <c r="N166" s="963">
        <f>SUM(N164:N165)</f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>+H18+H23+H28+H38+H42+H47+H51+H57+H72+H87+H92+H97+H103+H108+H112+H121+H125+H130+H139+H146+H150+H154+H161+H166+H171+H185+H225</f>
        <v>6955500</v>
      </c>
      <c r="I227" s="1060">
        <f>+I18+I23+I28+I38+I42+I47+I51+I57+I72+I87+I92+I97+I103+I108+I112+I121+I125+I130+I139+I146+I150+I154+I161+I166+I171+I185+I225</f>
        <v>199622.84999999998</v>
      </c>
      <c r="J227" s="1060">
        <f t="shared" ref="J227:K227" si="39">+J18+J23+J28+J38+J42+J47+J51+J57+J72+J87+J92+J97+J103+J108+J112+J121+J125+J130+J139+J146+J150+J154+J161+J166+J171+J185+J225</f>
        <v>454384.31</v>
      </c>
      <c r="K227" s="1060">
        <f t="shared" si="39"/>
        <v>208925.52</v>
      </c>
      <c r="L227" s="1060">
        <f>+L18+L23+L28+L38+L42+L47+L51+L57+L72+L87+L92+L97+L103+L108+L112+L121+L125+L130+L139+L146+L150+L154+L161+L166+L171+L185+L225</f>
        <v>139372.03</v>
      </c>
      <c r="M227" s="1060">
        <f>+M18+M23+M28+M38+M42+M47+M51+M57+M72+M87+M92+M97+M103+M108+M112+M121+M125+M130+M139+M146+M150+M154+M161+M166+M171+M185+M225</f>
        <v>1002304.7099999996</v>
      </c>
      <c r="N227" s="1060">
        <f>+N18+N23+N28+N38+N42+N47+N51+N57+N72+N87+N92+N97+N103+N108+N112+N121+N125+N130+N139+N146+N150+N154+N161+N166+N171+N185+N225</f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703" t="s">
        <v>1271</v>
      </c>
      <c r="C251" s="1703"/>
      <c r="D251" s="874"/>
      <c r="E251" s="874"/>
      <c r="F251" s="875"/>
      <c r="G251" s="873"/>
      <c r="H251" s="873"/>
      <c r="I251" s="1683" t="s">
        <v>852</v>
      </c>
      <c r="J251" s="1683"/>
      <c r="K251" s="1683"/>
      <c r="L251" s="1683"/>
      <c r="M251" s="1683"/>
      <c r="N251" s="1683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684" t="s">
        <v>1370</v>
      </c>
      <c r="K252" s="1684"/>
      <c r="L252" s="1684"/>
      <c r="M252" s="1684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view="pageBreakPreview" topLeftCell="A9" zoomScale="70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4.285156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1379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09" t="s">
        <v>7</v>
      </c>
      <c r="B11" s="1709" t="s">
        <v>937</v>
      </c>
      <c r="C11" s="1712" t="s">
        <v>9</v>
      </c>
      <c r="D11" s="1709" t="s">
        <v>832</v>
      </c>
      <c r="E11" s="1709" t="s">
        <v>834</v>
      </c>
      <c r="F11" s="1709" t="s">
        <v>209</v>
      </c>
      <c r="G11" s="1051" t="s">
        <v>12</v>
      </c>
      <c r="H11" s="1711" t="s">
        <v>13</v>
      </c>
      <c r="I11" s="1710" t="s">
        <v>14</v>
      </c>
      <c r="J11" s="1710" t="s">
        <v>15</v>
      </c>
      <c r="K11" s="1710" t="s">
        <v>16</v>
      </c>
      <c r="L11" s="1710" t="s">
        <v>17</v>
      </c>
      <c r="M11" s="1710" t="s">
        <v>18</v>
      </c>
      <c r="N11" s="1710" t="s">
        <v>19</v>
      </c>
      <c r="O11" s="1710" t="s">
        <v>20</v>
      </c>
    </row>
    <row r="12" spans="1:15" x14ac:dyDescent="0.25">
      <c r="A12" s="1709"/>
      <c r="B12" s="1709"/>
      <c r="C12" s="1712"/>
      <c r="D12" s="1709"/>
      <c r="E12" s="1709"/>
      <c r="F12" s="1709"/>
      <c r="G12" s="1051" t="s">
        <v>21</v>
      </c>
      <c r="H12" s="1711"/>
      <c r="I12" s="1710"/>
      <c r="J12" s="1710"/>
      <c r="K12" s="1710"/>
      <c r="L12" s="1710"/>
      <c r="M12" s="1710"/>
      <c r="N12" s="1710"/>
      <c r="O12" s="1710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 t="shared" ref="H20" si="1">SUM(H19)</f>
        <v>0</v>
      </c>
      <c r="I20" s="571">
        <f t="shared" ref="I20:O20" si="2">SUM(I18:I19)</f>
        <v>145000</v>
      </c>
      <c r="J20" s="571">
        <f t="shared" si="2"/>
        <v>4161.5</v>
      </c>
      <c r="K20" s="571">
        <f t="shared" si="2"/>
        <v>11334.76</v>
      </c>
      <c r="L20" s="571">
        <f t="shared" si="2"/>
        <v>4408</v>
      </c>
      <c r="M20" s="571">
        <f t="shared" si="2"/>
        <v>9308.86</v>
      </c>
      <c r="N20" s="571">
        <f t="shared" si="2"/>
        <v>29213.120000000003</v>
      </c>
      <c r="O20" s="571">
        <f t="shared" si="2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 t="shared" ref="H25" si="3">SUM(H24)</f>
        <v>0</v>
      </c>
      <c r="I25" s="695">
        <f t="shared" ref="I25:O25" si="4">SUM(I23:I24)</f>
        <v>185000</v>
      </c>
      <c r="J25" s="695">
        <f t="shared" si="4"/>
        <v>5309.5</v>
      </c>
      <c r="K25" s="695">
        <f t="shared" si="4"/>
        <v>21002.22</v>
      </c>
      <c r="L25" s="695">
        <f t="shared" si="4"/>
        <v>5624</v>
      </c>
      <c r="M25" s="695">
        <f t="shared" si="4"/>
        <v>11055.76</v>
      </c>
      <c r="N25" s="695">
        <f t="shared" si="4"/>
        <v>42991.479999999996</v>
      </c>
      <c r="O25" s="695">
        <f t="shared" si="4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 t="shared" ref="H30" si="5">SUM(H29)</f>
        <v>0</v>
      </c>
      <c r="I30" s="695">
        <f t="shared" ref="I30:O30" si="6">SUM(I28:I29)</f>
        <v>165000</v>
      </c>
      <c r="J30" s="695">
        <f t="shared" si="6"/>
        <v>4735.5</v>
      </c>
      <c r="K30" s="695">
        <f t="shared" si="6"/>
        <v>17487.739999999998</v>
      </c>
      <c r="L30" s="695">
        <f t="shared" si="6"/>
        <v>5016</v>
      </c>
      <c r="M30" s="695">
        <f>SUM(M28:M29)</f>
        <v>1456</v>
      </c>
      <c r="N30" s="695">
        <f t="shared" si="6"/>
        <v>28695.239999999998</v>
      </c>
      <c r="O30" s="695">
        <f t="shared" si="6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7">SUM(I33)</f>
        <v>95000</v>
      </c>
      <c r="J34" s="697">
        <f t="shared" si="7"/>
        <v>2726.5</v>
      </c>
      <c r="K34" s="697">
        <f t="shared" si="7"/>
        <v>10929.24</v>
      </c>
      <c r="L34" s="697">
        <f t="shared" si="7"/>
        <v>2888</v>
      </c>
      <c r="M34" s="697">
        <f t="shared" si="7"/>
        <v>2134</v>
      </c>
      <c r="N34" s="697">
        <f t="shared" si="7"/>
        <v>18677.739999999998</v>
      </c>
      <c r="O34" s="697">
        <f t="shared" si="7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8">SUM(G37)</f>
        <v>95000</v>
      </c>
      <c r="H38" s="696">
        <f>SUM(H37)</f>
        <v>0</v>
      </c>
      <c r="I38" s="697">
        <f t="shared" si="8"/>
        <v>95000</v>
      </c>
      <c r="J38" s="697">
        <f t="shared" si="8"/>
        <v>2726.5</v>
      </c>
      <c r="K38" s="697">
        <f t="shared" si="8"/>
        <v>10929.24</v>
      </c>
      <c r="L38" s="697">
        <f t="shared" si="8"/>
        <v>2888</v>
      </c>
      <c r="M38" s="697">
        <f>SUM(M37)</f>
        <v>8637.92</v>
      </c>
      <c r="N38" s="697">
        <f t="shared" si="8"/>
        <v>25181.659999999996</v>
      </c>
      <c r="O38" s="697">
        <f t="shared" si="8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9">SUM(H43)</f>
        <v>0</v>
      </c>
      <c r="I44" s="697">
        <f t="shared" ref="I44:O44" si="10">SUM(I42:I43)</f>
        <v>150000</v>
      </c>
      <c r="J44" s="697">
        <f t="shared" si="10"/>
        <v>4305</v>
      </c>
      <c r="K44" s="697">
        <f t="shared" si="10"/>
        <v>13959.37</v>
      </c>
      <c r="L44" s="697">
        <f t="shared" si="10"/>
        <v>4560</v>
      </c>
      <c r="M44" s="697">
        <f t="shared" si="10"/>
        <v>50</v>
      </c>
      <c r="N44" s="697">
        <f t="shared" si="10"/>
        <v>22874.37</v>
      </c>
      <c r="O44" s="697">
        <f t="shared" si="10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 t="shared" ref="H49" si="11">SUM(H48)</f>
        <v>0</v>
      </c>
      <c r="I49" s="697">
        <f t="shared" ref="I49:O49" si="12">SUM(I47:I48)</f>
        <v>155000</v>
      </c>
      <c r="J49" s="697">
        <f t="shared" si="12"/>
        <v>4448.5</v>
      </c>
      <c r="K49" s="697">
        <f t="shared" si="12"/>
        <v>14665.050000000001</v>
      </c>
      <c r="L49" s="697">
        <f t="shared" si="12"/>
        <v>4712</v>
      </c>
      <c r="M49" s="697">
        <f>SUM(M47:M48)</f>
        <v>2593.4</v>
      </c>
      <c r="N49" s="697">
        <f t="shared" si="12"/>
        <v>26418.950000000004</v>
      </c>
      <c r="O49" s="697">
        <f t="shared" si="12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13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13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13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 t="shared" ref="H60" si="14">SUM(H59)</f>
        <v>0</v>
      </c>
      <c r="I60" s="697">
        <f t="shared" ref="I60:O60" si="15">SUM(I52:I59)</f>
        <v>925000</v>
      </c>
      <c r="J60" s="697">
        <f t="shared" si="15"/>
        <v>26547.5</v>
      </c>
      <c r="K60" s="697">
        <f t="shared" si="15"/>
        <v>126565.91000000002</v>
      </c>
      <c r="L60" s="697">
        <f t="shared" si="15"/>
        <v>28120</v>
      </c>
      <c r="M60" s="697">
        <f>SUM(M52:M59)</f>
        <v>2200</v>
      </c>
      <c r="N60" s="697">
        <f t="shared" si="15"/>
        <v>183433.41</v>
      </c>
      <c r="O60" s="697">
        <f t="shared" si="15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 t="shared" ref="H68" si="16">SUM(H67)</f>
        <v>0</v>
      </c>
      <c r="I68" s="695">
        <f t="shared" ref="I68:O68" si="17">SUM(I63:I67)</f>
        <v>385000</v>
      </c>
      <c r="J68" s="695">
        <f t="shared" si="17"/>
        <v>11049.5</v>
      </c>
      <c r="K68" s="695">
        <f t="shared" si="17"/>
        <v>35461.090000000004</v>
      </c>
      <c r="L68" s="695">
        <f t="shared" si="17"/>
        <v>11704</v>
      </c>
      <c r="M68" s="695">
        <f>SUM(M63:M67)</f>
        <v>125</v>
      </c>
      <c r="N68" s="695">
        <f t="shared" si="17"/>
        <v>58339.590000000004</v>
      </c>
      <c r="O68" s="695">
        <f t="shared" si="17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8">SUM(H71)</f>
        <v>0</v>
      </c>
      <c r="I72" s="695">
        <f t="shared" si="18"/>
        <v>185000</v>
      </c>
      <c r="J72" s="695">
        <f t="shared" si="18"/>
        <v>5309.5</v>
      </c>
      <c r="K72" s="695">
        <f t="shared" si="18"/>
        <v>32099.49</v>
      </c>
      <c r="L72" s="695">
        <f t="shared" si="18"/>
        <v>5624</v>
      </c>
      <c r="M72" s="695">
        <f>SUM(M71)</f>
        <v>4557.26</v>
      </c>
      <c r="N72" s="695">
        <f t="shared" si="18"/>
        <v>47590.250000000007</v>
      </c>
      <c r="O72" s="695">
        <f t="shared" si="18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 t="shared" ref="H77" si="19">SUM(H76)</f>
        <v>0</v>
      </c>
      <c r="I77" s="695">
        <f t="shared" ref="I77:O77" si="20">SUM(I75:I76)</f>
        <v>120000</v>
      </c>
      <c r="J77" s="695">
        <f t="shared" si="20"/>
        <v>3444</v>
      </c>
      <c r="K77" s="695">
        <f t="shared" si="20"/>
        <v>6973.36</v>
      </c>
      <c r="L77" s="695">
        <f t="shared" si="20"/>
        <v>3648</v>
      </c>
      <c r="M77" s="695">
        <f>SUM(M75:M76)</f>
        <v>50</v>
      </c>
      <c r="N77" s="695">
        <f t="shared" si="20"/>
        <v>14115.36</v>
      </c>
      <c r="O77" s="695">
        <f t="shared" si="20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 t="shared" ref="H81" si="21">SUM(H80)</f>
        <v>0</v>
      </c>
      <c r="I81" s="695">
        <f t="shared" ref="I81:N81" si="22">SUM(I80)</f>
        <v>120000</v>
      </c>
      <c r="J81" s="695">
        <f t="shared" si="22"/>
        <v>3444</v>
      </c>
      <c r="K81" s="695">
        <f t="shared" si="22"/>
        <v>16809.87</v>
      </c>
      <c r="L81" s="695">
        <f t="shared" si="22"/>
        <v>3648</v>
      </c>
      <c r="M81" s="695">
        <f>SUM(M80)</f>
        <v>25</v>
      </c>
      <c r="N81" s="695">
        <f t="shared" si="22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" si="23">+J83+K83+L83+M83</f>
        <v>9530.48</v>
      </c>
      <c r="O83" s="468">
        <f t="shared" ref="O83" si="24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ref="N84:N88" si="25">+J84+K84+L84+M84</f>
        <v>9530.48</v>
      </c>
      <c r="O84" s="468">
        <f t="shared" ref="O84:O88" si="26">+I84-N84</f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25"/>
        <v>9530.48</v>
      </c>
      <c r="O85" s="468">
        <f t="shared" si="26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25"/>
        <v>8294.08</v>
      </c>
      <c r="O86" s="468">
        <f t="shared" si="26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25"/>
        <v>8294.08</v>
      </c>
      <c r="O87" s="468">
        <f t="shared" si="26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25"/>
        <v>5835.18</v>
      </c>
      <c r="O88" s="468">
        <f t="shared" si="26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 t="shared" ref="H89" si="27">SUM(H88)</f>
        <v>0</v>
      </c>
      <c r="I89" s="695">
        <f t="shared" ref="I89:N89" si="28">SUM(I83:I88)</f>
        <v>395000</v>
      </c>
      <c r="J89" s="695">
        <f t="shared" si="28"/>
        <v>11336.5</v>
      </c>
      <c r="K89" s="695">
        <f t="shared" si="28"/>
        <v>27520.28</v>
      </c>
      <c r="L89" s="695">
        <f t="shared" si="28"/>
        <v>12008</v>
      </c>
      <c r="M89" s="695">
        <f>SUM(M83:M88)</f>
        <v>150</v>
      </c>
      <c r="N89" s="695">
        <f t="shared" si="28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29">SUM(H92)</f>
        <v>0</v>
      </c>
      <c r="I93" s="695">
        <f t="shared" si="29"/>
        <v>70000</v>
      </c>
      <c r="J93" s="695">
        <f t="shared" si="29"/>
        <v>2009</v>
      </c>
      <c r="K93" s="695">
        <f t="shared" si="29"/>
        <v>5368.48</v>
      </c>
      <c r="L93" s="695">
        <f t="shared" si="29"/>
        <v>2128</v>
      </c>
      <c r="M93" s="695">
        <f>SUM(M92)</f>
        <v>525</v>
      </c>
      <c r="N93" s="695">
        <f>SUM(N92)</f>
        <v>10030.48</v>
      </c>
      <c r="O93" s="695">
        <f t="shared" si="29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30">+J98+K98+L98+M98</f>
        <v>9530.48</v>
      </c>
      <c r="O98" s="468">
        <f t="shared" ref="O98:O110" si="31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30"/>
        <v>9530.48</v>
      </c>
      <c r="O99" s="468">
        <f t="shared" si="31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30"/>
        <v>10902.84</v>
      </c>
      <c r="O100" s="468">
        <f t="shared" si="31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30"/>
        <v>12153.869999999999</v>
      </c>
      <c r="O101" s="468">
        <f t="shared" si="31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30"/>
        <v>12275.210000000001</v>
      </c>
      <c r="O102" s="468">
        <f t="shared" si="31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30"/>
        <v>9530.48</v>
      </c>
      <c r="O104" s="468">
        <f t="shared" si="31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30"/>
        <v>9530.48</v>
      </c>
      <c r="O105" s="468">
        <f t="shared" si="31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30"/>
        <v>9530.48</v>
      </c>
      <c r="O106" s="468">
        <f t="shared" si="31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30"/>
        <v>8294.08</v>
      </c>
      <c r="O109" s="468">
        <f t="shared" si="31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30"/>
        <v>8294.08</v>
      </c>
      <c r="O110" s="468">
        <f t="shared" si="31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30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ref="O112:O129" si="32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 t="shared" si="32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si="32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33">+J124+K124+L124+M124</f>
        <v>3832.83</v>
      </c>
      <c r="O124" s="468">
        <f t="shared" si="32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33"/>
        <v>3532.4700000000003</v>
      </c>
      <c r="O125" s="468">
        <f t="shared" si="32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33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33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33"/>
        <v>5290.97</v>
      </c>
      <c r="O128" s="468">
        <f t="shared" si="32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33"/>
        <v>8294.08</v>
      </c>
      <c r="O129" s="468">
        <f t="shared" si="32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34">SUM(I97:I129)</f>
        <v>2170500</v>
      </c>
      <c r="J130" s="695">
        <f t="shared" si="34"/>
        <v>62293.349999999991</v>
      </c>
      <c r="K130" s="695">
        <f t="shared" si="34"/>
        <v>153987.54999999996</v>
      </c>
      <c r="L130" s="695">
        <f t="shared" si="34"/>
        <v>65983.200000000012</v>
      </c>
      <c r="M130" s="695">
        <f t="shared" si="34"/>
        <v>11117.759999999998</v>
      </c>
      <c r="N130" s="695">
        <f t="shared" si="34"/>
        <v>293381.85999999975</v>
      </c>
      <c r="O130" s="695">
        <f t="shared" si="34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35">+I15+I20+I25+I30+I34+I38+I44+I49+I60+I68+I72+I77+I81+I89+I93+I130</f>
        <v>5460500</v>
      </c>
      <c r="J132" s="1055">
        <f t="shared" si="35"/>
        <v>156716.34999999998</v>
      </c>
      <c r="K132" s="1055">
        <f t="shared" si="35"/>
        <v>517199.0199999999</v>
      </c>
      <c r="L132" s="1055">
        <f t="shared" si="35"/>
        <v>165999.20000000001</v>
      </c>
      <c r="M132" s="1055">
        <f>+M15+M20+M25+M30+M34+M38+M44+M49+M60+M68+M72+M77+M81+M89+M93+M130</f>
        <v>56083.16</v>
      </c>
      <c r="N132" s="1055">
        <f t="shared" si="35"/>
        <v>895997.72999999986</v>
      </c>
      <c r="O132" s="1055">
        <f t="shared" si="35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708" t="s">
        <v>1375</v>
      </c>
      <c r="J149" s="1708"/>
      <c r="K149" s="1708"/>
      <c r="L149" s="1708"/>
      <c r="M149" s="1708"/>
      <c r="N149" s="1708"/>
      <c r="O149" s="1708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692" t="s">
        <v>1224</v>
      </c>
      <c r="J150" s="1692"/>
      <c r="K150" s="1692"/>
      <c r="L150" s="1692"/>
      <c r="M150" s="1692"/>
      <c r="N150" s="1692"/>
      <c r="O150" s="1692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autoFilter ref="A11:O15" xr:uid="{E267E16F-F969-4DD4-88DE-AAB594F8518B}"/>
  <mergeCells count="21">
    <mergeCell ref="A5:O5"/>
    <mergeCell ref="A6:O6"/>
    <mergeCell ref="A7:O7"/>
    <mergeCell ref="A8:O8"/>
    <mergeCell ref="A9:O9"/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view="pageBreakPreview" zoomScale="60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51" t="s">
        <v>0</v>
      </c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  <c r="O7" s="1551"/>
    </row>
    <row r="8" spans="2:15" x14ac:dyDescent="0.25">
      <c r="B8" s="1551" t="s">
        <v>1</v>
      </c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  <c r="O8" s="1551"/>
    </row>
    <row r="9" spans="2:15" x14ac:dyDescent="0.25">
      <c r="B9" s="1551" t="s">
        <v>3</v>
      </c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  <c r="O9" s="1551"/>
    </row>
    <row r="10" spans="2:15" x14ac:dyDescent="0.25">
      <c r="B10" s="1551" t="s">
        <v>1380</v>
      </c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  <c r="O10" s="1551"/>
    </row>
    <row r="11" spans="2:15" x14ac:dyDescent="0.25">
      <c r="B11" s="1552" t="s">
        <v>5</v>
      </c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  <c r="O11" s="1552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714" t="s">
        <v>7</v>
      </c>
      <c r="C13" s="1713" t="s">
        <v>937</v>
      </c>
      <c r="D13" s="1713" t="s">
        <v>8</v>
      </c>
      <c r="E13" s="1713" t="s">
        <v>10</v>
      </c>
      <c r="F13" s="1713" t="s">
        <v>11</v>
      </c>
      <c r="G13" s="1047" t="s">
        <v>12</v>
      </c>
      <c r="H13" s="1713" t="s">
        <v>13</v>
      </c>
      <c r="I13" s="1713" t="s">
        <v>14</v>
      </c>
      <c r="J13" s="1713" t="s">
        <v>15</v>
      </c>
      <c r="K13" s="1713" t="s">
        <v>16</v>
      </c>
      <c r="L13" s="1713" t="s">
        <v>17</v>
      </c>
      <c r="M13" s="1713" t="s">
        <v>18</v>
      </c>
      <c r="N13" s="1713" t="s">
        <v>19</v>
      </c>
      <c r="O13" s="1713" t="s">
        <v>20</v>
      </c>
    </row>
    <row r="14" spans="2:15" x14ac:dyDescent="0.25">
      <c r="B14" s="1715"/>
      <c r="C14" s="1713"/>
      <c r="D14" s="1713"/>
      <c r="E14" s="1713"/>
      <c r="F14" s="1713"/>
      <c r="G14" s="1047" t="s">
        <v>21</v>
      </c>
      <c r="H14" s="1713"/>
      <c r="I14" s="1713"/>
      <c r="J14" s="1713"/>
      <c r="K14" s="1713"/>
      <c r="L14" s="1713"/>
      <c r="M14" s="1713"/>
      <c r="N14" s="1713"/>
      <c r="O14" s="1713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90" t="s">
        <v>1269</v>
      </c>
      <c r="C50" s="1690"/>
      <c r="D50" s="1690"/>
      <c r="E50" s="753"/>
      <c r="F50" s="753"/>
      <c r="G50" s="754"/>
      <c r="H50" s="755"/>
      <c r="J50" s="1691" t="s">
        <v>852</v>
      </c>
      <c r="K50" s="1691"/>
      <c r="L50" s="1691"/>
      <c r="M50" s="1691"/>
      <c r="N50" s="1691"/>
      <c r="O50" s="1691"/>
    </row>
    <row r="51" spans="2:15" s="259" customFormat="1" ht="19.5" customHeight="1" x14ac:dyDescent="0.25">
      <c r="B51" s="1628" t="s">
        <v>1270</v>
      </c>
      <c r="C51" s="1628"/>
      <c r="D51" s="1628"/>
      <c r="E51" s="753"/>
      <c r="F51" s="753"/>
      <c r="G51" s="754"/>
      <c r="H51" s="755"/>
      <c r="J51" s="1692" t="s">
        <v>1224</v>
      </c>
      <c r="K51" s="1692"/>
      <c r="L51" s="1692"/>
      <c r="M51" s="1692"/>
      <c r="N51" s="1692"/>
      <c r="O51" s="1692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629"/>
      <c r="K63" s="1629"/>
      <c r="L63" s="1629"/>
      <c r="M63" s="1629"/>
      <c r="N63" s="1629"/>
      <c r="O63" s="1629"/>
    </row>
    <row r="64" spans="2:15" ht="15.75" x14ac:dyDescent="0.25">
      <c r="B64" s="267"/>
      <c r="C64" s="267"/>
      <c r="D64" s="267"/>
      <c r="E64" s="268"/>
      <c r="F64" s="268"/>
      <c r="G64" s="269"/>
      <c r="H64" s="1549"/>
      <c r="I64" s="1549"/>
      <c r="J64" s="1549"/>
      <c r="K64" s="1549"/>
      <c r="L64" s="1549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13:J14"/>
    <mergeCell ref="K13:K14"/>
    <mergeCell ref="L13:L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</mergeCells>
  <pageMargins left="2.38" right="0.39" top="0.21" bottom="0.17" header="0.09" footer="0.31496062992125984"/>
  <pageSetup paperSize="3" scale="48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view="pageBreakPreview" topLeftCell="A24" zoomScaleNormal="118" zoomScaleSheetLayoutView="100" workbookViewId="0">
      <selection activeCell="B34" sqref="A1:XFD104857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3" t="s">
        <v>0</v>
      </c>
      <c r="B6" s="1693"/>
      <c r="C6" s="1693"/>
      <c r="D6" s="1693"/>
      <c r="E6" s="1693"/>
      <c r="F6" s="1693"/>
      <c r="G6" s="1693"/>
      <c r="H6" s="1693"/>
      <c r="I6" s="1693"/>
      <c r="J6" s="1693"/>
      <c r="K6" s="1693"/>
      <c r="L6" s="1693"/>
    </row>
    <row r="7" spans="1:12" x14ac:dyDescent="0.25">
      <c r="A7" s="1693" t="s">
        <v>1</v>
      </c>
      <c r="B7" s="1693"/>
      <c r="C7" s="1693"/>
      <c r="D7" s="1693"/>
      <c r="E7" s="1693"/>
      <c r="F7" s="1693"/>
      <c r="G7" s="1693"/>
      <c r="H7" s="1693"/>
      <c r="I7" s="1693"/>
      <c r="J7" s="1693"/>
      <c r="K7" s="1693"/>
      <c r="L7" s="1693"/>
    </row>
    <row r="8" spans="1:12" x14ac:dyDescent="0.25">
      <c r="A8" s="1693" t="s">
        <v>3</v>
      </c>
      <c r="B8" s="1693"/>
      <c r="C8" s="1693"/>
      <c r="D8" s="1693"/>
      <c r="E8" s="1693"/>
      <c r="F8" s="1693"/>
      <c r="G8" s="1693"/>
      <c r="H8" s="1693"/>
      <c r="I8" s="1693"/>
      <c r="J8" s="1693"/>
      <c r="K8" s="1693"/>
      <c r="L8" s="1693"/>
    </row>
    <row r="9" spans="1:12" x14ac:dyDescent="0.25">
      <c r="A9" s="1693" t="s">
        <v>1381</v>
      </c>
      <c r="B9" s="1693"/>
      <c r="C9" s="1693"/>
      <c r="D9" s="1693"/>
      <c r="E9" s="1693"/>
      <c r="F9" s="1693"/>
      <c r="G9" s="1693"/>
      <c r="H9" s="1693"/>
      <c r="I9" s="1693"/>
      <c r="J9" s="1693"/>
      <c r="K9" s="1693"/>
      <c r="L9" s="1693"/>
    </row>
    <row r="10" spans="1:12" x14ac:dyDescent="0.25">
      <c r="A10" s="1694" t="s">
        <v>886</v>
      </c>
      <c r="B10" s="1694"/>
      <c r="C10" s="1694"/>
      <c r="D10" s="1694"/>
      <c r="E10" s="1694"/>
      <c r="F10" s="1694"/>
      <c r="G10" s="1694"/>
      <c r="H10" s="1694"/>
      <c r="I10" s="1694"/>
      <c r="J10" s="1694"/>
      <c r="K10" s="1694"/>
      <c r="L10" s="1694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717" t="s">
        <v>7</v>
      </c>
      <c r="B12" s="1717" t="s">
        <v>802</v>
      </c>
      <c r="C12" s="1718" t="s">
        <v>9</v>
      </c>
      <c r="D12" s="1046" t="s">
        <v>12</v>
      </c>
      <c r="E12" s="1719" t="s">
        <v>13</v>
      </c>
      <c r="F12" s="1716" t="s">
        <v>14</v>
      </c>
      <c r="G12" s="1716" t="s">
        <v>15</v>
      </c>
      <c r="H12" s="1716" t="s">
        <v>16</v>
      </c>
      <c r="I12" s="1716" t="s">
        <v>17</v>
      </c>
      <c r="J12" s="1716" t="s">
        <v>18</v>
      </c>
      <c r="K12" s="1716" t="s">
        <v>19</v>
      </c>
      <c r="L12" s="1716" t="s">
        <v>20</v>
      </c>
    </row>
    <row r="13" spans="1:12" ht="16.5" customHeight="1" x14ac:dyDescent="0.25">
      <c r="A13" s="1717"/>
      <c r="B13" s="1717"/>
      <c r="C13" s="1718"/>
      <c r="D13" s="1046" t="s">
        <v>21</v>
      </c>
      <c r="E13" s="1719"/>
      <c r="F13" s="1716"/>
      <c r="G13" s="1716"/>
      <c r="H13" s="1716"/>
      <c r="I13" s="1716"/>
      <c r="J13" s="1716"/>
      <c r="K13" s="1716"/>
      <c r="L13" s="1716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 t="shared" ref="G24" si="2"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40000</v>
      </c>
      <c r="E38" s="899">
        <v>0</v>
      </c>
      <c r="F38" s="898">
        <f t="shared" si="5"/>
        <v>40000</v>
      </c>
      <c r="G38" s="898">
        <f t="shared" si="5"/>
        <v>1148</v>
      </c>
      <c r="H38" s="898">
        <f t="shared" si="5"/>
        <v>9409</v>
      </c>
      <c r="I38" s="898">
        <f t="shared" si="5"/>
        <v>1216</v>
      </c>
      <c r="J38" s="899">
        <v>0</v>
      </c>
      <c r="K38" s="898">
        <f t="shared" si="5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40000</v>
      </c>
      <c r="E42" s="899">
        <v>0</v>
      </c>
      <c r="F42" s="898">
        <f t="shared" si="6"/>
        <v>40000</v>
      </c>
      <c r="G42" s="898">
        <f t="shared" si="6"/>
        <v>1148</v>
      </c>
      <c r="H42" s="898">
        <f t="shared" si="6"/>
        <v>9409</v>
      </c>
      <c r="I42" s="898">
        <f t="shared" si="6"/>
        <v>1216</v>
      </c>
      <c r="J42" s="899">
        <v>0</v>
      </c>
      <c r="K42" s="898">
        <f t="shared" si="6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7">+F42+F38+F33+F29+F24+F20+F16</f>
        <v>166000</v>
      </c>
      <c r="G45" s="1043">
        <f t="shared" si="7"/>
        <v>4764.2000000000007</v>
      </c>
      <c r="H45" s="1043">
        <f t="shared" si="7"/>
        <v>32788.680000000008</v>
      </c>
      <c r="I45" s="1043">
        <f t="shared" si="7"/>
        <v>5046.3999999999996</v>
      </c>
      <c r="J45" s="1045">
        <v>0</v>
      </c>
      <c r="K45" s="1043">
        <f t="shared" si="7"/>
        <v>42599.28</v>
      </c>
      <c r="L45" s="1043">
        <f t="shared" si="7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696" t="s">
        <v>1372</v>
      </c>
      <c r="G58" s="1696"/>
      <c r="H58" s="1696"/>
      <c r="I58" s="1696"/>
      <c r="J58" s="1696"/>
      <c r="K58" s="1696"/>
    </row>
    <row r="59" spans="1:11" x14ac:dyDescent="0.25">
      <c r="A59" s="920" t="s">
        <v>1238</v>
      </c>
      <c r="B59" s="920"/>
      <c r="C59" s="921"/>
      <c r="D59" s="915"/>
      <c r="E59" s="915"/>
      <c r="F59" s="1702" t="s">
        <v>1222</v>
      </c>
      <c r="G59" s="1702"/>
      <c r="H59" s="1702"/>
      <c r="I59" s="1702"/>
      <c r="J59" s="1702"/>
      <c r="K59" s="1702"/>
    </row>
    <row r="60" spans="1:11" x14ac:dyDescent="0.25">
      <c r="A60" s="916" t="s">
        <v>1239</v>
      </c>
      <c r="B60" s="916"/>
      <c r="C60" s="915"/>
      <c r="D60" s="915"/>
      <c r="E60" s="923"/>
      <c r="F60" s="1701" t="s">
        <v>1224</v>
      </c>
      <c r="G60" s="1701"/>
      <c r="H60" s="1701"/>
      <c r="I60" s="1701"/>
      <c r="J60" s="1701"/>
      <c r="K60" s="1701"/>
    </row>
    <row r="70" spans="4:12" x14ac:dyDescent="0.25">
      <c r="D70" s="924"/>
      <c r="E70" s="923"/>
      <c r="F70" s="915"/>
      <c r="G70" s="1698"/>
      <c r="H70" s="1698"/>
      <c r="I70" s="1698"/>
      <c r="J70" s="1698"/>
      <c r="K70" s="1698"/>
      <c r="L70" s="1698"/>
    </row>
    <row r="71" spans="4:12" x14ac:dyDescent="0.25">
      <c r="D71" s="925"/>
      <c r="E71" s="1694"/>
      <c r="F71" s="1694"/>
      <c r="G71" s="1694"/>
      <c r="H71" s="1694"/>
      <c r="I71" s="1694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</mergeCells>
  <pageMargins left="1.9" right="7.0000000000000007E-2" top="0.74803149606299213" bottom="0.26" header="0.31496062992125984" footer="0.31496062992125984"/>
  <pageSetup paperSize="3" scale="48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3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1382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1197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712" t="s">
        <v>7</v>
      </c>
      <c r="B12" s="1709" t="s">
        <v>802</v>
      </c>
      <c r="C12" s="1709" t="s">
        <v>9</v>
      </c>
      <c r="D12" s="1067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5" customHeight="1" x14ac:dyDescent="0.25">
      <c r="A13" s="1712"/>
      <c r="B13" s="1709"/>
      <c r="C13" s="1709"/>
      <c r="D13" s="1067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 t="shared" ref="E16:J16" si="0"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 t="shared" si="0"/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1">+E18</f>
        <v>0</v>
      </c>
      <c r="F19" s="463">
        <f>+F18</f>
        <v>40000</v>
      </c>
      <c r="G19" s="463">
        <f t="shared" si="1"/>
        <v>1148</v>
      </c>
      <c r="H19" s="463">
        <f t="shared" si="1"/>
        <v>9409</v>
      </c>
      <c r="I19" s="463">
        <f t="shared" si="1"/>
        <v>1216</v>
      </c>
      <c r="J19" s="464">
        <f t="shared" si="1"/>
        <v>0</v>
      </c>
      <c r="K19" s="463">
        <f t="shared" si="1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682" t="s">
        <v>1255</v>
      </c>
      <c r="G34" s="1682"/>
      <c r="H34" s="1682"/>
      <c r="I34" s="1682"/>
      <c r="J34" s="1682"/>
      <c r="K34" s="1682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627" t="s">
        <v>852</v>
      </c>
      <c r="G35" s="1627"/>
      <c r="H35" s="1627"/>
      <c r="I35" s="1627"/>
      <c r="J35" s="1627"/>
      <c r="K35" s="1627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628" t="s">
        <v>1257</v>
      </c>
      <c r="G36" s="1628"/>
      <c r="H36" s="1628"/>
      <c r="I36" s="1628"/>
      <c r="J36" s="1628"/>
      <c r="K36" s="1628"/>
      <c r="L36" s="537"/>
    </row>
    <row r="37" spans="1:12" x14ac:dyDescent="0.25">
      <c r="A37" s="546"/>
      <c r="B37" s="546"/>
      <c r="C37" s="547"/>
      <c r="D37" s="541"/>
      <c r="E37" s="540"/>
      <c r="F37" s="537"/>
      <c r="G37" s="1629"/>
      <c r="H37" s="1629"/>
      <c r="I37" s="1629"/>
      <c r="J37" s="1629"/>
      <c r="K37" s="1629"/>
      <c r="L37" s="1629"/>
    </row>
    <row r="38" spans="1:12" ht="15.75" x14ac:dyDescent="0.25">
      <c r="A38" s="267"/>
      <c r="B38" s="267"/>
      <c r="C38" s="268"/>
      <c r="D38" s="269"/>
      <c r="E38" s="1549"/>
      <c r="F38" s="1549"/>
      <c r="G38" s="1549"/>
      <c r="H38" s="1549"/>
      <c r="I38" s="1549"/>
      <c r="J38" s="271"/>
      <c r="K38" s="271"/>
      <c r="L38" s="259"/>
    </row>
    <row r="39" spans="1:12" x14ac:dyDescent="0.25">
      <c r="D39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A9" sqref="A9:L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1385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1197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712" t="s">
        <v>7</v>
      </c>
      <c r="B12" s="1709" t="s">
        <v>802</v>
      </c>
      <c r="C12" s="1709" t="s">
        <v>9</v>
      </c>
      <c r="D12" s="1067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5" customHeight="1" x14ac:dyDescent="0.25">
      <c r="A13" s="1712"/>
      <c r="B13" s="1709"/>
      <c r="C13" s="1709"/>
      <c r="D13" s="1067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682" t="s">
        <v>1255</v>
      </c>
      <c r="G30" s="1682"/>
      <c r="H30" s="1682"/>
      <c r="I30" s="1682"/>
      <c r="J30" s="1682"/>
      <c r="K30" s="1682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627" t="s">
        <v>852</v>
      </c>
      <c r="G31" s="1627"/>
      <c r="H31" s="1627"/>
      <c r="I31" s="1627"/>
      <c r="J31" s="1627"/>
      <c r="K31" s="1627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628" t="s">
        <v>1257</v>
      </c>
      <c r="G32" s="1628"/>
      <c r="H32" s="1628"/>
      <c r="I32" s="1628"/>
      <c r="J32" s="1628"/>
      <c r="K32" s="1628"/>
      <c r="L32" s="537"/>
    </row>
    <row r="33" spans="1:12" x14ac:dyDescent="0.25">
      <c r="A33" s="546"/>
      <c r="B33" s="546"/>
      <c r="C33" s="547"/>
      <c r="D33" s="541"/>
      <c r="E33" s="540"/>
      <c r="F33" s="537"/>
      <c r="G33" s="1629"/>
      <c r="H33" s="1629"/>
      <c r="I33" s="1629"/>
      <c r="J33" s="1629"/>
      <c r="K33" s="1629"/>
      <c r="L33" s="1629"/>
    </row>
    <row r="34" spans="1:12" ht="15.75" x14ac:dyDescent="0.25">
      <c r="A34" s="267"/>
      <c r="B34" s="267"/>
      <c r="C34" s="268"/>
      <c r="D34" s="269"/>
      <c r="E34" s="1549"/>
      <c r="F34" s="1549"/>
      <c r="G34" s="1549"/>
      <c r="H34" s="1549"/>
      <c r="I34" s="1549"/>
      <c r="J34" s="271"/>
      <c r="K34" s="271"/>
      <c r="L34" s="259"/>
    </row>
    <row r="35" spans="1:12" x14ac:dyDescent="0.25">
      <c r="D35" t="s">
        <v>641</v>
      </c>
    </row>
  </sheetData>
  <mergeCells count="21"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  <mergeCell ref="A12:A13"/>
    <mergeCell ref="B12:B13"/>
    <mergeCell ref="C12:C13"/>
    <mergeCell ref="A6:L6"/>
    <mergeCell ref="A7:L7"/>
    <mergeCell ref="A8:L8"/>
    <mergeCell ref="A9:L9"/>
    <mergeCell ref="A10:L10"/>
  </mergeCells>
  <pageMargins left="0.7" right="0.36" top="0.75" bottom="0.75" header="0.3" footer="0.3"/>
  <pageSetup paperSize="3" orientation="landscape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A32F-F5E3-490F-A852-08C99B5B031A}">
  <dimension ref="B1:O263"/>
  <sheetViews>
    <sheetView showGridLines="0" zoomScale="77" zoomScaleNormal="77" workbookViewId="0">
      <selection activeCell="B38" sqref="B38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685" t="s">
        <v>0</v>
      </c>
      <c r="C6" s="1685"/>
      <c r="D6" s="1685"/>
      <c r="E6" s="1685"/>
      <c r="F6" s="1685"/>
      <c r="G6" s="1685"/>
      <c r="H6" s="1685"/>
      <c r="I6" s="1685"/>
      <c r="J6" s="1685"/>
      <c r="K6" s="1685"/>
      <c r="L6" s="1685"/>
      <c r="M6" s="1685"/>
      <c r="N6" s="1685"/>
    </row>
    <row r="7" spans="2:14" ht="15.75" x14ac:dyDescent="0.25">
      <c r="B7" s="1685" t="s">
        <v>3</v>
      </c>
      <c r="C7" s="1685"/>
      <c r="D7" s="1685"/>
      <c r="E7" s="1685"/>
      <c r="F7" s="1685"/>
      <c r="G7" s="1685"/>
      <c r="H7" s="1685"/>
      <c r="I7" s="1685"/>
      <c r="J7" s="1685"/>
      <c r="K7" s="1685"/>
      <c r="L7" s="1685"/>
      <c r="M7" s="1685"/>
      <c r="N7" s="1685"/>
    </row>
    <row r="8" spans="2:14" ht="15.75" x14ac:dyDescent="0.25">
      <c r="B8" s="1685" t="s">
        <v>1402</v>
      </c>
      <c r="C8" s="1685"/>
      <c r="D8" s="1685"/>
      <c r="E8" s="1685"/>
      <c r="F8" s="1685"/>
      <c r="G8" s="1685"/>
      <c r="H8" s="1685"/>
      <c r="I8" s="1685"/>
      <c r="J8" s="1685"/>
      <c r="K8" s="1685"/>
      <c r="L8" s="1685"/>
      <c r="M8" s="1685"/>
      <c r="N8" s="1685"/>
    </row>
    <row r="9" spans="2:14" ht="15.75" x14ac:dyDescent="0.25">
      <c r="B9" s="1706" t="s">
        <v>404</v>
      </c>
      <c r="C9" s="1706"/>
      <c r="D9" s="1706"/>
      <c r="E9" s="1706"/>
      <c r="F9" s="1706"/>
      <c r="G9" s="1706"/>
      <c r="H9" s="1706"/>
      <c r="I9" s="1706"/>
      <c r="J9" s="1706"/>
      <c r="K9" s="1706"/>
      <c r="L9" s="1706"/>
      <c r="M9" s="1706"/>
      <c r="N9" s="1706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707" t="s">
        <v>7</v>
      </c>
      <c r="C11" s="1707" t="s">
        <v>802</v>
      </c>
      <c r="D11" s="1707" t="s">
        <v>9</v>
      </c>
      <c r="E11" s="1707" t="s">
        <v>11</v>
      </c>
      <c r="F11" s="1057" t="s">
        <v>12</v>
      </c>
      <c r="G11" s="1704" t="s">
        <v>13</v>
      </c>
      <c r="H11" s="1705" t="s">
        <v>14</v>
      </c>
      <c r="I11" s="1705" t="s">
        <v>15</v>
      </c>
      <c r="J11" s="1705" t="s">
        <v>16</v>
      </c>
      <c r="K11" s="1705" t="s">
        <v>17</v>
      </c>
      <c r="L11" s="1705" t="s">
        <v>18</v>
      </c>
      <c r="M11" s="1705" t="s">
        <v>19</v>
      </c>
      <c r="N11" s="1705" t="s">
        <v>20</v>
      </c>
    </row>
    <row r="12" spans="2:14" ht="15.75" x14ac:dyDescent="0.25">
      <c r="B12" s="1707"/>
      <c r="C12" s="1707"/>
      <c r="D12" s="1707"/>
      <c r="E12" s="1707"/>
      <c r="F12" s="1057" t="s">
        <v>21</v>
      </c>
      <c r="G12" s="1704"/>
      <c r="H12" s="1705"/>
      <c r="I12" s="1705"/>
      <c r="J12" s="1705"/>
      <c r="K12" s="1705"/>
      <c r="L12" s="1705"/>
      <c r="M12" s="1705"/>
      <c r="N12" s="1705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4006.59</v>
      </c>
      <c r="M16" s="953">
        <f>+I16+J16+K16+L16</f>
        <v>30422.84</v>
      </c>
      <c r="N16" s="953">
        <f>+H16-M16</f>
        <v>99577.16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12370.39</v>
      </c>
      <c r="M18" s="965">
        <f t="shared" si="0"/>
        <v>156201.69999999998</v>
      </c>
      <c r="N18" s="965">
        <f t="shared" si="0"/>
        <v>488798.3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SUM(F21:F22)</f>
        <v>138500</v>
      </c>
      <c r="G23" s="964">
        <f>SUM(G117:G117)</f>
        <v>0</v>
      </c>
      <c r="H23" s="963">
        <f t="shared" ref="H23:N23" si="1">SUM(H21:H22)</f>
        <v>138500</v>
      </c>
      <c r="I23" s="963">
        <f t="shared" si="1"/>
        <v>3974.95</v>
      </c>
      <c r="J23" s="963">
        <f t="shared" si="1"/>
        <v>11437</v>
      </c>
      <c r="K23" s="963">
        <f t="shared" si="1"/>
        <v>4210.3999999999996</v>
      </c>
      <c r="L23" s="963">
        <f t="shared" si="1"/>
        <v>6765.46</v>
      </c>
      <c r="M23" s="965">
        <f t="shared" si="1"/>
        <v>26387.81</v>
      </c>
      <c r="N23" s="965">
        <f t="shared" si="1"/>
        <v>112112.19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193500</v>
      </c>
      <c r="G28" s="964">
        <f t="shared" ref="G28:M28" si="2">SUM(G26:G27)</f>
        <v>0</v>
      </c>
      <c r="H28" s="965">
        <f>SUM(H26:H27)</f>
        <v>193500</v>
      </c>
      <c r="I28" s="965">
        <f t="shared" si="2"/>
        <v>5553.45</v>
      </c>
      <c r="J28" s="965">
        <f t="shared" si="2"/>
        <v>24803.239999999998</v>
      </c>
      <c r="K28" s="965">
        <f t="shared" si="2"/>
        <v>5882.4</v>
      </c>
      <c r="L28" s="966">
        <f t="shared" si="2"/>
        <v>1321.7</v>
      </c>
      <c r="M28" s="965">
        <f t="shared" si="2"/>
        <v>37560.79</v>
      </c>
      <c r="N28" s="965">
        <f>SUM(N26:N27)</f>
        <v>155939.21000000002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0" si="8">+I60+J60+K60+L60</f>
        <v>3532.4700000000003</v>
      </c>
      <c r="N60" s="953">
        <f t="shared" ref="N60:N70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5" t="s">
        <v>1318</v>
      </c>
      <c r="C68" s="950" t="s">
        <v>806</v>
      </c>
      <c r="D68" s="960" t="s">
        <v>268</v>
      </c>
      <c r="E68" s="960" t="s">
        <v>1067</v>
      </c>
      <c r="F68" s="951">
        <v>8000</v>
      </c>
      <c r="G68" s="974">
        <v>0</v>
      </c>
      <c r="H68" s="951">
        <v>8000</v>
      </c>
      <c r="I68" s="951">
        <v>229.6</v>
      </c>
      <c r="J68" s="974">
        <v>0</v>
      </c>
      <c r="K68" s="951">
        <v>243.2</v>
      </c>
      <c r="L68" s="951">
        <v>25</v>
      </c>
      <c r="M68" s="951">
        <f t="shared" si="8"/>
        <v>497.79999999999995</v>
      </c>
      <c r="N68" s="951">
        <f t="shared" si="9"/>
        <v>7502.2</v>
      </c>
    </row>
    <row r="69" spans="2:14" ht="18.75" x14ac:dyDescent="0.3">
      <c r="B69" s="958" t="s">
        <v>1339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1348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61" t="s">
        <v>755</v>
      </c>
      <c r="C71" s="950"/>
      <c r="D71" s="962">
        <v>11</v>
      </c>
      <c r="E71" s="962"/>
      <c r="F71" s="963">
        <f>SUM(F60:F70)</f>
        <v>321500</v>
      </c>
      <c r="G71" s="964">
        <f>SUM(G66:G68)</f>
        <v>0</v>
      </c>
      <c r="H71" s="963">
        <f t="shared" ref="H71:N71" si="10">SUM(H60:H70)</f>
        <v>321500</v>
      </c>
      <c r="I71" s="963">
        <f t="shared" si="10"/>
        <v>9227.0499999999993</v>
      </c>
      <c r="J71" s="963">
        <f t="shared" si="10"/>
        <v>936.62</v>
      </c>
      <c r="K71" s="965">
        <f t="shared" si="10"/>
        <v>9773.5999999999985</v>
      </c>
      <c r="L71" s="963">
        <f t="shared" si="10"/>
        <v>7162.7999999999993</v>
      </c>
      <c r="M71" s="963">
        <f t="shared" si="10"/>
        <v>27100.069999999996</v>
      </c>
      <c r="N71" s="963">
        <f t="shared" si="10"/>
        <v>294399.93000000005</v>
      </c>
    </row>
    <row r="72" spans="2:14" ht="18.75" x14ac:dyDescent="0.3">
      <c r="B72" s="958"/>
      <c r="C72" s="950"/>
      <c r="D72" s="960"/>
      <c r="E72" s="960"/>
      <c r="F72" s="951"/>
      <c r="G72" s="952"/>
      <c r="H72" s="953"/>
      <c r="I72" s="953"/>
      <c r="J72" s="953"/>
      <c r="K72" s="953"/>
      <c r="L72" s="954"/>
      <c r="M72" s="953"/>
      <c r="N72" s="953"/>
    </row>
    <row r="73" spans="2:14" ht="18.75" x14ac:dyDescent="0.3">
      <c r="B73" s="975" t="s">
        <v>1134</v>
      </c>
      <c r="C73" s="950"/>
      <c r="D73" s="967"/>
      <c r="E73" s="967"/>
      <c r="F73" s="963"/>
      <c r="G73" s="964"/>
      <c r="H73" s="965"/>
      <c r="I73" s="965"/>
      <c r="J73" s="965"/>
      <c r="K73" s="965"/>
      <c r="L73" s="966"/>
      <c r="M73" s="965"/>
      <c r="N73" s="965"/>
    </row>
    <row r="74" spans="2:14" ht="18.75" x14ac:dyDescent="0.3">
      <c r="B74" s="955" t="s">
        <v>757</v>
      </c>
      <c r="C74" s="950" t="s">
        <v>807</v>
      </c>
      <c r="D74" s="960" t="s">
        <v>662</v>
      </c>
      <c r="E74" s="960" t="s">
        <v>307</v>
      </c>
      <c r="F74" s="951">
        <v>37500</v>
      </c>
      <c r="G74" s="952">
        <v>0</v>
      </c>
      <c r="H74" s="953">
        <v>37500</v>
      </c>
      <c r="I74" s="953">
        <v>1076.25</v>
      </c>
      <c r="J74" s="952">
        <v>89.81</v>
      </c>
      <c r="K74" s="953">
        <v>1140</v>
      </c>
      <c r="L74" s="954">
        <v>1025</v>
      </c>
      <c r="M74" s="953">
        <f t="shared" ref="M74:M85" si="11">+I74+J74+K74+L74</f>
        <v>3331.06</v>
      </c>
      <c r="N74" s="953">
        <f t="shared" ref="N74:N85" si="12">+H74-M74</f>
        <v>34168.94</v>
      </c>
    </row>
    <row r="75" spans="2:14" ht="18.75" x14ac:dyDescent="0.3">
      <c r="B75" s="955" t="s">
        <v>760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52">
        <v>0</v>
      </c>
      <c r="H75" s="953">
        <v>25000</v>
      </c>
      <c r="I75" s="953">
        <v>717.5</v>
      </c>
      <c r="J75" s="952">
        <v>0</v>
      </c>
      <c r="K75" s="953">
        <v>760</v>
      </c>
      <c r="L75" s="954">
        <v>125</v>
      </c>
      <c r="M75" s="953">
        <f t="shared" si="11"/>
        <v>1602.5</v>
      </c>
      <c r="N75" s="953">
        <f t="shared" si="12"/>
        <v>23397.5</v>
      </c>
    </row>
    <row r="76" spans="2:14" ht="18.75" x14ac:dyDescent="0.3">
      <c r="B76" s="955" t="s">
        <v>860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2025</v>
      </c>
      <c r="M76" s="953">
        <f t="shared" si="11"/>
        <v>3502.5</v>
      </c>
      <c r="N76" s="953">
        <f t="shared" si="12"/>
        <v>21497.5</v>
      </c>
    </row>
    <row r="77" spans="2:14" ht="18.75" x14ac:dyDescent="0.3">
      <c r="B77" s="955" t="s">
        <v>913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1525</v>
      </c>
      <c r="M77" s="951">
        <f t="shared" si="11"/>
        <v>3002.5</v>
      </c>
      <c r="N77" s="951">
        <f t="shared" si="12"/>
        <v>21997.5</v>
      </c>
    </row>
    <row r="78" spans="2:14" ht="21" customHeight="1" x14ac:dyDescent="0.3">
      <c r="B78" s="955" t="s">
        <v>1176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1">
        <f t="shared" si="11"/>
        <v>1502.5</v>
      </c>
      <c r="N78" s="951">
        <f t="shared" si="12"/>
        <v>23497.5</v>
      </c>
    </row>
    <row r="79" spans="2:14" ht="18.75" x14ac:dyDescent="0.3">
      <c r="B79" s="955" t="s">
        <v>1319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1">
        <f t="shared" si="11"/>
        <v>1502.5</v>
      </c>
      <c r="N79" s="951">
        <f t="shared" si="12"/>
        <v>23497.5</v>
      </c>
    </row>
    <row r="80" spans="2:14" ht="18.75" x14ac:dyDescent="0.3">
      <c r="B80" s="955" t="s">
        <v>1320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2025</v>
      </c>
      <c r="M80" s="951">
        <f t="shared" si="11"/>
        <v>3502.5</v>
      </c>
      <c r="N80" s="951">
        <f t="shared" si="12"/>
        <v>21497.5</v>
      </c>
    </row>
    <row r="81" spans="2:14" ht="18.75" x14ac:dyDescent="0.3">
      <c r="B81" s="955" t="s">
        <v>1321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1">
        <f t="shared" si="11"/>
        <v>4502.5</v>
      </c>
      <c r="N81" s="951">
        <f t="shared" si="12"/>
        <v>20497.5</v>
      </c>
    </row>
    <row r="82" spans="2:14" ht="18.75" x14ac:dyDescent="0.3">
      <c r="B82" s="955" t="s">
        <v>586</v>
      </c>
      <c r="C82" s="950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1075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119</v>
      </c>
      <c r="C84" s="968" t="s">
        <v>806</v>
      </c>
      <c r="D84" s="960" t="s">
        <v>912</v>
      </c>
      <c r="E84" s="960" t="s">
        <v>1067</v>
      </c>
      <c r="F84" s="951">
        <v>31500</v>
      </c>
      <c r="G84" s="974">
        <v>0</v>
      </c>
      <c r="H84" s="951">
        <v>31500</v>
      </c>
      <c r="I84" s="951">
        <v>904.05</v>
      </c>
      <c r="J84" s="974">
        <v>0</v>
      </c>
      <c r="K84" s="951">
        <v>957.6</v>
      </c>
      <c r="L84" s="951">
        <v>3839.91</v>
      </c>
      <c r="M84" s="953">
        <f t="shared" si="11"/>
        <v>5701.5599999999995</v>
      </c>
      <c r="N84" s="953">
        <f t="shared" si="12"/>
        <v>25798.440000000002</v>
      </c>
    </row>
    <row r="85" spans="2:14" ht="18.75" x14ac:dyDescent="0.3">
      <c r="B85" s="955" t="s">
        <v>962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25</v>
      </c>
      <c r="M85" s="953">
        <f t="shared" si="11"/>
        <v>1886.65</v>
      </c>
      <c r="N85" s="953">
        <f t="shared" si="12"/>
        <v>29613.35</v>
      </c>
    </row>
    <row r="86" spans="2:14" ht="18.75" x14ac:dyDescent="0.3">
      <c r="B86" s="958" t="s">
        <v>1335</v>
      </c>
      <c r="C86" s="950" t="s">
        <v>806</v>
      </c>
      <c r="D86" s="960" t="s">
        <v>912</v>
      </c>
      <c r="E86" s="960" t="s">
        <v>1067</v>
      </c>
      <c r="F86" s="951">
        <v>30000</v>
      </c>
      <c r="G86" s="974">
        <v>0</v>
      </c>
      <c r="H86" s="951">
        <v>30000</v>
      </c>
      <c r="I86" s="953">
        <v>861</v>
      </c>
      <c r="J86" s="952">
        <v>0</v>
      </c>
      <c r="K86" s="953">
        <v>912</v>
      </c>
      <c r="L86" s="954">
        <v>25</v>
      </c>
      <c r="M86" s="953">
        <f>+I86+J86+K86+L86</f>
        <v>1798</v>
      </c>
      <c r="N86" s="953">
        <f>+H86-M86</f>
        <v>28202</v>
      </c>
    </row>
    <row r="87" spans="2:14" ht="18.75" x14ac:dyDescent="0.3">
      <c r="B87" s="961" t="s">
        <v>763</v>
      </c>
      <c r="C87" s="950"/>
      <c r="D87" s="962">
        <v>13</v>
      </c>
      <c r="E87" s="962"/>
      <c r="F87" s="963">
        <f>SUM(F74:F86)</f>
        <v>355500</v>
      </c>
      <c r="G87" s="963">
        <f t="shared" ref="G87" si="13">SUM(G74:G85)</f>
        <v>0</v>
      </c>
      <c r="H87" s="963">
        <f t="shared" ref="H87:N87" si="14">SUM(H74:H86)</f>
        <v>355500</v>
      </c>
      <c r="I87" s="963">
        <f t="shared" si="14"/>
        <v>10202.849999999999</v>
      </c>
      <c r="J87" s="963">
        <f t="shared" si="14"/>
        <v>89.81</v>
      </c>
      <c r="K87" s="963">
        <f t="shared" si="14"/>
        <v>10807.2</v>
      </c>
      <c r="L87" s="963">
        <f t="shared" si="14"/>
        <v>15739.91</v>
      </c>
      <c r="M87" s="963">
        <f t="shared" si="14"/>
        <v>36839.769999999997</v>
      </c>
      <c r="N87" s="963">
        <f t="shared" si="14"/>
        <v>318660.23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5">SUM(F90:F91)</f>
        <v>132500</v>
      </c>
      <c r="G92" s="964">
        <f t="shared" si="15"/>
        <v>0</v>
      </c>
      <c r="H92" s="965">
        <f t="shared" si="15"/>
        <v>132500</v>
      </c>
      <c r="I92" s="965">
        <f t="shared" si="15"/>
        <v>3802.75</v>
      </c>
      <c r="J92" s="965">
        <f t="shared" si="15"/>
        <v>10929.24</v>
      </c>
      <c r="K92" s="965">
        <f t="shared" si="15"/>
        <v>4028</v>
      </c>
      <c r="L92" s="966">
        <f t="shared" si="15"/>
        <v>1765.46</v>
      </c>
      <c r="M92" s="965">
        <f t="shared" si="15"/>
        <v>20525.449999999997</v>
      </c>
      <c r="N92" s="965">
        <f t="shared" si="15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6">SUM(H95:H96)</f>
        <v>98500</v>
      </c>
      <c r="I97" s="965">
        <f t="shared" si="16"/>
        <v>2826.95</v>
      </c>
      <c r="J97" s="965">
        <f t="shared" si="16"/>
        <v>3496.2999999999997</v>
      </c>
      <c r="K97" s="965">
        <f t="shared" si="16"/>
        <v>2994.4</v>
      </c>
      <c r="L97" s="966">
        <f>SUM(L95:L96)</f>
        <v>1321.7</v>
      </c>
      <c r="M97" s="965">
        <f t="shared" si="16"/>
        <v>10639.35</v>
      </c>
      <c r="N97" s="965">
        <f t="shared" si="16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5" t="s">
        <v>230</v>
      </c>
      <c r="C101" s="968" t="s">
        <v>807</v>
      </c>
      <c r="D101" s="960" t="s">
        <v>604</v>
      </c>
      <c r="E101" s="960" t="s">
        <v>1069</v>
      </c>
      <c r="F101" s="951">
        <v>70000</v>
      </c>
      <c r="G101" s="974">
        <v>0</v>
      </c>
      <c r="H101" s="951">
        <v>70000</v>
      </c>
      <c r="I101" s="951">
        <v>2009</v>
      </c>
      <c r="J101" s="951">
        <v>5368.48</v>
      </c>
      <c r="K101" s="951">
        <v>2128</v>
      </c>
      <c r="L101" s="951">
        <v>25</v>
      </c>
      <c r="M101" s="951">
        <f>+I101+J101+K101+L101</f>
        <v>9530.48</v>
      </c>
      <c r="N101" s="951">
        <f>+H101-M101</f>
        <v>60469.520000000004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263500</v>
      </c>
      <c r="G103" s="964">
        <f>SUM(G102:G102)</f>
        <v>0</v>
      </c>
      <c r="H103" s="963">
        <f t="shared" ref="H103:N103" si="17">SUM(H100:H102)</f>
        <v>263500</v>
      </c>
      <c r="I103" s="963">
        <f t="shared" si="17"/>
        <v>7562.45</v>
      </c>
      <c r="J103" s="963">
        <f t="shared" si="17"/>
        <v>29228.21</v>
      </c>
      <c r="K103" s="963">
        <f t="shared" si="17"/>
        <v>8010.4</v>
      </c>
      <c r="L103" s="963">
        <f t="shared" si="17"/>
        <v>7493.58</v>
      </c>
      <c r="M103" s="963">
        <f t="shared" si="17"/>
        <v>52294.64</v>
      </c>
      <c r="N103" s="963">
        <f t="shared" si="17"/>
        <v>211205.36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8">SUM(H106:H107)</f>
        <v>87000</v>
      </c>
      <c r="I108" s="963">
        <f t="shared" si="18"/>
        <v>2496.9</v>
      </c>
      <c r="J108" s="963">
        <f t="shared" si="18"/>
        <v>1873.24</v>
      </c>
      <c r="K108" s="963">
        <f t="shared" si="18"/>
        <v>2644.8</v>
      </c>
      <c r="L108" s="963">
        <f t="shared" si="18"/>
        <v>2050</v>
      </c>
      <c r="M108" s="963">
        <f t="shared" si="18"/>
        <v>9064.94</v>
      </c>
      <c r="N108" s="963">
        <f t="shared" si="18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9">SUM(H111:H111)</f>
        <v>80000</v>
      </c>
      <c r="I112" s="965">
        <f t="shared" si="19"/>
        <v>2296</v>
      </c>
      <c r="J112" s="965">
        <f t="shared" si="19"/>
        <v>6972</v>
      </c>
      <c r="K112" s="965">
        <f t="shared" si="19"/>
        <v>2432</v>
      </c>
      <c r="L112" s="965">
        <f t="shared" si="19"/>
        <v>1740.46</v>
      </c>
      <c r="M112" s="965">
        <f t="shared" si="19"/>
        <v>13440.46</v>
      </c>
      <c r="N112" s="965">
        <f t="shared" si="19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1" si="20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20"/>
        <v>64016.14</v>
      </c>
    </row>
    <row r="117" spans="2:14" ht="18.75" x14ac:dyDescent="0.3">
      <c r="B117" s="955" t="s">
        <v>65</v>
      </c>
      <c r="C117" s="950" t="s">
        <v>806</v>
      </c>
      <c r="D117" s="960" t="s">
        <v>1174</v>
      </c>
      <c r="E117" s="960" t="s">
        <v>1069</v>
      </c>
      <c r="F117" s="951">
        <v>70000</v>
      </c>
      <c r="G117" s="952">
        <v>0</v>
      </c>
      <c r="H117" s="953">
        <v>70000</v>
      </c>
      <c r="I117" s="953">
        <v>2009</v>
      </c>
      <c r="J117" s="953">
        <v>5368.48</v>
      </c>
      <c r="K117" s="953">
        <v>2128</v>
      </c>
      <c r="L117" s="953">
        <v>11645.23</v>
      </c>
      <c r="M117" s="953">
        <f>+I117+J117+K117+L117</f>
        <v>21150.71</v>
      </c>
      <c r="N117" s="953">
        <f>+H117-M117</f>
        <v>48849.29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20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20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904.05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20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20"/>
        <v>39967.53</v>
      </c>
    </row>
    <row r="122" spans="2:14" ht="18.75" x14ac:dyDescent="0.3">
      <c r="B122" s="961" t="s">
        <v>749</v>
      </c>
      <c r="C122" s="950"/>
      <c r="D122" s="962">
        <v>7</v>
      </c>
      <c r="E122" s="962"/>
      <c r="F122" s="963">
        <f t="shared" ref="F122:N122" si="21">SUM(F115:F121)</f>
        <v>507500</v>
      </c>
      <c r="G122" s="964">
        <f t="shared" si="21"/>
        <v>0</v>
      </c>
      <c r="H122" s="963">
        <f t="shared" si="21"/>
        <v>507500</v>
      </c>
      <c r="I122" s="963">
        <f t="shared" si="21"/>
        <v>14565.25</v>
      </c>
      <c r="J122" s="963">
        <f t="shared" si="21"/>
        <v>48953.08</v>
      </c>
      <c r="K122" s="963">
        <f t="shared" si="21"/>
        <v>15428</v>
      </c>
      <c r="L122" s="963">
        <f t="shared" si="21"/>
        <v>16757.09</v>
      </c>
      <c r="M122" s="963">
        <f t="shared" si="21"/>
        <v>95703.419999999984</v>
      </c>
      <c r="N122" s="963">
        <f t="shared" si="21"/>
        <v>411796.57999999996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18.75" x14ac:dyDescent="0.3">
      <c r="B124" s="958"/>
      <c r="C124" s="950"/>
      <c r="D124" s="960"/>
      <c r="E124" s="960"/>
      <c r="F124" s="951"/>
      <c r="G124" s="952"/>
      <c r="H124" s="953"/>
      <c r="I124" s="953"/>
      <c r="J124" s="953"/>
      <c r="K124" s="953"/>
      <c r="L124" s="954"/>
      <c r="M124" s="953"/>
      <c r="N124" s="953"/>
    </row>
    <row r="125" spans="2:14" ht="23.25" customHeight="1" x14ac:dyDescent="0.3">
      <c r="B125" s="982" t="s">
        <v>1136</v>
      </c>
      <c r="C125" s="950"/>
      <c r="D125" s="967"/>
      <c r="E125" s="967"/>
      <c r="F125" s="963"/>
      <c r="G125" s="964"/>
      <c r="H125" s="965"/>
      <c r="I125" s="965"/>
      <c r="J125" s="965"/>
      <c r="K125" s="965"/>
      <c r="L125" s="966"/>
      <c r="M125" s="965"/>
      <c r="N125" s="965"/>
    </row>
    <row r="126" spans="2:14" ht="18.75" x14ac:dyDescent="0.3">
      <c r="B126" s="955" t="s">
        <v>419</v>
      </c>
      <c r="C126" s="950" t="s">
        <v>806</v>
      </c>
      <c r="D126" s="960" t="s">
        <v>449</v>
      </c>
      <c r="E126" s="960" t="s">
        <v>1069</v>
      </c>
      <c r="F126" s="951">
        <v>50000</v>
      </c>
      <c r="G126" s="952">
        <v>0</v>
      </c>
      <c r="H126" s="953">
        <v>50000</v>
      </c>
      <c r="I126" s="953">
        <v>1435</v>
      </c>
      <c r="J126" s="953">
        <v>1854</v>
      </c>
      <c r="K126" s="953">
        <v>1520</v>
      </c>
      <c r="L126" s="954">
        <v>728</v>
      </c>
      <c r="M126" s="953">
        <f>+I126+J126+K126+L126</f>
        <v>5537</v>
      </c>
      <c r="N126" s="953">
        <f>+H126-M126</f>
        <v>44463</v>
      </c>
    </row>
    <row r="127" spans="2:14" ht="18.75" x14ac:dyDescent="0.3">
      <c r="B127" s="955" t="s">
        <v>697</v>
      </c>
      <c r="C127" s="950" t="s">
        <v>807</v>
      </c>
      <c r="D127" s="960" t="s">
        <v>521</v>
      </c>
      <c r="E127" s="960" t="s">
        <v>307</v>
      </c>
      <c r="F127" s="951">
        <v>43500</v>
      </c>
      <c r="G127" s="952">
        <v>0</v>
      </c>
      <c r="H127" s="953">
        <v>43500</v>
      </c>
      <c r="I127" s="953">
        <v>1248.45</v>
      </c>
      <c r="J127" s="952">
        <v>936.62</v>
      </c>
      <c r="K127" s="953">
        <v>1322.4</v>
      </c>
      <c r="L127" s="954">
        <v>2025</v>
      </c>
      <c r="M127" s="953">
        <f>+I127+J127+K127+L127</f>
        <v>5532.47</v>
      </c>
      <c r="N127" s="953">
        <f>+H127-M127</f>
        <v>37967.53</v>
      </c>
    </row>
    <row r="128" spans="2:14" ht="18.75" x14ac:dyDescent="0.3">
      <c r="B128" s="961" t="s">
        <v>749</v>
      </c>
      <c r="C128" s="950"/>
      <c r="D128" s="962">
        <v>2</v>
      </c>
      <c r="E128" s="962"/>
      <c r="F128" s="963">
        <f t="shared" ref="F128:N128" si="22">SUM(F126:F127)</f>
        <v>93500</v>
      </c>
      <c r="G128" s="964">
        <f t="shared" si="22"/>
        <v>0</v>
      </c>
      <c r="H128" s="963">
        <f t="shared" si="22"/>
        <v>93500</v>
      </c>
      <c r="I128" s="963">
        <f t="shared" si="22"/>
        <v>2683.45</v>
      </c>
      <c r="J128" s="963">
        <f t="shared" si="22"/>
        <v>2790.62</v>
      </c>
      <c r="K128" s="963">
        <f t="shared" si="22"/>
        <v>2842.4</v>
      </c>
      <c r="L128" s="963">
        <f t="shared" si="22"/>
        <v>2753</v>
      </c>
      <c r="M128" s="963">
        <f t="shared" si="22"/>
        <v>11069.470000000001</v>
      </c>
      <c r="N128" s="963">
        <f t="shared" si="22"/>
        <v>82430.53</v>
      </c>
    </row>
    <row r="129" spans="2:14" ht="18.75" x14ac:dyDescent="0.3">
      <c r="B129" s="958"/>
      <c r="C129" s="950"/>
      <c r="D129" s="960"/>
      <c r="E129" s="960"/>
      <c r="F129" s="951"/>
      <c r="G129" s="952"/>
      <c r="H129" s="953"/>
      <c r="I129" s="953"/>
      <c r="J129" s="953"/>
      <c r="K129" s="963"/>
      <c r="L129" s="954"/>
      <c r="M129" s="953"/>
      <c r="N129" s="953"/>
    </row>
    <row r="130" spans="2:14" ht="18.75" x14ac:dyDescent="0.3">
      <c r="B130" s="961" t="s">
        <v>842</v>
      </c>
      <c r="C130" s="950"/>
      <c r="D130" s="967"/>
      <c r="E130" s="967"/>
      <c r="F130" s="963"/>
      <c r="G130" s="964"/>
      <c r="H130" s="965"/>
      <c r="I130" s="965"/>
      <c r="J130" s="965"/>
      <c r="K130" s="965"/>
      <c r="L130" s="966"/>
      <c r="M130" s="965"/>
      <c r="N130" s="965"/>
    </row>
    <row r="131" spans="2:14" ht="18.75" x14ac:dyDescent="0.3">
      <c r="B131" s="955" t="s">
        <v>1131</v>
      </c>
      <c r="C131" s="950" t="s">
        <v>806</v>
      </c>
      <c r="D131" s="960" t="s">
        <v>905</v>
      </c>
      <c r="E131" s="960" t="s">
        <v>307</v>
      </c>
      <c r="F131" s="951">
        <v>80000</v>
      </c>
      <c r="G131" s="974">
        <v>0</v>
      </c>
      <c r="H131" s="951">
        <v>80000</v>
      </c>
      <c r="I131" s="951">
        <v>2296</v>
      </c>
      <c r="J131" s="951">
        <v>7400.87</v>
      </c>
      <c r="K131" s="951">
        <v>2432</v>
      </c>
      <c r="L131" s="951">
        <v>828</v>
      </c>
      <c r="M131" s="951">
        <f t="shared" ref="M131:M136" si="23">+I131+J131+K131+L131</f>
        <v>12956.869999999999</v>
      </c>
      <c r="N131" s="951">
        <f t="shared" ref="N131:N136" si="24">+H131-M131</f>
        <v>67043.13</v>
      </c>
    </row>
    <row r="132" spans="2:14" ht="18.75" x14ac:dyDescent="0.3">
      <c r="B132" s="955" t="s">
        <v>773</v>
      </c>
      <c r="C132" s="950" t="s">
        <v>807</v>
      </c>
      <c r="D132" s="960" t="s">
        <v>774</v>
      </c>
      <c r="E132" s="960" t="s">
        <v>307</v>
      </c>
      <c r="F132" s="951">
        <v>45000</v>
      </c>
      <c r="G132" s="952">
        <v>0</v>
      </c>
      <c r="H132" s="953">
        <v>45000</v>
      </c>
      <c r="I132" s="953">
        <v>1291.5</v>
      </c>
      <c r="J132" s="953">
        <v>1148.33</v>
      </c>
      <c r="K132" s="953">
        <v>1368</v>
      </c>
      <c r="L132" s="954">
        <v>125</v>
      </c>
      <c r="M132" s="953">
        <f t="shared" si="23"/>
        <v>3932.83</v>
      </c>
      <c r="N132" s="953">
        <f t="shared" si="24"/>
        <v>41067.17</v>
      </c>
    </row>
    <row r="133" spans="2:14" ht="18.75" x14ac:dyDescent="0.3">
      <c r="B133" s="955" t="s">
        <v>1142</v>
      </c>
      <c r="C133" s="950" t="s">
        <v>806</v>
      </c>
      <c r="D133" s="960" t="s">
        <v>1036</v>
      </c>
      <c r="E133" s="960" t="s">
        <v>307</v>
      </c>
      <c r="F133" s="951">
        <v>50000</v>
      </c>
      <c r="G133" s="952">
        <v>0</v>
      </c>
      <c r="H133" s="953">
        <v>50000</v>
      </c>
      <c r="I133" s="953">
        <v>1435</v>
      </c>
      <c r="J133" s="953">
        <v>1854</v>
      </c>
      <c r="K133" s="953">
        <v>1520</v>
      </c>
      <c r="L133" s="954">
        <v>728</v>
      </c>
      <c r="M133" s="953">
        <f t="shared" si="23"/>
        <v>5537</v>
      </c>
      <c r="N133" s="953">
        <f t="shared" si="24"/>
        <v>44463</v>
      </c>
    </row>
    <row r="134" spans="2:14" ht="18.75" x14ac:dyDescent="0.3">
      <c r="B134" s="955" t="s">
        <v>444</v>
      </c>
      <c r="C134" s="950" t="s">
        <v>806</v>
      </c>
      <c r="D134" s="960" t="s">
        <v>662</v>
      </c>
      <c r="E134" s="960" t="s">
        <v>307</v>
      </c>
      <c r="F134" s="951">
        <v>37500</v>
      </c>
      <c r="G134" s="974">
        <v>0</v>
      </c>
      <c r="H134" s="951">
        <v>37500</v>
      </c>
      <c r="I134" s="951">
        <v>1076.25</v>
      </c>
      <c r="J134" s="974">
        <v>89.81</v>
      </c>
      <c r="K134" s="951">
        <v>1140</v>
      </c>
      <c r="L134" s="951">
        <v>25</v>
      </c>
      <c r="M134" s="951">
        <f t="shared" si="23"/>
        <v>2331.06</v>
      </c>
      <c r="N134" s="951">
        <f t="shared" si="24"/>
        <v>35168.94</v>
      </c>
    </row>
    <row r="135" spans="2:14" ht="18.75" x14ac:dyDescent="0.3">
      <c r="B135" s="955" t="s">
        <v>875</v>
      </c>
      <c r="C135" s="950" t="s">
        <v>807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2291.13</v>
      </c>
      <c r="M135" s="951">
        <f t="shared" si="23"/>
        <v>8101.31</v>
      </c>
      <c r="N135" s="951">
        <f t="shared" si="24"/>
        <v>46898.69</v>
      </c>
    </row>
    <row r="136" spans="2:14" ht="18.75" x14ac:dyDescent="0.3">
      <c r="B136" s="955" t="s">
        <v>1323</v>
      </c>
      <c r="C136" s="950" t="s">
        <v>807</v>
      </c>
      <c r="D136" s="960" t="s">
        <v>337</v>
      </c>
      <c r="E136" s="960" t="s">
        <v>321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25</v>
      </c>
      <c r="M136" s="953">
        <f t="shared" si="23"/>
        <v>3832.83</v>
      </c>
      <c r="N136" s="953">
        <f t="shared" si="24"/>
        <v>41167.17</v>
      </c>
    </row>
    <row r="137" spans="2:14" ht="18.75" x14ac:dyDescent="0.3">
      <c r="B137" s="961" t="s">
        <v>749</v>
      </c>
      <c r="C137" s="950"/>
      <c r="D137" s="962">
        <v>6</v>
      </c>
      <c r="E137" s="962"/>
      <c r="F137" s="963">
        <f>SUM(F131:F136)</f>
        <v>312500</v>
      </c>
      <c r="G137" s="964">
        <f>SUM(G135:G136)</f>
        <v>0</v>
      </c>
      <c r="H137" s="963">
        <f>SUM(H131:H136)</f>
        <v>312500</v>
      </c>
      <c r="I137" s="963">
        <f t="shared" ref="I137:M137" si="25">SUM(I131:I136)</f>
        <v>8968.75</v>
      </c>
      <c r="J137" s="963">
        <f t="shared" si="25"/>
        <v>14201.02</v>
      </c>
      <c r="K137" s="963">
        <f t="shared" si="25"/>
        <v>9500</v>
      </c>
      <c r="L137" s="963">
        <f t="shared" si="25"/>
        <v>4022.13</v>
      </c>
      <c r="M137" s="963">
        <f t="shared" si="25"/>
        <v>36691.9</v>
      </c>
      <c r="N137" s="963">
        <f>SUM(N131:N136)</f>
        <v>275808.09999999998</v>
      </c>
    </row>
    <row r="138" spans="2:14" ht="18.75" x14ac:dyDescent="0.3">
      <c r="B138" s="958"/>
      <c r="C138" s="950"/>
      <c r="D138" s="960"/>
      <c r="E138" s="960"/>
      <c r="F138" s="951"/>
      <c r="G138" s="952"/>
      <c r="H138" s="953"/>
      <c r="I138" s="953"/>
      <c r="J138" s="953"/>
      <c r="K138" s="953"/>
      <c r="L138" s="954"/>
      <c r="M138" s="953"/>
      <c r="N138" s="953"/>
    </row>
    <row r="139" spans="2:14" ht="18.75" x14ac:dyDescent="0.3">
      <c r="B139" s="961" t="s">
        <v>787</v>
      </c>
      <c r="C139" s="950"/>
      <c r="D139" s="967"/>
      <c r="E139" s="967"/>
      <c r="F139" s="963"/>
      <c r="G139" s="964"/>
      <c r="H139" s="965"/>
      <c r="I139" s="965"/>
      <c r="J139" s="965"/>
      <c r="K139" s="965"/>
      <c r="L139" s="966"/>
      <c r="M139" s="965"/>
      <c r="N139" s="965"/>
    </row>
    <row r="140" spans="2:14" ht="18.75" x14ac:dyDescent="0.3">
      <c r="B140" s="958" t="s">
        <v>69</v>
      </c>
      <c r="C140" s="950" t="s">
        <v>806</v>
      </c>
      <c r="D140" s="960" t="s">
        <v>775</v>
      </c>
      <c r="E140" s="960" t="s">
        <v>307</v>
      </c>
      <c r="F140" s="951">
        <v>185000</v>
      </c>
      <c r="G140" s="952">
        <v>0</v>
      </c>
      <c r="H140" s="953">
        <v>185000</v>
      </c>
      <c r="I140" s="953">
        <v>5309.5</v>
      </c>
      <c r="J140" s="953">
        <v>32099.49</v>
      </c>
      <c r="K140" s="953">
        <v>5624</v>
      </c>
      <c r="L140" s="954">
        <v>2568.4</v>
      </c>
      <c r="M140" s="953">
        <f>+I140+J140+K140+L140</f>
        <v>45601.390000000007</v>
      </c>
      <c r="N140" s="953">
        <f>+H140-M140</f>
        <v>139398.60999999999</v>
      </c>
    </row>
    <row r="141" spans="2:14" ht="18.75" x14ac:dyDescent="0.3">
      <c r="B141" s="960" t="s">
        <v>715</v>
      </c>
      <c r="C141" s="950" t="s">
        <v>807</v>
      </c>
      <c r="D141" s="955" t="s">
        <v>1349</v>
      </c>
      <c r="E141" s="960" t="s">
        <v>307</v>
      </c>
      <c r="F141" s="978">
        <v>70000</v>
      </c>
      <c r="G141" s="979">
        <v>0</v>
      </c>
      <c r="H141" s="978">
        <v>70000</v>
      </c>
      <c r="I141" s="951">
        <v>2009</v>
      </c>
      <c r="J141" s="951">
        <v>5025.38</v>
      </c>
      <c r="K141" s="1070">
        <v>2128</v>
      </c>
      <c r="L141" s="951">
        <v>5026.04</v>
      </c>
      <c r="M141" s="951">
        <f>+I141+J141+K141+L141</f>
        <v>14188.420000000002</v>
      </c>
      <c r="N141" s="951">
        <f>+H141-M141</f>
        <v>55811.58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3">
        <v>1596.68</v>
      </c>
      <c r="K143" s="953">
        <v>1520</v>
      </c>
      <c r="L143" s="954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4</v>
      </c>
      <c r="E144" s="962"/>
      <c r="F144" s="963">
        <f>SUM(F140:F143)</f>
        <v>360000</v>
      </c>
      <c r="G144" s="964">
        <f>SUM(G140:G142)</f>
        <v>0</v>
      </c>
      <c r="H144" s="965">
        <f t="shared" ref="H144:N144" si="26">SUM(H140:H143)</f>
        <v>360000</v>
      </c>
      <c r="I144" s="965">
        <f t="shared" si="26"/>
        <v>10332</v>
      </c>
      <c r="J144" s="965">
        <f t="shared" si="26"/>
        <v>41281.230000000003</v>
      </c>
      <c r="K144" s="965">
        <f t="shared" si="26"/>
        <v>10944</v>
      </c>
      <c r="L144" s="966">
        <f>SUM(L140:L143)</f>
        <v>16261.630000000001</v>
      </c>
      <c r="M144" s="965">
        <f t="shared" si="26"/>
        <v>78818.860000000015</v>
      </c>
      <c r="N144" s="965">
        <f t="shared" si="26"/>
        <v>281181.14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5"/>
      <c r="K146" s="965"/>
      <c r="L146" s="966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72">
        <v>7400.87</v>
      </c>
      <c r="K147" s="972">
        <v>2432</v>
      </c>
      <c r="L147" s="973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7">SUM(F147)</f>
        <v>80000</v>
      </c>
      <c r="G148" s="993">
        <f t="shared" si="27"/>
        <v>0</v>
      </c>
      <c r="H148" s="994">
        <f t="shared" si="27"/>
        <v>80000</v>
      </c>
      <c r="I148" s="994">
        <f t="shared" si="27"/>
        <v>2296</v>
      </c>
      <c r="J148" s="994">
        <f t="shared" si="27"/>
        <v>7400.87</v>
      </c>
      <c r="K148" s="994">
        <f t="shared" si="27"/>
        <v>2432</v>
      </c>
      <c r="L148" s="995">
        <f t="shared" si="27"/>
        <v>2097.1999999999998</v>
      </c>
      <c r="M148" s="994">
        <f>SUM(M147)</f>
        <v>14226.07</v>
      </c>
      <c r="N148" s="994">
        <f t="shared" si="27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5"/>
      <c r="K149" s="965"/>
      <c r="L149" s="966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52">
        <v>936.62</v>
      </c>
      <c r="K151" s="953">
        <v>1322.4</v>
      </c>
      <c r="L151" s="954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8">SUM(F151:F151)</f>
        <v>43500</v>
      </c>
      <c r="G152" s="964">
        <f t="shared" si="28"/>
        <v>0</v>
      </c>
      <c r="H152" s="965">
        <f t="shared" si="28"/>
        <v>43500</v>
      </c>
      <c r="I152" s="965">
        <f t="shared" si="28"/>
        <v>1248.45</v>
      </c>
      <c r="J152" s="996">
        <f t="shared" si="28"/>
        <v>936.62</v>
      </c>
      <c r="K152" s="996">
        <f t="shared" si="28"/>
        <v>1322.4</v>
      </c>
      <c r="L152" s="966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3"/>
      <c r="K153" s="953"/>
      <c r="L153" s="954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3">
        <v>7400.87</v>
      </c>
      <c r="K155" s="953">
        <v>2432</v>
      </c>
      <c r="L155" s="954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52">
        <v>936.62</v>
      </c>
      <c r="K157" s="953">
        <v>1322.4</v>
      </c>
      <c r="L157" s="954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52">
        <v>936.62</v>
      </c>
      <c r="K158" s="953">
        <v>1322.4</v>
      </c>
      <c r="L158" s="954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29">SUM(G158)</f>
        <v>0</v>
      </c>
      <c r="H159" s="963">
        <f t="shared" ref="H159:M159" si="30">SUM(H155:H158)</f>
        <v>237000</v>
      </c>
      <c r="I159" s="963">
        <f t="shared" si="30"/>
        <v>6801.9</v>
      </c>
      <c r="J159" s="963">
        <f t="shared" si="30"/>
        <v>14642.59</v>
      </c>
      <c r="K159" s="963">
        <f t="shared" si="30"/>
        <v>7204.7999999999993</v>
      </c>
      <c r="L159" s="963">
        <f t="shared" si="30"/>
        <v>4643.3999999999996</v>
      </c>
      <c r="M159" s="963">
        <f t="shared" si="30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3"/>
      <c r="K160" s="953"/>
      <c r="L160" s="954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3">
        <v>7400.87</v>
      </c>
      <c r="K162" s="953">
        <v>2432</v>
      </c>
      <c r="L162" s="954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1">SUM(H162:H163)</f>
        <v>150000</v>
      </c>
      <c r="I164" s="963">
        <f t="shared" si="31"/>
        <v>4305</v>
      </c>
      <c r="J164" s="963">
        <f t="shared" si="31"/>
        <v>12769.349999999999</v>
      </c>
      <c r="K164" s="963">
        <f t="shared" si="31"/>
        <v>4560</v>
      </c>
      <c r="L164" s="963">
        <f t="shared" si="31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52">
        <v>936.62</v>
      </c>
      <c r="K168" s="953">
        <v>1322.4</v>
      </c>
      <c r="L168" s="954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2">SUM(G167:G168)</f>
        <v>0</v>
      </c>
      <c r="H169" s="965">
        <f>SUM(H167:H168)</f>
        <v>123500</v>
      </c>
      <c r="I169" s="965">
        <f t="shared" si="32"/>
        <v>3544.45</v>
      </c>
      <c r="J169" s="965">
        <f t="shared" si="32"/>
        <v>8337.49</v>
      </c>
      <c r="K169" s="965">
        <f t="shared" si="32"/>
        <v>3754.4</v>
      </c>
      <c r="L169" s="966">
        <f t="shared" si="32"/>
        <v>3335.58</v>
      </c>
      <c r="M169" s="965">
        <f>SUM(M167:M168)</f>
        <v>18971.919999999998</v>
      </c>
      <c r="N169" s="965">
        <f t="shared" si="32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3">+I172+J172+K172+L172</f>
        <v>14697.269999999999</v>
      </c>
      <c r="N172" s="951">
        <f t="shared" ref="N172:N182" si="34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3"/>
        <v>3532.4700000000003</v>
      </c>
      <c r="N173" s="951">
        <f t="shared" si="34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3"/>
        <v>3532.4700000000003</v>
      </c>
      <c r="N174" s="951">
        <f t="shared" si="34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3"/>
        <v>3532.4700000000003</v>
      </c>
      <c r="N175" s="951">
        <f t="shared" si="34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3"/>
        <v>3034.06</v>
      </c>
      <c r="N176" s="951">
        <f t="shared" si="34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3"/>
        <v>7854.75</v>
      </c>
      <c r="N177" s="951">
        <f t="shared" si="34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 t="shared" si="33"/>
        <v>2331.06</v>
      </c>
      <c r="N178" s="953">
        <f t="shared" si="34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52">
        <v>936.62</v>
      </c>
      <c r="K179" s="953">
        <v>1322.4</v>
      </c>
      <c r="L179" s="954">
        <v>25</v>
      </c>
      <c r="M179" s="953">
        <f t="shared" si="33"/>
        <v>3532.4700000000003</v>
      </c>
      <c r="N179" s="953">
        <f t="shared" si="34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52">
        <v>936.62</v>
      </c>
      <c r="K180" s="953">
        <v>1322.4</v>
      </c>
      <c r="L180" s="954">
        <v>25</v>
      </c>
      <c r="M180" s="953">
        <f t="shared" si="33"/>
        <v>3532.4700000000003</v>
      </c>
      <c r="N180" s="953">
        <f t="shared" si="34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89.81</v>
      </c>
      <c r="K181" s="953">
        <v>1140</v>
      </c>
      <c r="L181" s="954">
        <v>25</v>
      </c>
      <c r="M181" s="953">
        <f t="shared" si="33"/>
        <v>2331.06</v>
      </c>
      <c r="N181" s="953">
        <f t="shared" si="34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3"/>
        <v>2331.06</v>
      </c>
      <c r="N182" s="951">
        <f t="shared" si="34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5">SUM(I172:I182)</f>
        <v>14091.7</v>
      </c>
      <c r="J183" s="963">
        <f t="shared" si="35"/>
        <v>12865.19</v>
      </c>
      <c r="K183" s="963">
        <f t="shared" si="35"/>
        <v>14926.4</v>
      </c>
      <c r="L183" s="963">
        <f t="shared" si="35"/>
        <v>8358.32</v>
      </c>
      <c r="M183" s="963">
        <f t="shared" si="35"/>
        <v>50241.61</v>
      </c>
      <c r="N183" s="963">
        <f t="shared" si="35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5"/>
      <c r="K184" s="965"/>
      <c r="L184" s="966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5"/>
      <c r="K185" s="965"/>
      <c r="L185" s="966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4">
        <v>25</v>
      </c>
      <c r="M186" s="1031">
        <f t="shared" ref="M186:M191" si="36">+I186+J186+K186+L186</f>
        <v>23926.87</v>
      </c>
      <c r="N186" s="1031">
        <f t="shared" ref="N186:N218" si="37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6"/>
        <v>23926.87</v>
      </c>
      <c r="N187" s="1032">
        <f t="shared" si="37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6"/>
        <v>10766.880000000001</v>
      </c>
      <c r="N188" s="1032">
        <f t="shared" si="37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6"/>
        <v>12153.869999999999</v>
      </c>
      <c r="N189" s="1032">
        <f t="shared" si="37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6"/>
        <v>9530.48</v>
      </c>
      <c r="N190" s="1032">
        <f t="shared" si="37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6"/>
        <v>15451.01</v>
      </c>
      <c r="N191" s="1032">
        <f t="shared" si="37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7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7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43500</v>
      </c>
      <c r="G194" s="1079">
        <v>0</v>
      </c>
      <c r="H194" s="1080">
        <v>43500</v>
      </c>
      <c r="I194" s="1081">
        <v>1248.45</v>
      </c>
      <c r="J194" s="1074">
        <v>936.62</v>
      </c>
      <c r="K194" s="1078">
        <v>1322.4</v>
      </c>
      <c r="L194" s="1081">
        <v>25</v>
      </c>
      <c r="M194" s="1032">
        <f t="shared" ref="M194:M218" si="38">+I194+J194+K194+L194</f>
        <v>3532.4700000000003</v>
      </c>
      <c r="N194" s="1032">
        <f t="shared" si="37"/>
        <v>39967.53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3455.92</v>
      </c>
      <c r="M195" s="1032">
        <f t="shared" si="38"/>
        <v>5672.17</v>
      </c>
      <c r="N195" s="1032">
        <f t="shared" si="37"/>
        <v>31827.83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8"/>
        <v>1886.65</v>
      </c>
      <c r="N196" s="1032">
        <f t="shared" si="37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4">
        <v>25</v>
      </c>
      <c r="M197" s="1031">
        <f t="shared" si="38"/>
        <v>1886.65</v>
      </c>
      <c r="N197" s="1031">
        <f t="shared" si="37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4">
        <v>25</v>
      </c>
      <c r="M198" s="1031">
        <f t="shared" si="38"/>
        <v>1886.65</v>
      </c>
      <c r="N198" s="1031">
        <f t="shared" si="37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8"/>
        <v>1886.65</v>
      </c>
      <c r="N199" s="1031">
        <f t="shared" si="37"/>
        <v>29613.35</v>
      </c>
    </row>
    <row r="200" spans="2:14" ht="18.75" x14ac:dyDescent="0.3">
      <c r="B200" s="1029" t="s">
        <v>1329</v>
      </c>
      <c r="C200" s="950" t="s">
        <v>1330</v>
      </c>
      <c r="D200" s="1024" t="s">
        <v>1325</v>
      </c>
      <c r="E200" s="960" t="s">
        <v>307</v>
      </c>
      <c r="F200" s="951">
        <v>43500</v>
      </c>
      <c r="G200" s="952">
        <v>0</v>
      </c>
      <c r="H200" s="1031">
        <v>43500</v>
      </c>
      <c r="I200" s="953">
        <v>1248.45</v>
      </c>
      <c r="J200" s="1036">
        <v>936.62</v>
      </c>
      <c r="K200" s="953">
        <v>1322.4</v>
      </c>
      <c r="L200" s="954">
        <v>25</v>
      </c>
      <c r="M200" s="1031">
        <f t="shared" si="38"/>
        <v>3532.4700000000003</v>
      </c>
      <c r="N200" s="1031">
        <f t="shared" si="37"/>
        <v>39967.53</v>
      </c>
    </row>
    <row r="201" spans="2:14" ht="18.75" x14ac:dyDescent="0.3">
      <c r="B201" s="1027" t="s">
        <v>1337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8"/>
        <v>2331.06</v>
      </c>
      <c r="N201" s="1032">
        <f t="shared" si="37"/>
        <v>35168.94</v>
      </c>
    </row>
    <row r="202" spans="2:14" ht="18.75" x14ac:dyDescent="0.3">
      <c r="B202" s="1027" t="s">
        <v>1345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8"/>
        <v>2331.06</v>
      </c>
      <c r="N202" s="1032">
        <f t="shared" si="37"/>
        <v>35168.94</v>
      </c>
    </row>
    <row r="203" spans="2:14" ht="18.75" x14ac:dyDescent="0.3">
      <c r="B203" s="1027" t="s">
        <v>1351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8"/>
        <v>2331.06</v>
      </c>
      <c r="N203" s="1032">
        <f t="shared" si="37"/>
        <v>35168.94</v>
      </c>
    </row>
    <row r="204" spans="2:14" ht="18.75" x14ac:dyDescent="0.3">
      <c r="B204" s="1027" t="s">
        <v>1336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8"/>
        <v>2331.06</v>
      </c>
      <c r="N204" s="1032">
        <f t="shared" si="37"/>
        <v>35168.94</v>
      </c>
    </row>
    <row r="205" spans="2:14" ht="18.75" x14ac:dyDescent="0.3">
      <c r="B205" s="1027" t="s">
        <v>1387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8"/>
        <v>2331.06</v>
      </c>
      <c r="N205" s="1032">
        <f t="shared" si="37"/>
        <v>35168.94</v>
      </c>
    </row>
    <row r="206" spans="2:14" ht="18.75" x14ac:dyDescent="0.3">
      <c r="B206" s="1029" t="s">
        <v>1331</v>
      </c>
      <c r="C206" s="950" t="s">
        <v>806</v>
      </c>
      <c r="D206" s="1024" t="s">
        <v>1332</v>
      </c>
      <c r="E206" s="960" t="s">
        <v>321</v>
      </c>
      <c r="F206" s="951">
        <v>43500</v>
      </c>
      <c r="G206" s="952">
        <v>0</v>
      </c>
      <c r="H206" s="1031">
        <v>43500</v>
      </c>
      <c r="I206" s="953">
        <v>1248.45</v>
      </c>
      <c r="J206" s="1036">
        <v>936.62</v>
      </c>
      <c r="K206" s="953">
        <v>1322.4</v>
      </c>
      <c r="L206" s="954">
        <v>25</v>
      </c>
      <c r="M206" s="1031">
        <f t="shared" si="38"/>
        <v>3532.4700000000003</v>
      </c>
      <c r="N206" s="1031">
        <f t="shared" si="37"/>
        <v>39967.53</v>
      </c>
    </row>
    <row r="207" spans="2:14" ht="18.75" x14ac:dyDescent="0.3">
      <c r="B207" s="1029" t="s">
        <v>698</v>
      </c>
      <c r="C207" s="950" t="s">
        <v>807</v>
      </c>
      <c r="D207" s="1024" t="s">
        <v>105</v>
      </c>
      <c r="E207" s="960" t="s">
        <v>1067</v>
      </c>
      <c r="F207" s="951">
        <v>25000</v>
      </c>
      <c r="G207" s="952">
        <v>0</v>
      </c>
      <c r="H207" s="1031">
        <v>25000</v>
      </c>
      <c r="I207" s="953">
        <v>717.5</v>
      </c>
      <c r="J207" s="1035">
        <v>0</v>
      </c>
      <c r="K207" s="953">
        <v>760</v>
      </c>
      <c r="L207" s="954">
        <v>25</v>
      </c>
      <c r="M207" s="1031">
        <f t="shared" si="38"/>
        <v>1502.5</v>
      </c>
      <c r="N207" s="1031">
        <f t="shared" si="37"/>
        <v>23497.5</v>
      </c>
    </row>
    <row r="208" spans="2:14" ht="18.75" x14ac:dyDescent="0.3">
      <c r="B208" s="1029" t="s">
        <v>915</v>
      </c>
      <c r="C208" s="999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8"/>
        <v>1502.5</v>
      </c>
      <c r="N208" s="1031">
        <f t="shared" si="37"/>
        <v>23497.5</v>
      </c>
    </row>
    <row r="209" spans="2:14" ht="18.75" x14ac:dyDescent="0.3">
      <c r="B209" s="1029" t="s">
        <v>1058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8"/>
        <v>1502.5</v>
      </c>
      <c r="N209" s="1031">
        <f t="shared" si="37"/>
        <v>23497.5</v>
      </c>
    </row>
    <row r="210" spans="2:14" ht="18.75" x14ac:dyDescent="0.3">
      <c r="B210" s="1027" t="s">
        <v>587</v>
      </c>
      <c r="C210" s="950" t="s">
        <v>807</v>
      </c>
      <c r="D210" s="1024" t="s">
        <v>105</v>
      </c>
      <c r="E210" s="960" t="s">
        <v>1067</v>
      </c>
      <c r="F210" s="951">
        <v>25000</v>
      </c>
      <c r="G210" s="974">
        <v>0</v>
      </c>
      <c r="H210" s="1032">
        <v>25000</v>
      </c>
      <c r="I210" s="951">
        <v>717.5</v>
      </c>
      <c r="J210" s="1036">
        <v>0</v>
      </c>
      <c r="K210" s="951">
        <v>760</v>
      </c>
      <c r="L210" s="951">
        <v>25</v>
      </c>
      <c r="M210" s="1032">
        <f t="shared" si="38"/>
        <v>1502.5</v>
      </c>
      <c r="N210" s="1032">
        <f t="shared" si="37"/>
        <v>23497.5</v>
      </c>
    </row>
    <row r="211" spans="2:14" ht="18.75" x14ac:dyDescent="0.3">
      <c r="B211" s="1027" t="s">
        <v>1150</v>
      </c>
      <c r="C211" s="950" t="s">
        <v>1151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8"/>
        <v>1502.5</v>
      </c>
      <c r="N211" s="1032">
        <f t="shared" si="37"/>
        <v>23497.5</v>
      </c>
    </row>
    <row r="212" spans="2:14" ht="18.75" x14ac:dyDescent="0.3">
      <c r="B212" s="1024" t="s">
        <v>830</v>
      </c>
      <c r="C212" s="950" t="s">
        <v>806</v>
      </c>
      <c r="D212" s="1026" t="s">
        <v>92</v>
      </c>
      <c r="E212" s="960" t="s">
        <v>1067</v>
      </c>
      <c r="F212" s="978">
        <v>30000</v>
      </c>
      <c r="G212" s="979">
        <v>0</v>
      </c>
      <c r="H212" s="1032">
        <v>30000</v>
      </c>
      <c r="I212" s="951">
        <v>861</v>
      </c>
      <c r="J212" s="1036">
        <v>0</v>
      </c>
      <c r="K212" s="951">
        <v>912</v>
      </c>
      <c r="L212" s="951">
        <v>25</v>
      </c>
      <c r="M212" s="1032">
        <f t="shared" si="38"/>
        <v>1798</v>
      </c>
      <c r="N212" s="1032">
        <f t="shared" si="37"/>
        <v>28202</v>
      </c>
    </row>
    <row r="213" spans="2:14" ht="18.75" x14ac:dyDescent="0.3">
      <c r="B213" s="1024" t="s">
        <v>1056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8"/>
        <v>1798</v>
      </c>
      <c r="N213" s="1032">
        <f t="shared" si="37"/>
        <v>28202</v>
      </c>
    </row>
    <row r="214" spans="2:14" ht="18.75" x14ac:dyDescent="0.3">
      <c r="B214" s="1027" t="s">
        <v>800</v>
      </c>
      <c r="C214" s="950" t="s">
        <v>806</v>
      </c>
      <c r="D214" s="1024" t="s">
        <v>268</v>
      </c>
      <c r="E214" s="960" t="s">
        <v>1067</v>
      </c>
      <c r="F214" s="951">
        <v>30000</v>
      </c>
      <c r="G214" s="974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8"/>
        <v>1798</v>
      </c>
      <c r="N214" s="1032">
        <f t="shared" si="37"/>
        <v>28202</v>
      </c>
    </row>
    <row r="215" spans="2:14" ht="18.75" x14ac:dyDescent="0.3">
      <c r="B215" s="1029" t="s">
        <v>1333</v>
      </c>
      <c r="C215" s="950" t="s">
        <v>1296</v>
      </c>
      <c r="D215" s="1024" t="s">
        <v>268</v>
      </c>
      <c r="E215" s="960" t="s">
        <v>1067</v>
      </c>
      <c r="F215" s="951">
        <v>30000</v>
      </c>
      <c r="G215" s="952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8"/>
        <v>1798</v>
      </c>
      <c r="N215" s="1031">
        <f t="shared" si="37"/>
        <v>28202</v>
      </c>
    </row>
    <row r="216" spans="2:14" ht="18.75" x14ac:dyDescent="0.3">
      <c r="B216" s="1029" t="s">
        <v>91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2134</v>
      </c>
      <c r="M216" s="1031">
        <f t="shared" si="38"/>
        <v>3907</v>
      </c>
      <c r="N216" s="1031">
        <f t="shared" si="37"/>
        <v>26093</v>
      </c>
    </row>
    <row r="217" spans="2:14" ht="18.75" x14ac:dyDescent="0.3">
      <c r="B217" s="1029" t="s">
        <v>1346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8"/>
        <v>1798</v>
      </c>
      <c r="N217" s="1031">
        <f t="shared" si="37"/>
        <v>28202</v>
      </c>
    </row>
    <row r="218" spans="2:14" ht="18.75" x14ac:dyDescent="0.3">
      <c r="B218" s="1029" t="s">
        <v>1350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8"/>
        <v>1798</v>
      </c>
      <c r="N218" s="1031">
        <f t="shared" si="37"/>
        <v>28202</v>
      </c>
    </row>
    <row r="219" spans="2:14" ht="18.75" x14ac:dyDescent="0.3">
      <c r="B219" s="1027" t="s">
        <v>1388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74">
        <v>0</v>
      </c>
      <c r="H219" s="1032">
        <v>30000</v>
      </c>
      <c r="I219" s="951">
        <v>861</v>
      </c>
      <c r="J219" s="1036">
        <v>0</v>
      </c>
      <c r="K219" s="951">
        <v>912</v>
      </c>
      <c r="L219" s="951">
        <v>25</v>
      </c>
      <c r="M219" s="1032">
        <v>1798</v>
      </c>
      <c r="N219" s="1032">
        <v>28202</v>
      </c>
    </row>
    <row r="220" spans="2:14" ht="18.75" x14ac:dyDescent="0.3">
      <c r="B220" s="1027" t="s">
        <v>1389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1390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961" t="s">
        <v>749</v>
      </c>
      <c r="C222" s="999"/>
      <c r="D222" s="962">
        <v>36</v>
      </c>
      <c r="E222" s="962"/>
      <c r="F222" s="963">
        <f>SUM(F186:F221)</f>
        <v>1601500</v>
      </c>
      <c r="G222" s="1071">
        <v>0</v>
      </c>
      <c r="H222" s="963">
        <f t="shared" ref="H222:N222" si="39">SUM(H186:H221)</f>
        <v>1601500</v>
      </c>
      <c r="I222" s="963">
        <f t="shared" si="39"/>
        <v>45963.049999999996</v>
      </c>
      <c r="J222" s="963">
        <f t="shared" si="39"/>
        <v>74518.849999999977</v>
      </c>
      <c r="K222" s="963">
        <f t="shared" si="39"/>
        <v>48685.599999999999</v>
      </c>
      <c r="L222" s="963">
        <f t="shared" si="39"/>
        <v>14004.76</v>
      </c>
      <c r="M222" s="963">
        <f t="shared" si="39"/>
        <v>183172.25999999995</v>
      </c>
      <c r="N222" s="963">
        <f t="shared" si="39"/>
        <v>1418327.7399999998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+D18+D23+D28+D38+D42+D47+D51+D57+D71+D87+D92+D97+D103+D108+D112+D122+D128+D137+D144+D148+D152+D159+D164+D169+D183+D222</f>
        <v>132</v>
      </c>
      <c r="E224" s="1058"/>
      <c r="F224" s="1076">
        <f>+F18+F23+F28+F38+F42+F47+F51+F57+F71+F87+F92+F97+F103+F108+F112+F122+F128+F137+F144+F148+F152+F159+F164+F169+F183+F222</f>
        <v>7021500</v>
      </c>
      <c r="G224" s="1072">
        <v>0</v>
      </c>
      <c r="H224" s="1076">
        <f t="shared" ref="H224:N224" si="40">+H18+H23+H28+H38+H42+H47+H51+H57+H71+H87+H92+H97+H103+H108+H112+H122+H128+H137+H144+H148+H152+H159+H164+H169+H183+H222</f>
        <v>7021500</v>
      </c>
      <c r="I224" s="1076">
        <f t="shared" si="40"/>
        <v>201517.05</v>
      </c>
      <c r="J224" s="1076">
        <f t="shared" si="40"/>
        <v>478333.92999999993</v>
      </c>
      <c r="K224" s="1076">
        <f t="shared" si="40"/>
        <v>210931.91999999995</v>
      </c>
      <c r="L224" s="1076">
        <f t="shared" si="40"/>
        <v>142774.07</v>
      </c>
      <c r="M224" s="1076">
        <f t="shared" si="40"/>
        <v>1033556.9699999997</v>
      </c>
      <c r="N224" s="1076">
        <f t="shared" si="40"/>
        <v>5987943.0299999993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271"/>
      <c r="F230" s="869"/>
      <c r="G230" s="853"/>
      <c r="H230" s="853"/>
      <c r="I230" s="853"/>
      <c r="J230" s="1073"/>
      <c r="K230" s="1022"/>
      <c r="L230" s="1022"/>
      <c r="M230" s="1022"/>
      <c r="N230" s="1022"/>
    </row>
    <row r="231" spans="2:14" ht="15.75" x14ac:dyDescent="0.25">
      <c r="B231" s="853"/>
      <c r="C231" s="871"/>
      <c r="D231" s="1022"/>
      <c r="F231" s="869"/>
      <c r="G231" s="853"/>
      <c r="H231" s="853"/>
      <c r="I231" s="853"/>
      <c r="J231" s="1022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1022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703" t="s">
        <v>1271</v>
      </c>
      <c r="C248" s="1703"/>
      <c r="D248" s="874"/>
      <c r="E248" s="874"/>
      <c r="F248" s="875"/>
      <c r="G248" s="873"/>
      <c r="H248" s="873"/>
      <c r="I248" s="1683" t="s">
        <v>852</v>
      </c>
      <c r="J248" s="1683"/>
      <c r="K248" s="1683"/>
      <c r="L248" s="1683"/>
      <c r="M248" s="1683"/>
      <c r="N248" s="1683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684" t="s">
        <v>1370</v>
      </c>
      <c r="K249" s="1684"/>
      <c r="L249" s="1684"/>
      <c r="M249" s="1684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48:C248"/>
    <mergeCell ref="I248:N248"/>
    <mergeCell ref="J249:M249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3" max="14" man="1"/>
  </rowBreaks>
  <drawing r:id="rId2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27546-ED0B-4F19-A7EC-42D8901F2C63}">
  <dimension ref="A1:S155"/>
  <sheetViews>
    <sheetView zoomScaleNormal="100" zoomScaleSheetLayoutView="70" workbookViewId="0">
      <selection activeCell="C77" sqref="C77"/>
    </sheetView>
  </sheetViews>
  <sheetFormatPr baseColWidth="10" defaultRowHeight="15" x14ac:dyDescent="0.25"/>
  <cols>
    <col min="1" max="1" width="9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1404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09" t="s">
        <v>7</v>
      </c>
      <c r="B11" s="1709" t="s">
        <v>937</v>
      </c>
      <c r="C11" s="1712" t="s">
        <v>9</v>
      </c>
      <c r="D11" s="1709" t="s">
        <v>832</v>
      </c>
      <c r="E11" s="1709" t="s">
        <v>834</v>
      </c>
      <c r="F11" s="1709" t="s">
        <v>209</v>
      </c>
      <c r="G11" s="1051" t="s">
        <v>12</v>
      </c>
      <c r="H11" s="1711" t="s">
        <v>13</v>
      </c>
      <c r="I11" s="1710" t="s">
        <v>14</v>
      </c>
      <c r="J11" s="1710" t="s">
        <v>15</v>
      </c>
      <c r="K11" s="1710" t="s">
        <v>16</v>
      </c>
      <c r="L11" s="1710" t="s">
        <v>17</v>
      </c>
      <c r="M11" s="1710" t="s">
        <v>18</v>
      </c>
      <c r="N11" s="1710" t="s">
        <v>19</v>
      </c>
      <c r="O11" s="1710" t="s">
        <v>20</v>
      </c>
    </row>
    <row r="12" spans="1:15" x14ac:dyDescent="0.25">
      <c r="A12" s="1709"/>
      <c r="B12" s="1709"/>
      <c r="C12" s="1712"/>
      <c r="D12" s="1709"/>
      <c r="E12" s="1709"/>
      <c r="F12" s="1709"/>
      <c r="G12" s="1051" t="s">
        <v>21</v>
      </c>
      <c r="H12" s="1711"/>
      <c r="I12" s="1710"/>
      <c r="J12" s="1710"/>
      <c r="K12" s="1710"/>
      <c r="L12" s="1710"/>
      <c r="M12" s="1710"/>
      <c r="N12" s="1710"/>
      <c r="O12" s="1710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1406</v>
      </c>
      <c r="B14" s="281" t="s">
        <v>806</v>
      </c>
      <c r="C14" s="282" t="s">
        <v>268</v>
      </c>
      <c r="D14" s="281" t="s">
        <v>1281</v>
      </c>
      <c r="E14" s="855">
        <v>45474</v>
      </c>
      <c r="F14" s="855">
        <v>45658</v>
      </c>
      <c r="G14" s="626">
        <v>16000</v>
      </c>
      <c r="H14" s="627">
        <v>0</v>
      </c>
      <c r="I14" s="626">
        <v>16000</v>
      </c>
      <c r="J14" s="468">
        <v>459.2</v>
      </c>
      <c r="K14" s="456">
        <v>0</v>
      </c>
      <c r="L14" s="468">
        <v>486.4</v>
      </c>
      <c r="M14" s="468">
        <v>25</v>
      </c>
      <c r="N14" s="468">
        <f>+J14+K14+L14+M14</f>
        <v>970.59999999999991</v>
      </c>
      <c r="O14" s="468">
        <f>+I14-N14</f>
        <v>15029.4</v>
      </c>
    </row>
    <row r="15" spans="1:15" ht="18" customHeight="1" x14ac:dyDescent="0.25">
      <c r="A15" s="286" t="s">
        <v>1407</v>
      </c>
      <c r="B15" s="281" t="s">
        <v>807</v>
      </c>
      <c r="C15" s="282" t="s">
        <v>1408</v>
      </c>
      <c r="D15" s="281" t="s">
        <v>1281</v>
      </c>
      <c r="E15" s="855">
        <v>45474</v>
      </c>
      <c r="F15" s="855">
        <v>45658</v>
      </c>
      <c r="G15" s="626">
        <v>53333.33</v>
      </c>
      <c r="H15" s="627">
        <v>0</v>
      </c>
      <c r="I15" s="626">
        <v>53333.33</v>
      </c>
      <c r="J15" s="468">
        <v>1530.67</v>
      </c>
      <c r="K15" s="468">
        <v>2324.4499999999998</v>
      </c>
      <c r="L15" s="468">
        <v>1621.33</v>
      </c>
      <c r="M15" s="468">
        <v>25</v>
      </c>
      <c r="N15" s="468">
        <f>+J15+K15+L15+M15</f>
        <v>5501.45</v>
      </c>
      <c r="O15" s="468">
        <f>+I15-N15</f>
        <v>47831.880000000005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69333.33</v>
      </c>
      <c r="H16" s="696">
        <f t="shared" ref="H16" si="0">SUM(H15)</f>
        <v>0</v>
      </c>
      <c r="I16" s="571">
        <f>SUM(I14:I15)</f>
        <v>69333.33</v>
      </c>
      <c r="J16" s="571">
        <f t="shared" ref="J16:N16" si="1">SUM(J14:J15)</f>
        <v>1989.8700000000001</v>
      </c>
      <c r="K16" s="571">
        <f t="shared" si="1"/>
        <v>2324.4499999999998</v>
      </c>
      <c r="L16" s="571">
        <f t="shared" si="1"/>
        <v>2107.73</v>
      </c>
      <c r="M16" s="571">
        <f t="shared" si="1"/>
        <v>50</v>
      </c>
      <c r="N16" s="571">
        <f t="shared" si="1"/>
        <v>6472.0499999999993</v>
      </c>
      <c r="O16" s="571">
        <f>SUM(O14:O15)</f>
        <v>62861.280000000006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 t="shared" ref="G20:O20" si="2">SUM(G19)</f>
        <v>120000</v>
      </c>
      <c r="H20" s="696">
        <f t="shared" si="2"/>
        <v>0</v>
      </c>
      <c r="I20" s="571">
        <f t="shared" si="2"/>
        <v>120000</v>
      </c>
      <c r="J20" s="571">
        <f t="shared" si="2"/>
        <v>3444</v>
      </c>
      <c r="K20" s="571">
        <f t="shared" si="2"/>
        <v>16809.87</v>
      </c>
      <c r="L20" s="571">
        <f t="shared" si="2"/>
        <v>3648</v>
      </c>
      <c r="M20" s="571">
        <f>SUM(M19)</f>
        <v>2097.1999999999998</v>
      </c>
      <c r="N20" s="571">
        <f t="shared" si="2"/>
        <v>25999.07</v>
      </c>
      <c r="O20" s="571">
        <f t="shared" si="2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6" t="s">
        <v>1282</v>
      </c>
      <c r="B23" s="497" t="s">
        <v>806</v>
      </c>
      <c r="C23" s="282" t="s">
        <v>214</v>
      </c>
      <c r="D23" s="281" t="s">
        <v>1063</v>
      </c>
      <c r="E23" s="855">
        <v>45413</v>
      </c>
      <c r="F23" s="855">
        <v>45597</v>
      </c>
      <c r="G23" s="626">
        <v>75000</v>
      </c>
      <c r="H23" s="487">
        <v>0</v>
      </c>
      <c r="I23" s="457">
        <v>75000</v>
      </c>
      <c r="J23" s="457">
        <v>2152.5</v>
      </c>
      <c r="K23" s="457">
        <v>6309.38</v>
      </c>
      <c r="L23" s="457">
        <v>2280</v>
      </c>
      <c r="M23" s="457">
        <v>2568.4</v>
      </c>
      <c r="N23" s="457">
        <f>+J23+K23+L23+M23</f>
        <v>13310.28</v>
      </c>
      <c r="O23" s="457">
        <f>+I23-N23</f>
        <v>61689.72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57">
        <v>2128</v>
      </c>
      <c r="M24" s="457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145000</v>
      </c>
      <c r="H25" s="696">
        <f t="shared" ref="H25" si="3">SUM(H24)</f>
        <v>0</v>
      </c>
      <c r="I25" s="571">
        <f t="shared" ref="I25:O25" si="4">SUM(I23:I24)</f>
        <v>145000</v>
      </c>
      <c r="J25" s="571">
        <f t="shared" si="4"/>
        <v>4161.5</v>
      </c>
      <c r="K25" s="571">
        <f t="shared" si="4"/>
        <v>11677.86</v>
      </c>
      <c r="L25" s="571">
        <f t="shared" si="4"/>
        <v>4408</v>
      </c>
      <c r="M25" s="571">
        <f t="shared" si="4"/>
        <v>7593.4</v>
      </c>
      <c r="N25" s="571">
        <f t="shared" si="4"/>
        <v>27840.760000000002</v>
      </c>
      <c r="O25" s="571">
        <f t="shared" si="4"/>
        <v>117159.24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494"/>
      <c r="M26" s="494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463"/>
      <c r="M27" s="463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1365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57">
        <v>3496</v>
      </c>
      <c r="M28" s="457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498">
        <v>2128</v>
      </c>
      <c r="M29" s="498">
        <v>8487.36</v>
      </c>
      <c r="N29" s="457">
        <f>+J29+K29+L29+M29</f>
        <v>17992.84</v>
      </c>
      <c r="O29" s="457">
        <f>+I29-N29</f>
        <v>52007.16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5">SUM(H29)</f>
        <v>0</v>
      </c>
      <c r="I30" s="695">
        <f t="shared" ref="I30:O30" si="6">SUM(I28:I29)</f>
        <v>185000</v>
      </c>
      <c r="J30" s="695">
        <f t="shared" si="6"/>
        <v>5309.5</v>
      </c>
      <c r="K30" s="695">
        <f t="shared" si="6"/>
        <v>21002.22</v>
      </c>
      <c r="L30" s="695">
        <f t="shared" si="6"/>
        <v>5624</v>
      </c>
      <c r="M30" s="695">
        <f t="shared" si="6"/>
        <v>11055.76</v>
      </c>
      <c r="N30" s="695">
        <f t="shared" si="6"/>
        <v>42991.479999999996</v>
      </c>
      <c r="O30" s="695">
        <f t="shared" si="6"/>
        <v>142008.52000000002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57"/>
      <c r="M32" s="457"/>
      <c r="N32" s="457"/>
      <c r="O32" s="457"/>
    </row>
    <row r="33" spans="1:15" ht="25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489">
        <v>3496</v>
      </c>
      <c r="M33" s="661">
        <v>1431</v>
      </c>
      <c r="N33" s="457">
        <f>+J33+K33+L33+M33</f>
        <v>23861.239999999998</v>
      </c>
      <c r="O33" s="457">
        <f>+I33-N33</f>
        <v>91138.760000000009</v>
      </c>
    </row>
    <row r="34" spans="1:15" ht="24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45383</v>
      </c>
      <c r="F34" s="855">
        <v>45566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489">
        <v>1520</v>
      </c>
      <c r="M34" s="661">
        <v>25</v>
      </c>
      <c r="N34" s="457">
        <f>+J34+K34+L34+M34</f>
        <v>4834</v>
      </c>
      <c r="O34" s="457">
        <f>+I34-N34</f>
        <v>45166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7">SUM(H34)</f>
        <v>0</v>
      </c>
      <c r="I35" s="695">
        <f t="shared" ref="I35:O35" si="8">SUM(I33:I34)</f>
        <v>165000</v>
      </c>
      <c r="J35" s="695">
        <f t="shared" si="8"/>
        <v>4735.5</v>
      </c>
      <c r="K35" s="695">
        <f t="shared" si="8"/>
        <v>17487.739999999998</v>
      </c>
      <c r="L35" s="695">
        <f t="shared" si="8"/>
        <v>5016</v>
      </c>
      <c r="M35" s="695">
        <f>SUM(M33:M34)</f>
        <v>1456</v>
      </c>
      <c r="N35" s="695">
        <f t="shared" si="8"/>
        <v>28695.239999999998</v>
      </c>
      <c r="O35" s="695">
        <f t="shared" si="8"/>
        <v>136304.76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522"/>
      <c r="M36" s="686"/>
      <c r="N36" s="463"/>
      <c r="O36" s="463"/>
    </row>
    <row r="37" spans="1:15" ht="30.75" customHeight="1" x14ac:dyDescent="0.25">
      <c r="A37" s="492" t="s">
        <v>1167</v>
      </c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1.5" customHeight="1" x14ac:dyDescent="0.25">
      <c r="A38" s="724" t="s">
        <v>1168</v>
      </c>
      <c r="B38" s="637" t="s">
        <v>807</v>
      </c>
      <c r="C38" s="282" t="s">
        <v>1367</v>
      </c>
      <c r="D38" s="281" t="s">
        <v>1063</v>
      </c>
      <c r="E38" s="855">
        <v>45413</v>
      </c>
      <c r="F38" s="855">
        <v>45597</v>
      </c>
      <c r="G38" s="468">
        <v>95000</v>
      </c>
      <c r="H38" s="456">
        <v>0</v>
      </c>
      <c r="I38" s="489">
        <v>95000</v>
      </c>
      <c r="J38" s="489">
        <v>2726.5</v>
      </c>
      <c r="K38" s="489">
        <v>10929.24</v>
      </c>
      <c r="L38" s="489">
        <v>2888</v>
      </c>
      <c r="M38" s="661">
        <v>2134</v>
      </c>
      <c r="N38" s="457">
        <f>+J38+K38+L38+M38</f>
        <v>18677.739999999998</v>
      </c>
      <c r="O38" s="457">
        <f>+I38-N38</f>
        <v>76322.260000000009</v>
      </c>
    </row>
    <row r="39" spans="1:15" ht="17.25" customHeight="1" x14ac:dyDescent="0.25">
      <c r="A39" s="453" t="s">
        <v>813</v>
      </c>
      <c r="B39" s="453"/>
      <c r="C39" s="453">
        <v>1</v>
      </c>
      <c r="D39" s="525"/>
      <c r="E39" s="500"/>
      <c r="F39" s="855"/>
      <c r="G39" s="697">
        <f>SUM(G38)</f>
        <v>95000</v>
      </c>
      <c r="H39" s="696">
        <f>SUM(H38)</f>
        <v>0</v>
      </c>
      <c r="I39" s="697">
        <f t="shared" ref="I39:O39" si="9">SUM(I38)</f>
        <v>95000</v>
      </c>
      <c r="J39" s="697">
        <f t="shared" si="9"/>
        <v>2726.5</v>
      </c>
      <c r="K39" s="697">
        <f t="shared" si="9"/>
        <v>10929.24</v>
      </c>
      <c r="L39" s="697">
        <f t="shared" si="9"/>
        <v>2888</v>
      </c>
      <c r="M39" s="697">
        <f t="shared" si="9"/>
        <v>2134</v>
      </c>
      <c r="N39" s="697">
        <f t="shared" si="9"/>
        <v>18677.739999999998</v>
      </c>
      <c r="O39" s="697">
        <f t="shared" si="9"/>
        <v>76322.260000000009</v>
      </c>
    </row>
    <row r="40" spans="1:15" ht="17.25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522"/>
      <c r="M40" s="686"/>
      <c r="N40" s="463"/>
      <c r="O40" s="463"/>
    </row>
    <row r="41" spans="1:15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695"/>
      <c r="N41" s="695"/>
      <c r="O41" s="695"/>
    </row>
    <row r="42" spans="1:15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45383</v>
      </c>
      <c r="F42" s="855">
        <v>45536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498">
        <v>2888</v>
      </c>
      <c r="M42" s="498">
        <v>8637.92</v>
      </c>
      <c r="N42" s="457">
        <f>+J42+K42+L42+M42</f>
        <v>25181.659999999996</v>
      </c>
      <c r="O42" s="498">
        <f>+I42-N42</f>
        <v>69818.34</v>
      </c>
    </row>
    <row r="43" spans="1:15" ht="17.25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 t="shared" ref="G43:O43" si="10">SUM(G42)</f>
        <v>95000</v>
      </c>
      <c r="H43" s="696">
        <f>SUM(H42)</f>
        <v>0</v>
      </c>
      <c r="I43" s="697">
        <f t="shared" si="10"/>
        <v>95000</v>
      </c>
      <c r="J43" s="697">
        <f t="shared" si="10"/>
        <v>2726.5</v>
      </c>
      <c r="K43" s="697">
        <f t="shared" si="10"/>
        <v>10929.24</v>
      </c>
      <c r="L43" s="697">
        <f t="shared" si="10"/>
        <v>2888</v>
      </c>
      <c r="M43" s="697">
        <f>SUM(M42)</f>
        <v>8637.92</v>
      </c>
      <c r="N43" s="697">
        <f t="shared" si="10"/>
        <v>25181.659999999996</v>
      </c>
      <c r="O43" s="697">
        <f t="shared" si="10"/>
        <v>69818.34</v>
      </c>
    </row>
    <row r="44" spans="1:15" ht="17.25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x14ac:dyDescent="0.25">
      <c r="A46" s="466" t="s">
        <v>842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7"/>
      <c r="M46" s="697"/>
      <c r="N46" s="697"/>
      <c r="O46" s="697"/>
    </row>
    <row r="47" spans="1:15" ht="18" customHeight="1" x14ac:dyDescent="0.25">
      <c r="A47" s="496" t="s">
        <v>1393</v>
      </c>
      <c r="B47" s="497" t="s">
        <v>807</v>
      </c>
      <c r="C47" s="282" t="s">
        <v>1394</v>
      </c>
      <c r="D47" s="281" t="s">
        <v>1063</v>
      </c>
      <c r="E47" s="855">
        <v>45444</v>
      </c>
      <c r="F47" s="855">
        <v>45627</v>
      </c>
      <c r="G47" s="626">
        <v>100000</v>
      </c>
      <c r="H47" s="487">
        <v>0</v>
      </c>
      <c r="I47" s="498">
        <v>100000</v>
      </c>
      <c r="J47" s="498">
        <v>2870</v>
      </c>
      <c r="K47" s="498">
        <v>12105.37</v>
      </c>
      <c r="L47" s="498">
        <v>3040</v>
      </c>
      <c r="M47" s="498">
        <v>25</v>
      </c>
      <c r="N47" s="457">
        <v>18040.37</v>
      </c>
      <c r="O47" s="498">
        <f>+I47-N47</f>
        <v>81959.63</v>
      </c>
    </row>
    <row r="48" spans="1:15" ht="17.25" customHeight="1" x14ac:dyDescent="0.25">
      <c r="A48" s="496" t="s">
        <v>1154</v>
      </c>
      <c r="B48" s="497" t="s">
        <v>807</v>
      </c>
      <c r="C48" s="282" t="s">
        <v>905</v>
      </c>
      <c r="D48" s="281" t="s">
        <v>1063</v>
      </c>
      <c r="E48" s="855">
        <v>45383</v>
      </c>
      <c r="F48" s="855">
        <v>45566</v>
      </c>
      <c r="G48" s="626">
        <v>50000</v>
      </c>
      <c r="H48" s="487">
        <v>0</v>
      </c>
      <c r="I48" s="498">
        <v>50000</v>
      </c>
      <c r="J48" s="498">
        <v>1435</v>
      </c>
      <c r="K48" s="498">
        <v>1854</v>
      </c>
      <c r="L48" s="498">
        <v>1520</v>
      </c>
      <c r="M48" s="498">
        <v>25</v>
      </c>
      <c r="N48" s="457">
        <f>+J48+K48+L48+M48</f>
        <v>4834</v>
      </c>
      <c r="O48" s="498">
        <f>+I48-N48</f>
        <v>45166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150000</v>
      </c>
      <c r="H49" s="696">
        <f t="shared" ref="H49" si="11">SUM(H48)</f>
        <v>0</v>
      </c>
      <c r="I49" s="697">
        <f t="shared" ref="I49:O49" si="12">SUM(I47:I48)</f>
        <v>150000</v>
      </c>
      <c r="J49" s="697">
        <f t="shared" si="12"/>
        <v>4305</v>
      </c>
      <c r="K49" s="697">
        <f t="shared" si="12"/>
        <v>13959.37</v>
      </c>
      <c r="L49" s="697">
        <f t="shared" si="12"/>
        <v>4560</v>
      </c>
      <c r="M49" s="697">
        <f t="shared" si="12"/>
        <v>50</v>
      </c>
      <c r="N49" s="697">
        <f t="shared" si="12"/>
        <v>22874.37</v>
      </c>
      <c r="O49" s="697">
        <f t="shared" si="12"/>
        <v>127125.63</v>
      </c>
    </row>
    <row r="50" spans="1:15" x14ac:dyDescent="0.25">
      <c r="A50" s="490"/>
      <c r="B50" s="491"/>
      <c r="C50" s="492"/>
      <c r="D50" s="465"/>
      <c r="E50" s="858"/>
      <c r="F50" s="855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ht="33.7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x14ac:dyDescent="0.25">
      <c r="A52" s="286" t="s">
        <v>624</v>
      </c>
      <c r="B52" s="281" t="s">
        <v>806</v>
      </c>
      <c r="C52" s="286" t="s">
        <v>1392</v>
      </c>
      <c r="D52" s="281" t="s">
        <v>1063</v>
      </c>
      <c r="E52" s="855">
        <v>45474</v>
      </c>
      <c r="F52" s="855">
        <v>45658</v>
      </c>
      <c r="G52" s="626">
        <v>120000</v>
      </c>
      <c r="H52" s="627">
        <v>0</v>
      </c>
      <c r="I52" s="468">
        <v>120000</v>
      </c>
      <c r="J52" s="468">
        <v>3444</v>
      </c>
      <c r="K52" s="468">
        <v>16809.87</v>
      </c>
      <c r="L52" s="628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x14ac:dyDescent="0.25">
      <c r="A53" s="496" t="s">
        <v>1352</v>
      </c>
      <c r="B53" s="497" t="s">
        <v>806</v>
      </c>
      <c r="C53" s="286" t="s">
        <v>1353</v>
      </c>
      <c r="D53" s="281" t="s">
        <v>1063</v>
      </c>
      <c r="E53" s="855">
        <v>45413</v>
      </c>
      <c r="F53" s="855">
        <v>45597</v>
      </c>
      <c r="G53" s="626">
        <v>55000</v>
      </c>
      <c r="H53" s="487">
        <v>0</v>
      </c>
      <c r="I53" s="457">
        <v>55000</v>
      </c>
      <c r="J53" s="457">
        <v>1578.5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98">
        <f>+I53-N53</f>
        <v>49164.82</v>
      </c>
    </row>
    <row r="54" spans="1:15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696">
        <f t="shared" ref="H54" si="13">SUM(H53)</f>
        <v>0</v>
      </c>
      <c r="I54" s="697">
        <f t="shared" ref="I54:O54" si="14">SUM(I52:I53)</f>
        <v>175000</v>
      </c>
      <c r="J54" s="697">
        <f t="shared" si="14"/>
        <v>5022.5</v>
      </c>
      <c r="K54" s="697">
        <f t="shared" si="14"/>
        <v>19369.55</v>
      </c>
      <c r="L54" s="697">
        <f t="shared" si="14"/>
        <v>5320</v>
      </c>
      <c r="M54" s="697">
        <f>SUM(M52:M53)</f>
        <v>2593.4</v>
      </c>
      <c r="N54" s="697">
        <f t="shared" si="14"/>
        <v>32305.45</v>
      </c>
      <c r="O54" s="697">
        <f t="shared" si="14"/>
        <v>142694.54999999999</v>
      </c>
    </row>
    <row r="55" spans="1:15" x14ac:dyDescent="0.25">
      <c r="A55" s="490"/>
      <c r="B55" s="491"/>
      <c r="C55" s="492"/>
      <c r="D55" s="465"/>
      <c r="E55" s="856"/>
      <c r="F55" s="857"/>
      <c r="G55" s="626"/>
      <c r="H55" s="487"/>
      <c r="I55" s="457"/>
      <c r="J55" s="457"/>
      <c r="K55" s="457"/>
      <c r="L55" s="457"/>
      <c r="M55" s="457"/>
      <c r="N55" s="457"/>
      <c r="O55" s="457"/>
    </row>
    <row r="56" spans="1:15" x14ac:dyDescent="0.25">
      <c r="A56" s="453" t="s">
        <v>787</v>
      </c>
      <c r="B56" s="465"/>
      <c r="C56" s="492"/>
      <c r="D56" s="465"/>
      <c r="E56" s="1019"/>
      <c r="F56" s="857"/>
      <c r="G56" s="695"/>
      <c r="H56" s="696"/>
      <c r="I56" s="697"/>
      <c r="J56" s="697"/>
      <c r="K56" s="697"/>
      <c r="L56" s="698"/>
      <c r="M56" s="697"/>
      <c r="N56" s="697"/>
      <c r="O56" s="697"/>
    </row>
    <row r="57" spans="1:15" ht="30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45444</v>
      </c>
      <c r="F57" s="855">
        <v>45627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038">
        <v>3800</v>
      </c>
      <c r="M57" s="1038">
        <v>25</v>
      </c>
      <c r="N57" s="468">
        <f t="shared" ref="N57:N63" si="15">+J57+K57+L57+M57</f>
        <v>25398.49</v>
      </c>
      <c r="O57" s="498">
        <f t="shared" ref="O57:O63" si="16">+I57-N57</f>
        <v>99601.51</v>
      </c>
    </row>
    <row r="58" spans="1:15" ht="30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si="15"/>
        <v>25398.49</v>
      </c>
      <c r="O58" s="498">
        <f t="shared" si="16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45413</v>
      </c>
      <c r="F59" s="855">
        <v>45597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5"/>
        <v>25398.49</v>
      </c>
      <c r="O59" s="498">
        <f t="shared" si="16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5"/>
        <v>25398.49</v>
      </c>
      <c r="O60" s="498">
        <f t="shared" si="16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5"/>
        <v>25398.49</v>
      </c>
      <c r="O61" s="498">
        <f t="shared" si="16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115000</v>
      </c>
      <c r="H62" s="487">
        <v>0</v>
      </c>
      <c r="I62" s="1038">
        <v>115000</v>
      </c>
      <c r="J62" s="1038">
        <v>3300.5</v>
      </c>
      <c r="K62" s="1038">
        <v>15633.74</v>
      </c>
      <c r="L62" s="1039">
        <v>3496</v>
      </c>
      <c r="M62" s="1038">
        <v>25</v>
      </c>
      <c r="N62" s="468">
        <f t="shared" si="15"/>
        <v>22455.239999999998</v>
      </c>
      <c r="O62" s="498">
        <f t="shared" si="16"/>
        <v>92544.760000000009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627">
        <v>0</v>
      </c>
      <c r="I63" s="1038">
        <v>115000</v>
      </c>
      <c r="J63" s="1038">
        <v>3300.5</v>
      </c>
      <c r="K63" s="1038">
        <v>15204.88</v>
      </c>
      <c r="L63" s="1039">
        <v>3496</v>
      </c>
      <c r="M63" s="1038">
        <v>1740.46</v>
      </c>
      <c r="N63" s="468">
        <f t="shared" si="15"/>
        <v>23741.839999999997</v>
      </c>
      <c r="O63" s="626">
        <f t="shared" si="16"/>
        <v>91258.16</v>
      </c>
    </row>
    <row r="64" spans="1:15" x14ac:dyDescent="0.25">
      <c r="A64" s="466" t="s">
        <v>813</v>
      </c>
      <c r="B64" s="465"/>
      <c r="C64" s="492">
        <v>7</v>
      </c>
      <c r="D64" s="465"/>
      <c r="E64" s="500"/>
      <c r="F64" s="855"/>
      <c r="G64" s="697">
        <f>SUM(G57:G63)</f>
        <v>855000</v>
      </c>
      <c r="H64" s="696">
        <f t="shared" ref="H64" si="17">SUM(H63)</f>
        <v>0</v>
      </c>
      <c r="I64" s="697">
        <f t="shared" ref="I64:O64" si="18">SUM(I57:I63)</f>
        <v>855000</v>
      </c>
      <c r="J64" s="697">
        <f t="shared" si="18"/>
        <v>24538.5</v>
      </c>
      <c r="K64" s="697">
        <f t="shared" si="18"/>
        <v>120768.57000000002</v>
      </c>
      <c r="L64" s="697">
        <f t="shared" si="18"/>
        <v>25992</v>
      </c>
      <c r="M64" s="697">
        <f t="shared" si="18"/>
        <v>1890.46</v>
      </c>
      <c r="N64" s="697">
        <f t="shared" si="18"/>
        <v>173189.53</v>
      </c>
      <c r="O64" s="697">
        <f t="shared" si="18"/>
        <v>681810.47000000009</v>
      </c>
    </row>
    <row r="65" spans="1:15" x14ac:dyDescent="0.25">
      <c r="A65" s="466"/>
      <c r="B65" s="465"/>
      <c r="C65" s="492"/>
      <c r="D65" s="465"/>
      <c r="E65" s="500"/>
      <c r="F65" s="855"/>
      <c r="G65" s="697"/>
      <c r="H65" s="697"/>
      <c r="I65" s="697"/>
      <c r="J65" s="697"/>
      <c r="K65" s="697"/>
      <c r="L65" s="697"/>
      <c r="M65" s="697"/>
      <c r="N65" s="697"/>
      <c r="O65" s="697"/>
    </row>
    <row r="66" spans="1:15" x14ac:dyDescent="0.25">
      <c r="A66" s="466" t="s">
        <v>821</v>
      </c>
      <c r="B66" s="465"/>
      <c r="C66" s="492"/>
      <c r="D66" s="465"/>
      <c r="E66" s="500"/>
      <c r="F66" s="855"/>
      <c r="G66" s="695"/>
      <c r="H66" s="696"/>
      <c r="I66" s="697"/>
      <c r="J66" s="697"/>
      <c r="K66" s="697"/>
      <c r="L66" s="698"/>
      <c r="M66" s="697"/>
      <c r="N66" s="697"/>
      <c r="O66" s="697"/>
    </row>
    <row r="67" spans="1:15" ht="27" customHeight="1" x14ac:dyDescent="0.25">
      <c r="A67" s="286" t="s">
        <v>593</v>
      </c>
      <c r="B67" s="497" t="s">
        <v>806</v>
      </c>
      <c r="C67" s="282" t="s">
        <v>1361</v>
      </c>
      <c r="D67" s="281" t="s">
        <v>1063</v>
      </c>
      <c r="E67" s="855">
        <v>45413</v>
      </c>
      <c r="F67" s="855">
        <v>45597</v>
      </c>
      <c r="G67" s="626">
        <v>150000</v>
      </c>
      <c r="H67" s="487">
        <v>0</v>
      </c>
      <c r="I67" s="457">
        <v>150000</v>
      </c>
      <c r="J67" s="457">
        <v>4305</v>
      </c>
      <c r="K67" s="457">
        <v>23866.62</v>
      </c>
      <c r="L67" s="489">
        <v>4560</v>
      </c>
      <c r="M67" s="457">
        <v>25</v>
      </c>
      <c r="N67" s="457">
        <f>+J67+K67+L67+M67</f>
        <v>32756.62</v>
      </c>
      <c r="O67" s="457">
        <f>+I67-N67</f>
        <v>117243.38</v>
      </c>
    </row>
    <row r="68" spans="1:15" ht="16.5" customHeight="1" x14ac:dyDescent="0.25">
      <c r="A68" s="286" t="s">
        <v>822</v>
      </c>
      <c r="B68" s="497" t="s">
        <v>806</v>
      </c>
      <c r="C68" s="282" t="s">
        <v>71</v>
      </c>
      <c r="D68" s="281" t="s">
        <v>1063</v>
      </c>
      <c r="E68" s="855">
        <v>45413</v>
      </c>
      <c r="F68" s="855">
        <v>45597</v>
      </c>
      <c r="G68" s="626">
        <v>70000</v>
      </c>
      <c r="H68" s="487">
        <v>0</v>
      </c>
      <c r="I68" s="457">
        <v>70000</v>
      </c>
      <c r="J68" s="457">
        <v>2009</v>
      </c>
      <c r="K68" s="457">
        <v>5368.48</v>
      </c>
      <c r="L68" s="457">
        <v>2128</v>
      </c>
      <c r="M68" s="457">
        <v>25</v>
      </c>
      <c r="N68" s="457">
        <f>+J68+K68+L68+M68</f>
        <v>9530.48</v>
      </c>
      <c r="O68" s="457">
        <f>+I68-N68</f>
        <v>60469.520000000004</v>
      </c>
    </row>
    <row r="69" spans="1:15" ht="16.5" customHeight="1" x14ac:dyDescent="0.25">
      <c r="A69" s="286" t="s">
        <v>1288</v>
      </c>
      <c r="B69" s="497" t="s">
        <v>807</v>
      </c>
      <c r="C69" s="282" t="s">
        <v>417</v>
      </c>
      <c r="D69" s="281" t="s">
        <v>1063</v>
      </c>
      <c r="E69" s="855">
        <v>45383</v>
      </c>
      <c r="F69" s="855">
        <v>45566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4427.58</v>
      </c>
      <c r="L69" s="457">
        <v>1976</v>
      </c>
      <c r="M69" s="457">
        <v>25</v>
      </c>
      <c r="N69" s="457">
        <f>+J69+K69+L69+M69</f>
        <v>8294.08</v>
      </c>
      <c r="O69" s="457">
        <f>+I69-N69</f>
        <v>56705.919999999998</v>
      </c>
    </row>
    <row r="70" spans="1:15" ht="16.5" customHeight="1" x14ac:dyDescent="0.25">
      <c r="A70" s="286" t="s">
        <v>1290</v>
      </c>
      <c r="B70" s="497" t="s">
        <v>1151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x14ac:dyDescent="0.25">
      <c r="A71" s="466" t="s">
        <v>813</v>
      </c>
      <c r="B71" s="465"/>
      <c r="C71" s="492">
        <v>4</v>
      </c>
      <c r="D71" s="465"/>
      <c r="E71" s="500"/>
      <c r="F71" s="855"/>
      <c r="G71" s="695">
        <f>SUM(G67:G70)</f>
        <v>350000</v>
      </c>
      <c r="H71" s="696">
        <f t="shared" ref="H71" si="19">SUM(H70)</f>
        <v>0</v>
      </c>
      <c r="I71" s="695">
        <f t="shared" ref="I71:O71" si="20">SUM(I67:I70)</f>
        <v>350000</v>
      </c>
      <c r="J71" s="695">
        <f t="shared" si="20"/>
        <v>10045</v>
      </c>
      <c r="K71" s="695">
        <f t="shared" si="20"/>
        <v>38090.26</v>
      </c>
      <c r="L71" s="695">
        <f t="shared" si="20"/>
        <v>10640</v>
      </c>
      <c r="M71" s="695">
        <f t="shared" si="20"/>
        <v>100</v>
      </c>
      <c r="N71" s="695">
        <f t="shared" si="20"/>
        <v>58875.26</v>
      </c>
      <c r="O71" s="695">
        <f t="shared" si="20"/>
        <v>291124.74</v>
      </c>
    </row>
    <row r="72" spans="1:15" x14ac:dyDescent="0.25">
      <c r="A72" s="490"/>
      <c r="B72" s="491"/>
      <c r="C72" s="492"/>
      <c r="D72" s="465"/>
      <c r="E72" s="856"/>
      <c r="F72" s="857"/>
      <c r="G72" s="695"/>
      <c r="H72" s="495"/>
      <c r="I72" s="494"/>
      <c r="J72" s="494"/>
      <c r="K72" s="494"/>
      <c r="L72" s="494"/>
      <c r="M72" s="494"/>
      <c r="N72" s="494"/>
      <c r="O72" s="494"/>
    </row>
    <row r="73" spans="1:15" x14ac:dyDescent="0.25">
      <c r="A73" s="490" t="s">
        <v>629</v>
      </c>
      <c r="B73" s="491"/>
      <c r="C73" s="492"/>
      <c r="D73" s="492"/>
      <c r="E73" s="856"/>
      <c r="F73" s="857"/>
      <c r="G73" s="695"/>
      <c r="H73" s="495"/>
      <c r="I73" s="463"/>
      <c r="J73" s="463"/>
      <c r="K73" s="463"/>
      <c r="L73" s="463"/>
      <c r="M73" s="463"/>
      <c r="N73" s="463"/>
      <c r="O73" s="463"/>
    </row>
    <row r="74" spans="1:15" ht="15.75" customHeight="1" x14ac:dyDescent="0.25">
      <c r="A74" s="496" t="s">
        <v>568</v>
      </c>
      <c r="B74" s="497" t="s">
        <v>807</v>
      </c>
      <c r="C74" s="282" t="s">
        <v>569</v>
      </c>
      <c r="D74" s="281" t="s">
        <v>1063</v>
      </c>
      <c r="E74" s="855">
        <v>45413</v>
      </c>
      <c r="F74" s="855">
        <v>45597</v>
      </c>
      <c r="G74" s="626">
        <v>185000</v>
      </c>
      <c r="H74" s="487">
        <v>0</v>
      </c>
      <c r="I74" s="457">
        <v>185000</v>
      </c>
      <c r="J74" s="457">
        <v>5309.5</v>
      </c>
      <c r="K74" s="457">
        <v>32099.49</v>
      </c>
      <c r="L74" s="457">
        <v>5624</v>
      </c>
      <c r="M74" s="457">
        <v>4557.26</v>
      </c>
      <c r="N74" s="457">
        <f>+J74+K74+L74+M74</f>
        <v>47590.250000000007</v>
      </c>
      <c r="O74" s="457">
        <f>+I74-N74</f>
        <v>137409.75</v>
      </c>
    </row>
    <row r="75" spans="1:15" x14ac:dyDescent="0.25">
      <c r="A75" s="466" t="s">
        <v>813</v>
      </c>
      <c r="B75" s="465"/>
      <c r="C75" s="492">
        <v>1</v>
      </c>
      <c r="D75" s="492"/>
      <c r="E75" s="1016"/>
      <c r="F75" s="855"/>
      <c r="G75" s="695">
        <f>+G74</f>
        <v>185000</v>
      </c>
      <c r="H75" s="696">
        <f t="shared" ref="H75:O75" si="21">SUM(H74)</f>
        <v>0</v>
      </c>
      <c r="I75" s="695">
        <f t="shared" si="21"/>
        <v>185000</v>
      </c>
      <c r="J75" s="695">
        <f t="shared" si="21"/>
        <v>5309.5</v>
      </c>
      <c r="K75" s="695">
        <f t="shared" si="21"/>
        <v>32099.49</v>
      </c>
      <c r="L75" s="695">
        <f t="shared" si="21"/>
        <v>5624</v>
      </c>
      <c r="M75" s="695">
        <f>SUM(M74)</f>
        <v>4557.26</v>
      </c>
      <c r="N75" s="695">
        <f t="shared" si="21"/>
        <v>47590.250000000007</v>
      </c>
      <c r="O75" s="695">
        <f t="shared" si="21"/>
        <v>137409.75</v>
      </c>
    </row>
    <row r="76" spans="1:15" x14ac:dyDescent="0.25">
      <c r="A76" s="490"/>
      <c r="B76" s="491"/>
      <c r="C76" s="492"/>
      <c r="D76" s="492"/>
      <c r="E76" s="856"/>
      <c r="F76" s="857"/>
      <c r="G76" s="695"/>
      <c r="H76" s="495"/>
      <c r="I76" s="494"/>
      <c r="J76" s="494"/>
      <c r="K76" s="494"/>
      <c r="L76" s="494"/>
      <c r="M76" s="494"/>
      <c r="N76" s="494"/>
      <c r="O76" s="494"/>
    </row>
    <row r="77" spans="1:15" x14ac:dyDescent="0.25">
      <c r="A77" s="469" t="s">
        <v>1198</v>
      </c>
      <c r="B77" s="491"/>
      <c r="C77" s="625"/>
      <c r="D77" s="281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573" t="s">
        <v>946</v>
      </c>
      <c r="B78" s="602" t="s">
        <v>806</v>
      </c>
      <c r="C78" s="625" t="s">
        <v>945</v>
      </c>
      <c r="D78" s="281" t="s">
        <v>1063</v>
      </c>
      <c r="E78" s="855">
        <v>45413</v>
      </c>
      <c r="F78" s="855">
        <v>45597</v>
      </c>
      <c r="G78" s="626">
        <v>60000</v>
      </c>
      <c r="H78" s="487">
        <v>0</v>
      </c>
      <c r="I78" s="498">
        <v>60000</v>
      </c>
      <c r="J78" s="498">
        <v>1722</v>
      </c>
      <c r="K78" s="498">
        <v>3486.68</v>
      </c>
      <c r="L78" s="498">
        <v>1824</v>
      </c>
      <c r="M78" s="498">
        <v>25</v>
      </c>
      <c r="N78" s="457">
        <f>+J78+K78+L78+M78</f>
        <v>7057.68</v>
      </c>
      <c r="O78" s="457">
        <f>+I78-N78</f>
        <v>52942.32</v>
      </c>
    </row>
    <row r="79" spans="1:15" x14ac:dyDescent="0.25">
      <c r="A79" s="573" t="s">
        <v>1397</v>
      </c>
      <c r="B79" s="602" t="s">
        <v>806</v>
      </c>
      <c r="C79" s="625" t="s">
        <v>157</v>
      </c>
      <c r="D79" s="281" t="s">
        <v>1063</v>
      </c>
      <c r="E79" s="855">
        <v>45444</v>
      </c>
      <c r="F79" s="855">
        <v>45627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466" t="s">
        <v>813</v>
      </c>
      <c r="B80" s="465"/>
      <c r="C80" s="492">
        <v>2</v>
      </c>
      <c r="D80" s="492"/>
      <c r="E80" s="1016"/>
      <c r="F80" s="860"/>
      <c r="G80" s="695">
        <f>SUM(G78:G79)</f>
        <v>120000</v>
      </c>
      <c r="H80" s="696">
        <f t="shared" ref="H80" si="22">SUM(H79)</f>
        <v>0</v>
      </c>
      <c r="I80" s="695">
        <f t="shared" ref="I80:O80" si="23">SUM(I78:I79)</f>
        <v>120000</v>
      </c>
      <c r="J80" s="695">
        <f t="shared" si="23"/>
        <v>3444</v>
      </c>
      <c r="K80" s="695">
        <f t="shared" si="23"/>
        <v>6973.36</v>
      </c>
      <c r="L80" s="695">
        <f t="shared" si="23"/>
        <v>3648</v>
      </c>
      <c r="M80" s="695">
        <f>SUM(M78:M79)</f>
        <v>50</v>
      </c>
      <c r="N80" s="695">
        <f t="shared" si="23"/>
        <v>14115.36</v>
      </c>
      <c r="O80" s="695">
        <f t="shared" si="23"/>
        <v>105884.64</v>
      </c>
    </row>
    <row r="81" spans="1:15" x14ac:dyDescent="0.25">
      <c r="A81" s="490"/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5" x14ac:dyDescent="0.25">
      <c r="A82" s="490" t="s">
        <v>1398</v>
      </c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ht="30" x14ac:dyDescent="0.25">
      <c r="A83" s="496" t="s">
        <v>1399</v>
      </c>
      <c r="B83" s="491" t="s">
        <v>807</v>
      </c>
      <c r="C83" s="282" t="s">
        <v>1400</v>
      </c>
      <c r="D83" s="282" t="s">
        <v>1281</v>
      </c>
      <c r="E83" s="855">
        <v>45444</v>
      </c>
      <c r="F83" s="855">
        <v>45627</v>
      </c>
      <c r="G83" s="626">
        <v>120000</v>
      </c>
      <c r="H83" s="487">
        <v>0</v>
      </c>
      <c r="I83" s="498">
        <v>120000</v>
      </c>
      <c r="J83" s="498">
        <v>3444</v>
      </c>
      <c r="K83" s="498">
        <v>16809.87</v>
      </c>
      <c r="L83" s="498">
        <v>3648</v>
      </c>
      <c r="M83" s="498">
        <v>25</v>
      </c>
      <c r="N83" s="457">
        <f>+J83+K83+L83+M83</f>
        <v>23926.87</v>
      </c>
      <c r="O83" s="457">
        <f>+I83-N83</f>
        <v>96073.13</v>
      </c>
    </row>
    <row r="84" spans="1:15" x14ac:dyDescent="0.25">
      <c r="A84" s="466" t="s">
        <v>813</v>
      </c>
      <c r="B84" s="491"/>
      <c r="C84" s="492">
        <v>1</v>
      </c>
      <c r="D84" s="492"/>
      <c r="E84" s="859"/>
      <c r="F84" s="860"/>
      <c r="G84" s="695">
        <f>SUM(G83)</f>
        <v>120000</v>
      </c>
      <c r="H84" s="696">
        <f t="shared" ref="H84:N84" si="24">SUM(H83)</f>
        <v>0</v>
      </c>
      <c r="I84" s="695">
        <f t="shared" si="24"/>
        <v>120000</v>
      </c>
      <c r="J84" s="695">
        <f t="shared" si="24"/>
        <v>3444</v>
      </c>
      <c r="K84" s="695">
        <f t="shared" si="24"/>
        <v>16809.87</v>
      </c>
      <c r="L84" s="695">
        <f t="shared" si="24"/>
        <v>3648</v>
      </c>
      <c r="M84" s="695">
        <f>SUM(M83)</f>
        <v>25</v>
      </c>
      <c r="N84" s="695">
        <f t="shared" si="24"/>
        <v>23926.87</v>
      </c>
      <c r="O84" s="695">
        <f>SUM(O83)</f>
        <v>96073.13</v>
      </c>
    </row>
    <row r="85" spans="1:15" ht="28.5" customHeight="1" x14ac:dyDescent="0.25">
      <c r="A85" s="1014" t="s">
        <v>978</v>
      </c>
      <c r="B85" s="1015"/>
      <c r="C85" s="492"/>
      <c r="D85" s="465"/>
      <c r="E85" s="1016"/>
      <c r="F85" s="860"/>
      <c r="G85" s="695"/>
      <c r="H85" s="696"/>
      <c r="I85" s="697"/>
      <c r="J85" s="697"/>
      <c r="K85" s="697"/>
      <c r="L85" s="698"/>
      <c r="M85" s="697"/>
      <c r="N85" s="697"/>
      <c r="O85" s="697"/>
    </row>
    <row r="86" spans="1:15" ht="16.5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468">
        <v>25</v>
      </c>
      <c r="N86" s="468">
        <f t="shared" ref="N86:N91" si="25">+J86+K86+L86+M86</f>
        <v>9530.48</v>
      </c>
      <c r="O86" s="468">
        <f t="shared" ref="O86:O91" si="26">+I86-N86</f>
        <v>60469.520000000004</v>
      </c>
    </row>
    <row r="87" spans="1:15" ht="16.5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468">
        <v>25</v>
      </c>
      <c r="N87" s="468">
        <f t="shared" si="25"/>
        <v>9530.48</v>
      </c>
      <c r="O87" s="468">
        <f t="shared" si="26"/>
        <v>60469.520000000004</v>
      </c>
    </row>
    <row r="88" spans="1:15" ht="16.5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45413</v>
      </c>
      <c r="F88" s="855">
        <v>45597</v>
      </c>
      <c r="G88" s="626">
        <v>70000</v>
      </c>
      <c r="H88" s="627">
        <v>0</v>
      </c>
      <c r="I88" s="468">
        <v>70000</v>
      </c>
      <c r="J88" s="468">
        <v>2009</v>
      </c>
      <c r="K88" s="468">
        <v>5368.48</v>
      </c>
      <c r="L88" s="628">
        <v>2128</v>
      </c>
      <c r="M88" s="468">
        <v>25</v>
      </c>
      <c r="N88" s="468">
        <f t="shared" si="25"/>
        <v>9530.48</v>
      </c>
      <c r="O88" s="468">
        <f t="shared" si="26"/>
        <v>60469.520000000004</v>
      </c>
    </row>
    <row r="89" spans="1:15" ht="16.5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45383</v>
      </c>
      <c r="F89" s="855">
        <v>45566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468">
        <v>25</v>
      </c>
      <c r="N89" s="468">
        <f t="shared" si="25"/>
        <v>8294.08</v>
      </c>
      <c r="O89" s="468">
        <f t="shared" si="26"/>
        <v>56705.919999999998</v>
      </c>
    </row>
    <row r="90" spans="1:15" ht="16.5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45383</v>
      </c>
      <c r="F90" s="855">
        <v>45566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4427.58</v>
      </c>
      <c r="L90" s="628">
        <v>1976</v>
      </c>
      <c r="M90" s="468">
        <v>25</v>
      </c>
      <c r="N90" s="468">
        <f t="shared" si="25"/>
        <v>8294.08</v>
      </c>
      <c r="O90" s="468">
        <f t="shared" si="26"/>
        <v>56705.919999999998</v>
      </c>
    </row>
    <row r="91" spans="1:15" ht="16.5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45383</v>
      </c>
      <c r="F91" s="855">
        <v>45566</v>
      </c>
      <c r="G91" s="626">
        <v>55000</v>
      </c>
      <c r="H91" s="627">
        <v>0</v>
      </c>
      <c r="I91" s="468">
        <v>55000</v>
      </c>
      <c r="J91" s="468">
        <v>1578.5</v>
      </c>
      <c r="K91" s="468">
        <v>2559.6799999999998</v>
      </c>
      <c r="L91" s="628">
        <v>1672</v>
      </c>
      <c r="M91" s="468">
        <v>25</v>
      </c>
      <c r="N91" s="468">
        <f t="shared" si="25"/>
        <v>5835.18</v>
      </c>
      <c r="O91" s="468">
        <f t="shared" si="26"/>
        <v>49164.82</v>
      </c>
    </row>
    <row r="92" spans="1:15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395000</v>
      </c>
      <c r="H92" s="696">
        <f t="shared" ref="H92" si="27">SUM(H91)</f>
        <v>0</v>
      </c>
      <c r="I92" s="695">
        <f t="shared" ref="I92:N92" si="28">SUM(I86:I91)</f>
        <v>395000</v>
      </c>
      <c r="J92" s="695">
        <f t="shared" si="28"/>
        <v>11336.5</v>
      </c>
      <c r="K92" s="695">
        <f t="shared" si="28"/>
        <v>27520.28</v>
      </c>
      <c r="L92" s="695">
        <f t="shared" si="28"/>
        <v>12008</v>
      </c>
      <c r="M92" s="695">
        <f>SUM(M86:M91)</f>
        <v>150</v>
      </c>
      <c r="N92" s="695">
        <f t="shared" si="28"/>
        <v>51014.78</v>
      </c>
      <c r="O92" s="695">
        <f>SUM(O86:O91)</f>
        <v>343985.22</v>
      </c>
    </row>
    <row r="93" spans="1:15" x14ac:dyDescent="0.25">
      <c r="A93" s="490"/>
      <c r="B93" s="491"/>
      <c r="C93" s="492"/>
      <c r="D93" s="465"/>
      <c r="E93" s="856"/>
      <c r="F93" s="857"/>
      <c r="G93" s="695"/>
      <c r="H93" s="495"/>
      <c r="I93" s="463"/>
      <c r="J93" s="463"/>
      <c r="K93" s="463"/>
      <c r="L93" s="522"/>
      <c r="M93" s="463"/>
      <c r="N93" s="463"/>
      <c r="O93" s="463"/>
    </row>
    <row r="94" spans="1:15" ht="33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696"/>
      <c r="I94" s="697"/>
      <c r="J94" s="697"/>
      <c r="K94" s="697"/>
      <c r="L94" s="698"/>
      <c r="M94" s="697"/>
      <c r="N94" s="697"/>
      <c r="O94" s="697"/>
    </row>
    <row r="95" spans="1:15" ht="18.75" customHeight="1" x14ac:dyDescent="0.25">
      <c r="A95" s="496" t="s">
        <v>608</v>
      </c>
      <c r="B95" s="497" t="s">
        <v>806</v>
      </c>
      <c r="C95" s="282" t="s">
        <v>117</v>
      </c>
      <c r="D95" s="281" t="s">
        <v>1063</v>
      </c>
      <c r="E95" s="855">
        <v>45413</v>
      </c>
      <c r="F95" s="855">
        <v>45597</v>
      </c>
      <c r="G95" s="626">
        <v>70000</v>
      </c>
      <c r="H95" s="487">
        <v>0</v>
      </c>
      <c r="I95" s="457">
        <v>70000</v>
      </c>
      <c r="J95" s="457">
        <v>2009</v>
      </c>
      <c r="K95" s="457">
        <v>5368.48</v>
      </c>
      <c r="L95" s="489">
        <v>2128</v>
      </c>
      <c r="M95" s="457">
        <v>525</v>
      </c>
      <c r="N95" s="457">
        <f>+J95+K95+L95+M95</f>
        <v>10030.48</v>
      </c>
      <c r="O95" s="457">
        <f>+I95-N95</f>
        <v>59969.520000000004</v>
      </c>
    </row>
    <row r="96" spans="1:15" x14ac:dyDescent="0.25">
      <c r="A96" s="466" t="s">
        <v>813</v>
      </c>
      <c r="B96" s="465"/>
      <c r="C96" s="492">
        <v>1</v>
      </c>
      <c r="D96" s="465"/>
      <c r="E96" s="1016"/>
      <c r="F96" s="860"/>
      <c r="G96" s="695">
        <f>SUM(G95)</f>
        <v>70000</v>
      </c>
      <c r="H96" s="696">
        <f t="shared" ref="H96:O96" si="29">SUM(H95)</f>
        <v>0</v>
      </c>
      <c r="I96" s="695">
        <f t="shared" si="29"/>
        <v>70000</v>
      </c>
      <c r="J96" s="695">
        <f t="shared" si="29"/>
        <v>2009</v>
      </c>
      <c r="K96" s="695">
        <f t="shared" si="29"/>
        <v>5368.48</v>
      </c>
      <c r="L96" s="695">
        <f t="shared" si="29"/>
        <v>2128</v>
      </c>
      <c r="M96" s="695">
        <f>SUM(M95)</f>
        <v>525</v>
      </c>
      <c r="N96" s="695">
        <f>SUM(N95)</f>
        <v>10030.48</v>
      </c>
      <c r="O96" s="695">
        <f t="shared" si="29"/>
        <v>59969.520000000004</v>
      </c>
    </row>
    <row r="97" spans="1:19" x14ac:dyDescent="0.25">
      <c r="A97" s="490"/>
      <c r="B97" s="491"/>
      <c r="C97" s="492"/>
      <c r="D97" s="465"/>
      <c r="E97" s="859"/>
      <c r="F97" s="860"/>
      <c r="G97" s="695"/>
      <c r="H97" s="495"/>
      <c r="I97" s="494"/>
      <c r="J97" s="494"/>
      <c r="K97" s="494"/>
      <c r="L97" s="494"/>
      <c r="M97" s="494"/>
      <c r="N97" s="494"/>
      <c r="O97" s="494"/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x14ac:dyDescent="0.25">
      <c r="A99" s="490" t="s">
        <v>827</v>
      </c>
      <c r="B99" s="491"/>
      <c r="C99" s="492"/>
      <c r="D99" s="465"/>
      <c r="E99" s="710"/>
      <c r="F99" s="711"/>
      <c r="G99" s="695"/>
      <c r="H99" s="495"/>
      <c r="I99" s="463"/>
      <c r="J99" s="463"/>
      <c r="K99" s="463"/>
      <c r="L99" s="522"/>
      <c r="M99" s="463"/>
      <c r="N99" s="463"/>
      <c r="O99" s="463"/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468">
        <v>25</v>
      </c>
      <c r="N101" s="457">
        <f t="shared" ref="N101:N121" si="30">+J101+K101+L101+M101</f>
        <v>9530.48</v>
      </c>
      <c r="O101" s="468">
        <f t="shared" ref="O101:O112" si="31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468">
        <v>25</v>
      </c>
      <c r="N102" s="457">
        <f t="shared" si="30"/>
        <v>9530.48</v>
      </c>
      <c r="O102" s="468">
        <f t="shared" si="31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</row>
    <row r="104" spans="1:19" ht="15" customHeight="1" x14ac:dyDescent="0.25">
      <c r="A104" s="286" t="s">
        <v>1042</v>
      </c>
      <c r="B104" s="281" t="s">
        <v>806</v>
      </c>
      <c r="C104" s="282" t="s">
        <v>117</v>
      </c>
      <c r="D104" s="281" t="s">
        <v>1063</v>
      </c>
      <c r="E104" s="855">
        <v>45413</v>
      </c>
      <c r="F104" s="855">
        <v>45597</v>
      </c>
      <c r="G104" s="626">
        <v>120000</v>
      </c>
      <c r="H104" s="627">
        <v>0</v>
      </c>
      <c r="I104" s="468">
        <v>120000</v>
      </c>
      <c r="J104" s="468">
        <v>3444</v>
      </c>
      <c r="K104" s="468">
        <v>16809.87</v>
      </c>
      <c r="L104" s="468">
        <v>3648</v>
      </c>
      <c r="M104" s="468">
        <v>25</v>
      </c>
      <c r="N104" s="468">
        <f t="shared" si="30"/>
        <v>23926.87</v>
      </c>
      <c r="O104" s="468">
        <f t="shared" si="31"/>
        <v>96073.13</v>
      </c>
    </row>
    <row r="105" spans="1:19" ht="15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4682.29</v>
      </c>
      <c r="L105" s="468">
        <v>2128</v>
      </c>
      <c r="M105" s="468">
        <v>3455.92</v>
      </c>
      <c r="N105" s="457">
        <f t="shared" si="30"/>
        <v>12275.210000000001</v>
      </c>
      <c r="O105" s="468">
        <f t="shared" si="31"/>
        <v>57724.79</v>
      </c>
    </row>
    <row r="106" spans="1:19" ht="15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861">
        <v>5025.38</v>
      </c>
      <c r="L106" s="468">
        <v>2128</v>
      </c>
      <c r="M106" s="468">
        <v>1740.46</v>
      </c>
      <c r="N106" s="457">
        <f t="shared" si="30"/>
        <v>10902.84</v>
      </c>
      <c r="O106" s="468">
        <f t="shared" si="31"/>
        <v>59097.16</v>
      </c>
      <c r="P106" s="862"/>
      <c r="Q106" s="862"/>
      <c r="R106" s="862"/>
      <c r="S106" s="862"/>
    </row>
    <row r="107" spans="1:19" ht="15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45323</v>
      </c>
      <c r="F107" s="855">
        <v>45474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  <c r="P107" s="862"/>
      <c r="Q107" s="862"/>
      <c r="R107" s="862"/>
      <c r="S107" s="862"/>
    </row>
    <row r="108" spans="1:19" ht="15.75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62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468">
        <v>25</v>
      </c>
      <c r="N109" s="457">
        <f t="shared" si="30"/>
        <v>9530.48</v>
      </c>
      <c r="O109" s="468">
        <f t="shared" si="31"/>
        <v>60469.520000000004</v>
      </c>
    </row>
    <row r="110" spans="1:19" ht="15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468">
        <v>25</v>
      </c>
      <c r="N110" s="457">
        <f t="shared" si="30"/>
        <v>9530.48</v>
      </c>
      <c r="O110" s="468">
        <f t="shared" si="31"/>
        <v>60469.520000000004</v>
      </c>
    </row>
    <row r="111" spans="1:19" ht="13.5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468">
        <v>2128</v>
      </c>
      <c r="M111" s="468">
        <v>25</v>
      </c>
      <c r="N111" s="457">
        <f t="shared" si="30"/>
        <v>9530.48</v>
      </c>
      <c r="O111" s="468">
        <f t="shared" si="31"/>
        <v>60469.520000000004</v>
      </c>
    </row>
    <row r="112" spans="1:19" ht="15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si="31"/>
        <v>56705.919999999998</v>
      </c>
    </row>
    <row r="113" spans="1:15" ht="15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>+I113-N113</f>
        <v>56705.919999999998</v>
      </c>
    </row>
    <row r="114" spans="1:15" ht="15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ref="O114:O129" si="32">+I114-N114</f>
        <v>56705.919999999998</v>
      </c>
    </row>
    <row r="115" spans="1:15" ht="15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5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6.5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44348</v>
      </c>
      <c r="F123" s="855">
        <v>45627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68">
        <f t="shared" ref="N123" si="33">+J123+K123+L123+M123</f>
        <v>8294.08</v>
      </c>
      <c r="O123" s="468">
        <f t="shared" ref="O123" si="34">+I123-N123</f>
        <v>56705.919999999998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32500</v>
      </c>
      <c r="H125" s="627">
        <v>0</v>
      </c>
      <c r="I125" s="468">
        <v>32500</v>
      </c>
      <c r="J125" s="468">
        <v>932.75</v>
      </c>
      <c r="K125" s="468">
        <v>0</v>
      </c>
      <c r="L125" s="468">
        <v>988</v>
      </c>
      <c r="M125" s="468">
        <v>25</v>
      </c>
      <c r="N125" s="468">
        <f t="shared" ref="N125" si="35">+J125+K125+L125+M125</f>
        <v>1945.75</v>
      </c>
      <c r="O125" s="468">
        <f t="shared" ref="O125" si="36">+I125-N125</f>
        <v>30554.25</v>
      </c>
    </row>
    <row r="126" spans="1:15" ht="26.2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038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468">
        <v>25</v>
      </c>
      <c r="N127" s="457">
        <f t="shared" ref="N127:N131" si="37">+J127+K127+L127+M127</f>
        <v>3832.83</v>
      </c>
      <c r="O127" s="468">
        <f t="shared" si="32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ref="N128" si="38">+J128+K128+L128+M128</f>
        <v>5290.97</v>
      </c>
      <c r="O128" s="468">
        <f t="shared" ref="O128" si="39">+I128-N128</f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45383</v>
      </c>
      <c r="F129" s="855">
        <v>45566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468">
        <v>25</v>
      </c>
      <c r="N129" s="457">
        <f t="shared" si="37"/>
        <v>3532.4700000000003</v>
      </c>
      <c r="O129" s="468">
        <f t="shared" si="32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45383</v>
      </c>
      <c r="F130" s="855">
        <v>45566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468">
        <v>25</v>
      </c>
      <c r="N130" s="457">
        <f t="shared" si="37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45383</v>
      </c>
      <c r="F131" s="855">
        <v>45566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468">
        <v>25</v>
      </c>
      <c r="N131" s="457">
        <f t="shared" si="37"/>
        <v>3532.4700000000003</v>
      </c>
      <c r="O131" s="468">
        <f>+I131-N131</f>
        <v>39967.53</v>
      </c>
    </row>
    <row r="132" spans="1:16" x14ac:dyDescent="0.25">
      <c r="A132" s="490" t="s">
        <v>813</v>
      </c>
      <c r="B132" s="491"/>
      <c r="C132" s="492">
        <v>32</v>
      </c>
      <c r="D132" s="570"/>
      <c r="E132" s="570"/>
      <c r="F132" s="570"/>
      <c r="G132" s="695">
        <f>SUM(G100:G131)</f>
        <v>2113000</v>
      </c>
      <c r="H132" s="696">
        <v>0</v>
      </c>
      <c r="I132" s="695">
        <f t="shared" ref="I132:O132" si="40">SUM(I100:I131)</f>
        <v>2113000</v>
      </c>
      <c r="J132" s="695">
        <f t="shared" si="40"/>
        <v>60643.099999999991</v>
      </c>
      <c r="K132" s="695">
        <f t="shared" si="40"/>
        <v>154541.38999999996</v>
      </c>
      <c r="L132" s="695">
        <f t="shared" si="40"/>
        <v>64235.200000000004</v>
      </c>
      <c r="M132" s="695">
        <f t="shared" si="40"/>
        <v>11092.759999999998</v>
      </c>
      <c r="N132" s="695">
        <f t="shared" si="40"/>
        <v>290512.44999999972</v>
      </c>
      <c r="O132" s="695">
        <f t="shared" si="40"/>
        <v>1822487.5499999998</v>
      </c>
    </row>
    <row r="133" spans="1:16" x14ac:dyDescent="0.25">
      <c r="A133" s="490"/>
      <c r="B133" s="491"/>
      <c r="C133" s="492"/>
      <c r="D133" s="281"/>
      <c r="E133" s="281"/>
      <c r="F133" s="281"/>
      <c r="G133" s="695"/>
      <c r="H133" s="495"/>
      <c r="I133" s="494"/>
      <c r="J133" s="494"/>
      <c r="K133" s="494"/>
      <c r="L133" s="494"/>
      <c r="M133" s="494"/>
      <c r="N133" s="494"/>
      <c r="O133" s="494"/>
    </row>
    <row r="134" spans="1:16" ht="23.25" customHeight="1" x14ac:dyDescent="0.25">
      <c r="A134" s="1052" t="s">
        <v>865</v>
      </c>
      <c r="B134" s="1053"/>
      <c r="C134" s="1054">
        <f>+C16+C20+C25+C30+C35+C39+C43+C49+C54+C64+C71+C75+C80+C84+C92+C96+C132</f>
        <v>69</v>
      </c>
      <c r="D134" s="1054"/>
      <c r="E134" s="1054"/>
      <c r="F134" s="1054"/>
      <c r="G134" s="1055">
        <f>+G16+G20+G25+G30+G35+G39+G43+G49+G54+G64+G71+G75+G80+G84+G92+G96+G132</f>
        <v>5407333.3300000001</v>
      </c>
      <c r="H134" s="1056">
        <v>0</v>
      </c>
      <c r="I134" s="1055">
        <f t="shared" ref="I134:O134" si="41">+I16+I20+I25+I30+I35+I39+I43+I49+I54+I64+I71+I75+I80+I84+I92+I96+I132</f>
        <v>5407333.3300000001</v>
      </c>
      <c r="J134" s="1055">
        <f t="shared" si="41"/>
        <v>155190.46999999997</v>
      </c>
      <c r="K134" s="1055">
        <f t="shared" si="41"/>
        <v>526661.24</v>
      </c>
      <c r="L134" s="1055">
        <f t="shared" si="41"/>
        <v>164382.93</v>
      </c>
      <c r="M134" s="1055">
        <f t="shared" si="41"/>
        <v>54058.16</v>
      </c>
      <c r="N134" s="1055">
        <f t="shared" si="41"/>
        <v>900292.7999999997</v>
      </c>
      <c r="O134" s="1055">
        <f t="shared" si="41"/>
        <v>4507040.5299999993</v>
      </c>
    </row>
    <row r="135" spans="1:16" x14ac:dyDescent="0.25">
      <c r="A135" s="259"/>
      <c r="B135" s="259"/>
      <c r="C135" s="259"/>
      <c r="D135" s="546"/>
      <c r="E135" s="546"/>
      <c r="F135" s="546"/>
      <c r="G135" s="862"/>
      <c r="H135" s="259"/>
      <c r="I135" s="259"/>
      <c r="J135" s="660"/>
      <c r="K135" s="660"/>
      <c r="L135" s="259"/>
      <c r="M135" s="660"/>
      <c r="N135" s="660"/>
      <c r="O135" s="259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537"/>
      <c r="B147" s="537"/>
      <c r="C147" s="537"/>
      <c r="D147" s="692"/>
      <c r="E147" s="692"/>
      <c r="F147" s="692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537"/>
      <c r="E149" s="537"/>
      <c r="F149" s="537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42" t="s">
        <v>1373</v>
      </c>
      <c r="B150" s="542"/>
      <c r="C150" s="542"/>
      <c r="D150" s="691"/>
      <c r="E150" s="691"/>
      <c r="F150" s="691"/>
      <c r="G150" s="866"/>
      <c r="H150" s="674" t="s">
        <v>1377</v>
      </c>
      <c r="J150" s="674"/>
      <c r="K150" s="674"/>
      <c r="L150" s="674"/>
      <c r="M150" s="674"/>
      <c r="O150" s="674"/>
      <c r="P150" s="544"/>
    </row>
    <row r="151" spans="1:16" ht="25.5" customHeight="1" x14ac:dyDescent="0.25">
      <c r="A151" s="546" t="s">
        <v>935</v>
      </c>
      <c r="B151" s="546"/>
      <c r="C151" s="546"/>
      <c r="D151" s="538"/>
      <c r="E151" s="538"/>
      <c r="F151" s="538"/>
      <c r="G151" s="467"/>
      <c r="H151" s="537"/>
      <c r="I151" s="1708" t="s">
        <v>1375</v>
      </c>
      <c r="J151" s="1708"/>
      <c r="K151" s="1708"/>
      <c r="L151" s="1708"/>
      <c r="M151" s="1708"/>
      <c r="N151" s="1708"/>
      <c r="O151" s="1708"/>
      <c r="P151" s="539"/>
    </row>
    <row r="152" spans="1:16" x14ac:dyDescent="0.25">
      <c r="A152" s="542" t="s">
        <v>1231</v>
      </c>
      <c r="B152" s="542"/>
      <c r="C152" s="542"/>
      <c r="D152" s="537"/>
      <c r="F152" s="1062"/>
      <c r="G152" s="1062"/>
      <c r="H152" s="1062"/>
      <c r="I152" s="1692" t="s">
        <v>1224</v>
      </c>
      <c r="J152" s="1692"/>
      <c r="K152" s="1692"/>
      <c r="L152" s="1692"/>
      <c r="M152" s="1692"/>
      <c r="N152" s="1692"/>
      <c r="O152" s="1692"/>
      <c r="P152" s="537"/>
    </row>
    <row r="153" spans="1:16" x14ac:dyDescent="0.25">
      <c r="A153" s="546"/>
      <c r="B153" s="546"/>
      <c r="C153" s="546"/>
      <c r="D153" s="547"/>
      <c r="E153" s="547"/>
      <c r="F153" s="547"/>
      <c r="G153" s="482"/>
      <c r="H153" s="541"/>
      <c r="I153" s="540"/>
      <c r="J153" s="537"/>
      <c r="K153" s="673" t="s">
        <v>1374</v>
      </c>
      <c r="L153" s="673"/>
      <c r="M153" s="673"/>
      <c r="N153" s="673"/>
      <c r="O153" s="673"/>
      <c r="P153" s="673"/>
    </row>
    <row r="154" spans="1:16" ht="15.75" x14ac:dyDescent="0.25">
      <c r="A154" s="267"/>
      <c r="B154" s="267"/>
      <c r="C154" s="267"/>
      <c r="D154" s="268"/>
      <c r="E154" s="268"/>
      <c r="F154" s="268"/>
      <c r="G154" s="205"/>
      <c r="H154" s="269"/>
      <c r="I154" s="268"/>
      <c r="J154" s="268"/>
      <c r="K154" s="268"/>
      <c r="L154" s="268"/>
      <c r="M154" s="268"/>
      <c r="N154" s="271"/>
      <c r="O154" s="271"/>
      <c r="P154" s="259"/>
    </row>
    <row r="155" spans="1:16" s="259" customFormat="1" ht="14.25" customHeight="1" x14ac:dyDescent="0.25">
      <c r="D155" s="668"/>
      <c r="E155" s="668"/>
      <c r="F155" s="668"/>
      <c r="G155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1:O151"/>
    <mergeCell ref="I152:O152"/>
    <mergeCell ref="L11:L12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7356F-7398-4381-BC12-CDA5CA00FAF0}">
  <sheetPr>
    <pageSetUpPr fitToPage="1"/>
  </sheetPr>
  <dimension ref="B1:O66"/>
  <sheetViews>
    <sheetView topLeftCell="A18" zoomScaleNormal="100" workbookViewId="0">
      <selection activeCell="D37" sqref="D3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51" t="s">
        <v>0</v>
      </c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  <c r="O7" s="1551"/>
    </row>
    <row r="8" spans="2:15" x14ac:dyDescent="0.25">
      <c r="B8" s="1551" t="s">
        <v>1</v>
      </c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  <c r="O8" s="1551"/>
    </row>
    <row r="9" spans="2:15" x14ac:dyDescent="0.25">
      <c r="B9" s="1551" t="s">
        <v>3</v>
      </c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  <c r="O9" s="1551"/>
    </row>
    <row r="10" spans="2:15" x14ac:dyDescent="0.25">
      <c r="B10" s="1551" t="s">
        <v>1416</v>
      </c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  <c r="O10" s="1551"/>
    </row>
    <row r="11" spans="2:15" x14ac:dyDescent="0.25">
      <c r="B11" s="1552" t="s">
        <v>5</v>
      </c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  <c r="O11" s="1552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714" t="s">
        <v>7</v>
      </c>
      <c r="C13" s="1713" t="s">
        <v>937</v>
      </c>
      <c r="D13" s="1713" t="s">
        <v>8</v>
      </c>
      <c r="E13" s="1713" t="s">
        <v>10</v>
      </c>
      <c r="F13" s="1713" t="s">
        <v>11</v>
      </c>
      <c r="G13" s="1047" t="s">
        <v>12</v>
      </c>
      <c r="H13" s="1713" t="s">
        <v>13</v>
      </c>
      <c r="I13" s="1713" t="s">
        <v>14</v>
      </c>
      <c r="J13" s="1713" t="s">
        <v>15</v>
      </c>
      <c r="K13" s="1713" t="s">
        <v>16</v>
      </c>
      <c r="L13" s="1713" t="s">
        <v>17</v>
      </c>
      <c r="M13" s="1713" t="s">
        <v>18</v>
      </c>
      <c r="N13" s="1713" t="s">
        <v>19</v>
      </c>
      <c r="O13" s="1713" t="s">
        <v>20</v>
      </c>
    </row>
    <row r="14" spans="2:15" x14ac:dyDescent="0.25">
      <c r="B14" s="1715"/>
      <c r="C14" s="1713"/>
      <c r="D14" s="1713"/>
      <c r="E14" s="1713"/>
      <c r="F14" s="1713"/>
      <c r="G14" s="1047" t="s">
        <v>21</v>
      </c>
      <c r="H14" s="1713"/>
      <c r="I14" s="1713"/>
      <c r="J14" s="1713"/>
      <c r="K14" s="1713"/>
      <c r="L14" s="1713"/>
      <c r="M14" s="1713"/>
      <c r="N14" s="1713"/>
      <c r="O14" s="1713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90" t="s">
        <v>1269</v>
      </c>
      <c r="C50" s="1690"/>
      <c r="D50" s="1690"/>
      <c r="E50" s="753"/>
      <c r="F50" s="753"/>
      <c r="G50" s="754"/>
      <c r="H50" s="755"/>
      <c r="J50" s="1691" t="s">
        <v>852</v>
      </c>
      <c r="K50" s="1691"/>
      <c r="L50" s="1691"/>
      <c r="M50" s="1691"/>
      <c r="N50" s="1691"/>
      <c r="O50" s="1691"/>
    </row>
    <row r="51" spans="2:15" s="259" customFormat="1" ht="19.5" customHeight="1" x14ac:dyDescent="0.25">
      <c r="B51" s="1628" t="s">
        <v>1270</v>
      </c>
      <c r="C51" s="1628"/>
      <c r="D51" s="1628"/>
      <c r="E51" s="753"/>
      <c r="F51" s="753"/>
      <c r="G51" s="754"/>
      <c r="H51" s="755"/>
      <c r="J51" s="1692" t="s">
        <v>1224</v>
      </c>
      <c r="K51" s="1692"/>
      <c r="L51" s="1692"/>
      <c r="M51" s="1692"/>
      <c r="N51" s="1692"/>
      <c r="O51" s="1692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629"/>
      <c r="K63" s="1629"/>
      <c r="L63" s="1629"/>
      <c r="M63" s="1629"/>
      <c r="N63" s="1629"/>
      <c r="O63" s="1629"/>
    </row>
    <row r="64" spans="2:15" ht="15.75" x14ac:dyDescent="0.25">
      <c r="B64" s="267"/>
      <c r="C64" s="267"/>
      <c r="D64" s="267"/>
      <c r="E64" s="268"/>
      <c r="F64" s="268"/>
      <c r="G64" s="269"/>
      <c r="H64" s="1549"/>
      <c r="I64" s="1549"/>
      <c r="J64" s="1549"/>
      <c r="K64" s="1549"/>
      <c r="L64" s="1549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AF83-3304-457F-B878-D89B7A60A35A}">
  <sheetPr>
    <pageSetUpPr fitToPage="1"/>
  </sheetPr>
  <dimension ref="A6:L80"/>
  <sheetViews>
    <sheetView showGridLines="0" topLeftCell="A36" zoomScale="118" zoomScaleNormal="118" zoomScaleSheetLayoutView="100" workbookViewId="0">
      <selection activeCell="C50" sqref="C50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3" t="s">
        <v>0</v>
      </c>
      <c r="B6" s="1693"/>
      <c r="C6" s="1693"/>
      <c r="D6" s="1693"/>
      <c r="E6" s="1693"/>
      <c r="F6" s="1693"/>
      <c r="G6" s="1693"/>
      <c r="H6" s="1693"/>
      <c r="I6" s="1693"/>
      <c r="J6" s="1693"/>
      <c r="K6" s="1693"/>
      <c r="L6" s="1693"/>
    </row>
    <row r="7" spans="1:12" x14ac:dyDescent="0.25">
      <c r="A7" s="1693" t="s">
        <v>1</v>
      </c>
      <c r="B7" s="1693"/>
      <c r="C7" s="1693"/>
      <c r="D7" s="1693"/>
      <c r="E7" s="1693"/>
      <c r="F7" s="1693"/>
      <c r="G7" s="1693"/>
      <c r="H7" s="1693"/>
      <c r="I7" s="1693"/>
      <c r="J7" s="1693"/>
      <c r="K7" s="1693"/>
      <c r="L7" s="1693"/>
    </row>
    <row r="8" spans="1:12" x14ac:dyDescent="0.25">
      <c r="A8" s="1693" t="s">
        <v>3</v>
      </c>
      <c r="B8" s="1693"/>
      <c r="C8" s="1693"/>
      <c r="D8" s="1693"/>
      <c r="E8" s="1693"/>
      <c r="F8" s="1693"/>
      <c r="G8" s="1693"/>
      <c r="H8" s="1693"/>
      <c r="I8" s="1693"/>
      <c r="J8" s="1693"/>
      <c r="K8" s="1693"/>
      <c r="L8" s="1693"/>
    </row>
    <row r="9" spans="1:12" x14ac:dyDescent="0.25">
      <c r="A9" s="1693" t="s">
        <v>1411</v>
      </c>
      <c r="B9" s="1693"/>
      <c r="C9" s="1693"/>
      <c r="D9" s="1693"/>
      <c r="E9" s="1693"/>
      <c r="F9" s="1693"/>
      <c r="G9" s="1693"/>
      <c r="H9" s="1693"/>
      <c r="I9" s="1693"/>
      <c r="J9" s="1693"/>
      <c r="K9" s="1693"/>
      <c r="L9" s="1693"/>
    </row>
    <row r="10" spans="1:12" x14ac:dyDescent="0.25">
      <c r="A10" s="1694" t="s">
        <v>886</v>
      </c>
      <c r="B10" s="1694"/>
      <c r="C10" s="1694"/>
      <c r="D10" s="1694"/>
      <c r="E10" s="1694"/>
      <c r="F10" s="1694"/>
      <c r="G10" s="1694"/>
      <c r="H10" s="1694"/>
      <c r="I10" s="1694"/>
      <c r="J10" s="1694"/>
      <c r="K10" s="1694"/>
      <c r="L10" s="1694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717" t="s">
        <v>7</v>
      </c>
      <c r="B12" s="1717" t="s">
        <v>802</v>
      </c>
      <c r="C12" s="1718" t="s">
        <v>9</v>
      </c>
      <c r="D12" s="1046" t="s">
        <v>12</v>
      </c>
      <c r="E12" s="1719" t="s">
        <v>13</v>
      </c>
      <c r="F12" s="1716" t="s">
        <v>14</v>
      </c>
      <c r="G12" s="1716" t="s">
        <v>15</v>
      </c>
      <c r="H12" s="1716" t="s">
        <v>16</v>
      </c>
      <c r="I12" s="1716" t="s">
        <v>17</v>
      </c>
      <c r="J12" s="1716" t="s">
        <v>18</v>
      </c>
      <c r="K12" s="1716" t="s">
        <v>19</v>
      </c>
      <c r="L12" s="1716" t="s">
        <v>20</v>
      </c>
    </row>
    <row r="13" spans="1:12" ht="16.5" customHeight="1" x14ac:dyDescent="0.25">
      <c r="A13" s="1717"/>
      <c r="B13" s="1717"/>
      <c r="C13" s="1718"/>
      <c r="D13" s="1046" t="s">
        <v>21</v>
      </c>
      <c r="E13" s="1719"/>
      <c r="F13" s="1716"/>
      <c r="G13" s="1716"/>
      <c r="H13" s="1716"/>
      <c r="I13" s="1716"/>
      <c r="J13" s="1716"/>
      <c r="K13" s="1716"/>
      <c r="L13" s="1716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8">
        <f t="shared" si="2"/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8" t="s">
        <v>1412</v>
      </c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890" t="s">
        <v>369</v>
      </c>
      <c r="B36" s="903" t="s">
        <v>806</v>
      </c>
      <c r="C36" s="945" t="s">
        <v>1332</v>
      </c>
      <c r="D36" s="891">
        <v>11500</v>
      </c>
      <c r="E36" s="894">
        <v>0</v>
      </c>
      <c r="F36" s="895">
        <v>11500</v>
      </c>
      <c r="G36" s="895">
        <v>330.05</v>
      </c>
      <c r="H36" s="895">
        <v>1623.06</v>
      </c>
      <c r="I36" s="895">
        <v>349.6</v>
      </c>
      <c r="J36" s="894">
        <v>0</v>
      </c>
      <c r="K36" s="896">
        <f>+G36+H36+I36+J36</f>
        <v>2302.71</v>
      </c>
      <c r="L36" s="891">
        <f>+F36-K36</f>
        <v>9197.2900000000009</v>
      </c>
    </row>
    <row r="37" spans="1:12" ht="15.75" customHeight="1" x14ac:dyDescent="0.25">
      <c r="A37" s="897" t="s">
        <v>813</v>
      </c>
      <c r="B37" s="897"/>
      <c r="C37" s="941">
        <v>1</v>
      </c>
      <c r="D37" s="898">
        <f t="shared" ref="D37" si="5">+D36</f>
        <v>11500</v>
      </c>
      <c r="E37" s="899">
        <v>0</v>
      </c>
      <c r="F37" s="898">
        <f t="shared" ref="F37:I37" si="6">+F36</f>
        <v>11500</v>
      </c>
      <c r="G37" s="898">
        <f t="shared" si="6"/>
        <v>330.05</v>
      </c>
      <c r="H37" s="898">
        <f t="shared" si="6"/>
        <v>1623.06</v>
      </c>
      <c r="I37" s="898">
        <f t="shared" si="6"/>
        <v>349.6</v>
      </c>
      <c r="J37" s="899">
        <v>0</v>
      </c>
      <c r="K37" s="898">
        <f t="shared" ref="K37" si="7">+K36</f>
        <v>2302.71</v>
      </c>
      <c r="L37" s="898">
        <f>+F37-K37</f>
        <v>9197.2900000000009</v>
      </c>
    </row>
    <row r="38" spans="1:12" ht="15.75" customHeight="1" x14ac:dyDescent="0.25">
      <c r="A38" s="897"/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908" t="s">
        <v>978</v>
      </c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0" t="s">
        <v>114</v>
      </c>
      <c r="B40" s="903" t="s">
        <v>807</v>
      </c>
      <c r="C40" s="945" t="s">
        <v>1202</v>
      </c>
      <c r="D40" s="891">
        <v>40000</v>
      </c>
      <c r="E40" s="894">
        <v>0</v>
      </c>
      <c r="F40" s="895">
        <v>40000</v>
      </c>
      <c r="G40" s="895">
        <v>1148</v>
      </c>
      <c r="H40" s="895">
        <v>9409</v>
      </c>
      <c r="I40" s="895">
        <v>1216</v>
      </c>
      <c r="J40" s="894">
        <v>0</v>
      </c>
      <c r="K40" s="896">
        <f>+G40+H40+I40+J40</f>
        <v>11773</v>
      </c>
      <c r="L40" s="891">
        <f>+F40-K40</f>
        <v>28227</v>
      </c>
    </row>
    <row r="41" spans="1:12" ht="15.75" customHeight="1" x14ac:dyDescent="0.25">
      <c r="A41" s="890" t="s">
        <v>409</v>
      </c>
      <c r="B41" s="903" t="s">
        <v>806</v>
      </c>
      <c r="C41" s="945" t="s">
        <v>1332</v>
      </c>
      <c r="D41" s="891">
        <v>11500</v>
      </c>
      <c r="E41" s="894">
        <v>0</v>
      </c>
      <c r="F41" s="895">
        <v>11500</v>
      </c>
      <c r="G41" s="895">
        <v>330.05</v>
      </c>
      <c r="H41" s="895">
        <v>1623.06</v>
      </c>
      <c r="I41" s="895">
        <v>349.6</v>
      </c>
      <c r="J41" s="894">
        <v>0</v>
      </c>
      <c r="K41" s="896">
        <f>+G41+H41+I41+J41</f>
        <v>2302.71</v>
      </c>
      <c r="L41" s="891">
        <f>+F41-K41</f>
        <v>9197.2900000000009</v>
      </c>
    </row>
    <row r="42" spans="1:12" ht="15.75" customHeight="1" x14ac:dyDescent="0.25">
      <c r="A42" s="897" t="s">
        <v>813</v>
      </c>
      <c r="B42" s="897"/>
      <c r="C42" s="941">
        <v>2</v>
      </c>
      <c r="D42" s="898">
        <f>SUM(D40:D41)</f>
        <v>51500</v>
      </c>
      <c r="E42" s="899">
        <v>0</v>
      </c>
      <c r="F42" s="898">
        <f t="shared" ref="F42:L42" si="8">SUM(F40:F41)</f>
        <v>51500</v>
      </c>
      <c r="G42" s="898">
        <f t="shared" si="8"/>
        <v>1478.05</v>
      </c>
      <c r="H42" s="898">
        <f t="shared" si="8"/>
        <v>11032.06</v>
      </c>
      <c r="I42" s="898">
        <f t="shared" si="8"/>
        <v>1565.6</v>
      </c>
      <c r="J42" s="898">
        <f t="shared" si="8"/>
        <v>0</v>
      </c>
      <c r="K42" s="898">
        <f t="shared" si="8"/>
        <v>14075.71</v>
      </c>
      <c r="L42" s="898">
        <f t="shared" si="8"/>
        <v>37424.29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 t="s">
        <v>1413</v>
      </c>
      <c r="B44" s="903"/>
      <c r="C44" s="946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15.75" customHeight="1" x14ac:dyDescent="0.25">
      <c r="A45" s="902" t="s">
        <v>1414</v>
      </c>
      <c r="B45" s="903" t="s">
        <v>806</v>
      </c>
      <c r="C45" s="947" t="s">
        <v>551</v>
      </c>
      <c r="D45" s="891">
        <v>11500</v>
      </c>
      <c r="E45" s="894">
        <v>0</v>
      </c>
      <c r="F45" s="895">
        <v>11500</v>
      </c>
      <c r="G45" s="895">
        <v>330.05</v>
      </c>
      <c r="H45" s="895">
        <v>1623.06</v>
      </c>
      <c r="I45" s="895">
        <v>349.6</v>
      </c>
      <c r="J45" s="894">
        <v>0</v>
      </c>
      <c r="K45" s="896">
        <f>+G45+H45+I45+J45</f>
        <v>2302.71</v>
      </c>
      <c r="L45" s="891">
        <f>+F45-K45</f>
        <v>9197.2900000000009</v>
      </c>
    </row>
    <row r="46" spans="1:12" ht="15.75" customHeight="1" x14ac:dyDescent="0.25">
      <c r="A46" s="897" t="s">
        <v>813</v>
      </c>
      <c r="B46" s="897"/>
      <c r="C46" s="941">
        <v>1</v>
      </c>
      <c r="D46" s="898">
        <f t="shared" ref="D46" si="9">+D45</f>
        <v>11500</v>
      </c>
      <c r="E46" s="899">
        <v>0</v>
      </c>
      <c r="F46" s="898">
        <f t="shared" ref="F46:I46" si="10">+F45</f>
        <v>11500</v>
      </c>
      <c r="G46" s="898">
        <f t="shared" si="10"/>
        <v>330.05</v>
      </c>
      <c r="H46" s="898">
        <f t="shared" si="10"/>
        <v>1623.06</v>
      </c>
      <c r="I46" s="898">
        <f t="shared" si="10"/>
        <v>349.6</v>
      </c>
      <c r="J46" s="899">
        <v>0</v>
      </c>
      <c r="K46" s="898">
        <f t="shared" ref="K46" si="11">+K45</f>
        <v>2302.71</v>
      </c>
      <c r="L46" s="898">
        <f>+F46-K46</f>
        <v>9197.2900000000009</v>
      </c>
    </row>
    <row r="47" spans="1:12" ht="15.75" customHeight="1" x14ac:dyDescent="0.25">
      <c r="A47" s="897"/>
      <c r="B47" s="897"/>
      <c r="C47" s="941"/>
      <c r="D47" s="898"/>
      <c r="E47" s="899"/>
      <c r="F47" s="898"/>
      <c r="G47" s="898"/>
      <c r="H47" s="898"/>
      <c r="I47" s="898"/>
      <c r="J47" s="899"/>
      <c r="K47" s="898"/>
      <c r="L47" s="898"/>
    </row>
    <row r="48" spans="1:12" ht="15.75" customHeight="1" x14ac:dyDescent="0.25">
      <c r="A48" s="897" t="s">
        <v>1012</v>
      </c>
      <c r="B48" s="903"/>
      <c r="C48" s="946"/>
      <c r="D48" s="906"/>
      <c r="E48" s="907"/>
      <c r="F48" s="906"/>
      <c r="G48" s="900"/>
      <c r="H48" s="900"/>
      <c r="I48" s="900"/>
      <c r="J48" s="899"/>
      <c r="K48" s="898"/>
      <c r="L48" s="898"/>
    </row>
    <row r="49" spans="1:12" ht="15.75" customHeight="1" x14ac:dyDescent="0.25">
      <c r="A49" s="902" t="s">
        <v>134</v>
      </c>
      <c r="B49" s="903" t="s">
        <v>807</v>
      </c>
      <c r="C49" s="947" t="s">
        <v>1206</v>
      </c>
      <c r="D49" s="891">
        <v>40000</v>
      </c>
      <c r="E49" s="894">
        <v>0</v>
      </c>
      <c r="F49" s="895">
        <v>40000</v>
      </c>
      <c r="G49" s="895">
        <v>1148</v>
      </c>
      <c r="H49" s="895">
        <v>9409</v>
      </c>
      <c r="I49" s="895">
        <v>1216</v>
      </c>
      <c r="J49" s="894">
        <v>0</v>
      </c>
      <c r="K49" s="896">
        <f>+G49+H49+I49+J49</f>
        <v>11773</v>
      </c>
      <c r="L49" s="891">
        <f>+F49-K49</f>
        <v>28227</v>
      </c>
    </row>
    <row r="50" spans="1:12" ht="15.75" customHeight="1" x14ac:dyDescent="0.25">
      <c r="A50" s="897" t="s">
        <v>813</v>
      </c>
      <c r="B50" s="897"/>
      <c r="C50" s="941">
        <v>1</v>
      </c>
      <c r="D50" s="898">
        <f t="shared" ref="D50:K50" si="12">+D49</f>
        <v>40000</v>
      </c>
      <c r="E50" s="899">
        <v>0</v>
      </c>
      <c r="F50" s="898">
        <f t="shared" si="12"/>
        <v>40000</v>
      </c>
      <c r="G50" s="898">
        <f t="shared" si="12"/>
        <v>1148</v>
      </c>
      <c r="H50" s="898">
        <f t="shared" si="12"/>
        <v>9409</v>
      </c>
      <c r="I50" s="898">
        <f t="shared" si="12"/>
        <v>1216</v>
      </c>
      <c r="J50" s="899">
        <v>0</v>
      </c>
      <c r="K50" s="898">
        <f t="shared" si="12"/>
        <v>11773</v>
      </c>
      <c r="L50" s="898">
        <f>+F50-K50</f>
        <v>28227</v>
      </c>
    </row>
    <row r="51" spans="1:12" ht="15.75" customHeight="1" x14ac:dyDescent="0.25">
      <c r="A51" s="897"/>
      <c r="B51" s="897"/>
      <c r="C51" s="941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897"/>
      <c r="B52" s="897"/>
      <c r="C52" s="941"/>
      <c r="D52" s="906"/>
      <c r="E52" s="907"/>
      <c r="F52" s="906"/>
      <c r="G52" s="900"/>
      <c r="H52" s="900"/>
      <c r="I52" s="900"/>
      <c r="J52" s="899"/>
      <c r="K52" s="898"/>
      <c r="L52" s="898"/>
    </row>
    <row r="53" spans="1:12" ht="22.5" customHeight="1" x14ac:dyDescent="0.25">
      <c r="A53" s="1061" t="s">
        <v>865</v>
      </c>
      <c r="B53" s="1041"/>
      <c r="C53" s="1042">
        <f>+C16+C20+C24+C29+C33+C37+C42+C46+C50</f>
        <v>10</v>
      </c>
      <c r="D53" s="1077">
        <f>+D16+D20+D24+D29+D33+D37+D42+D46+D50</f>
        <v>200500</v>
      </c>
      <c r="E53" s="1045">
        <v>0</v>
      </c>
      <c r="F53" s="1077">
        <f t="shared" ref="F53:L53" si="13">+F16+F20+F24+F29+F33+F37+F42+F46+F50</f>
        <v>200500</v>
      </c>
      <c r="G53" s="1077">
        <f t="shared" si="13"/>
        <v>5754.35</v>
      </c>
      <c r="H53" s="1077">
        <f t="shared" si="13"/>
        <v>37657.86</v>
      </c>
      <c r="I53" s="1077">
        <f t="shared" si="13"/>
        <v>6095.2</v>
      </c>
      <c r="J53" s="1045">
        <v>0</v>
      </c>
      <c r="K53" s="1077">
        <f t="shared" si="13"/>
        <v>49507.409999999996</v>
      </c>
      <c r="L53" s="1077">
        <f t="shared" si="13"/>
        <v>150992.59000000003</v>
      </c>
    </row>
    <row r="66" spans="1:12" ht="38.25" customHeight="1" x14ac:dyDescent="0.25">
      <c r="A66" s="916"/>
      <c r="B66" s="916"/>
      <c r="C66" s="917"/>
      <c r="D66" s="918"/>
      <c r="E66" s="919"/>
      <c r="F66" s="1696" t="s">
        <v>1372</v>
      </c>
      <c r="G66" s="1696"/>
      <c r="H66" s="1696"/>
      <c r="I66" s="1696"/>
      <c r="J66" s="1696"/>
      <c r="K66" s="1696"/>
    </row>
    <row r="67" spans="1:12" x14ac:dyDescent="0.25">
      <c r="A67" s="1083" t="s">
        <v>1238</v>
      </c>
      <c r="B67" s="1083"/>
      <c r="C67" s="921"/>
      <c r="D67" s="915"/>
      <c r="E67" s="915"/>
      <c r="F67" s="1702" t="s">
        <v>1222</v>
      </c>
      <c r="G67" s="1702"/>
      <c r="H67" s="1702"/>
      <c r="I67" s="1702"/>
      <c r="J67" s="1702"/>
      <c r="K67" s="1702"/>
    </row>
    <row r="68" spans="1:12" x14ac:dyDescent="0.25">
      <c r="A68" s="916" t="s">
        <v>1239</v>
      </c>
      <c r="B68" s="916"/>
      <c r="C68" s="915"/>
      <c r="D68" s="915"/>
      <c r="E68" s="923"/>
      <c r="F68" s="1701" t="s">
        <v>1224</v>
      </c>
      <c r="G68" s="1701"/>
      <c r="H68" s="1701"/>
      <c r="I68" s="1701"/>
      <c r="J68" s="1701"/>
      <c r="K68" s="1701"/>
    </row>
    <row r="78" spans="1:12" x14ac:dyDescent="0.25">
      <c r="D78" s="924"/>
      <c r="E78" s="923"/>
      <c r="F78" s="915"/>
      <c r="G78" s="1698"/>
      <c r="H78" s="1698"/>
      <c r="I78" s="1698"/>
      <c r="J78" s="1698"/>
      <c r="K78" s="1698"/>
      <c r="L78" s="1698"/>
    </row>
    <row r="79" spans="1:12" x14ac:dyDescent="0.25">
      <c r="D79" s="925"/>
      <c r="E79" s="1694"/>
      <c r="F79" s="1694"/>
      <c r="G79" s="1694"/>
      <c r="H79" s="1694"/>
      <c r="I79" s="1694"/>
      <c r="J79" s="926"/>
      <c r="K79" s="926"/>
      <c r="L79" s="886"/>
    </row>
    <row r="80" spans="1:12" x14ac:dyDescent="0.25">
      <c r="D80" s="927" t="s">
        <v>641</v>
      </c>
      <c r="E80" s="927"/>
      <c r="F80" s="927"/>
      <c r="G80" s="927"/>
      <c r="H80" s="927"/>
      <c r="I80" s="927"/>
      <c r="J80" s="927"/>
      <c r="K80" s="927"/>
      <c r="L80" s="927"/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66:K66"/>
    <mergeCell ref="F67:K67"/>
    <mergeCell ref="F68:K68"/>
    <mergeCell ref="G78:L78"/>
    <mergeCell ref="E79:I79"/>
  </mergeCells>
  <pageMargins left="3.3" right="7.0000000000000007E-2" top="0.74803149606299213" bottom="0.26" header="0.31496062992125984" footer="0.31496062992125984"/>
  <pageSetup paperSize="3" scale="59" orientation="landscape" r:id="rId1"/>
  <drawing r:id="rId2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DA68-FFEF-487E-87F0-0CF944778E17}">
  <sheetPr>
    <pageSetUpPr fitToPage="1"/>
  </sheetPr>
  <dimension ref="B6:M39"/>
  <sheetViews>
    <sheetView showGridLines="0" topLeftCell="A17" zoomScale="118" zoomScaleNormal="118" workbookViewId="0">
      <selection activeCell="B40" sqref="B40"/>
    </sheetView>
  </sheetViews>
  <sheetFormatPr baseColWidth="10" defaultRowHeight="15" x14ac:dyDescent="0.25"/>
  <cols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556" t="s">
        <v>0</v>
      </c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2:13" x14ac:dyDescent="0.25">
      <c r="B7" s="1556" t="s">
        <v>1</v>
      </c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2:13" x14ac:dyDescent="0.25">
      <c r="B8" s="1556" t="s">
        <v>3</v>
      </c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2:13" x14ac:dyDescent="0.25">
      <c r="B9" s="1556" t="s">
        <v>1415</v>
      </c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2:13" x14ac:dyDescent="0.25">
      <c r="B10" s="1557" t="s">
        <v>1197</v>
      </c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  <c r="M10" s="1557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712" t="s">
        <v>7</v>
      </c>
      <c r="C12" s="1709" t="s">
        <v>802</v>
      </c>
      <c r="D12" s="1709" t="s">
        <v>9</v>
      </c>
      <c r="E12" s="1067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2:13" ht="15" customHeight="1" x14ac:dyDescent="0.25">
      <c r="B13" s="1712"/>
      <c r="C13" s="1709"/>
      <c r="D13" s="1709"/>
      <c r="E13" s="1067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682" t="s">
        <v>1255</v>
      </c>
      <c r="H34" s="1682"/>
      <c r="I34" s="1682"/>
      <c r="J34" s="1682"/>
      <c r="K34" s="1682"/>
      <c r="L34" s="1682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627" t="s">
        <v>852</v>
      </c>
      <c r="H35" s="1627"/>
      <c r="I35" s="1627"/>
      <c r="J35" s="1627"/>
      <c r="K35" s="1627"/>
      <c r="L35" s="1627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628" t="s">
        <v>1257</v>
      </c>
      <c r="H36" s="1628"/>
      <c r="I36" s="1628"/>
      <c r="J36" s="1628"/>
      <c r="K36" s="1628"/>
      <c r="L36" s="1628"/>
      <c r="M36" s="537"/>
    </row>
    <row r="37" spans="2:13" x14ac:dyDescent="0.25">
      <c r="B37" s="546"/>
      <c r="C37" s="546"/>
      <c r="D37" s="547"/>
      <c r="E37" s="541"/>
      <c r="F37" s="540"/>
      <c r="G37" s="537"/>
      <c r="H37" s="1629"/>
      <c r="I37" s="1629"/>
      <c r="J37" s="1629"/>
      <c r="K37" s="1629"/>
      <c r="L37" s="1629"/>
      <c r="M37" s="1629"/>
    </row>
    <row r="38" spans="2:13" ht="15.75" x14ac:dyDescent="0.25">
      <c r="B38" s="267"/>
      <c r="C38" s="267"/>
      <c r="D38" s="268"/>
      <c r="E38" s="269"/>
      <c r="F38" s="1549"/>
      <c r="G38" s="1549"/>
      <c r="H38" s="1549"/>
      <c r="I38" s="1549"/>
      <c r="J38" s="1549"/>
      <c r="K38" s="271"/>
      <c r="L38" s="271"/>
      <c r="M38" s="259"/>
    </row>
    <row r="39" spans="2:13" x14ac:dyDescent="0.25">
      <c r="E39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4:L34"/>
    <mergeCell ref="G35:L35"/>
    <mergeCell ref="G36:L36"/>
    <mergeCell ref="H37:M37"/>
    <mergeCell ref="F38:J38"/>
  </mergeCells>
  <pageMargins left="0.63" right="0.7" top="0.75" bottom="0.75" header="0.3" footer="0.3"/>
  <pageSetup paperSize="3" scale="82" orientation="landscape" r:id="rId1"/>
  <drawing r:id="rId2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8BAC7-0E85-44DA-AB0A-6DB43C08E9CE}">
  <sheetPr>
    <pageSetUpPr fitToPage="1"/>
  </sheetPr>
  <dimension ref="B6:M35"/>
  <sheetViews>
    <sheetView showGridLines="0" topLeftCell="A4" zoomScale="118" zoomScaleNormal="118" workbookViewId="0">
      <selection activeCell="C5" sqref="C5"/>
    </sheetView>
  </sheetViews>
  <sheetFormatPr baseColWidth="10" defaultRowHeight="15" x14ac:dyDescent="0.25"/>
  <cols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56" t="s">
        <v>0</v>
      </c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2:13" x14ac:dyDescent="0.25">
      <c r="B7" s="1556" t="s">
        <v>1</v>
      </c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2:13" x14ac:dyDescent="0.25">
      <c r="B8" s="1556" t="s">
        <v>3</v>
      </c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2:13" x14ac:dyDescent="0.25">
      <c r="B9" s="1556" t="s">
        <v>1417</v>
      </c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2:13" x14ac:dyDescent="0.25">
      <c r="B10" s="1557" t="s">
        <v>1197</v>
      </c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  <c r="M10" s="1557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712" t="s">
        <v>7</v>
      </c>
      <c r="C12" s="1709" t="s">
        <v>802</v>
      </c>
      <c r="D12" s="1709" t="s">
        <v>9</v>
      </c>
      <c r="E12" s="1067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2:13" ht="15" customHeight="1" x14ac:dyDescent="0.25">
      <c r="B13" s="1712"/>
      <c r="C13" s="1709"/>
      <c r="D13" s="1709"/>
      <c r="E13" s="1067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2407.33</v>
      </c>
      <c r="L15" s="457">
        <f>+H15+I15+J15+K15</f>
        <v>20422.700000000004</v>
      </c>
      <c r="M15" s="457">
        <f>+G15-L15</f>
        <v>79577.299999999988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2407.33</v>
      </c>
      <c r="L16" s="463">
        <f t="shared" si="0"/>
        <v>20422.700000000004</v>
      </c>
      <c r="M16" s="463">
        <f>+G16-L16</f>
        <v>79577.299999999988</v>
      </c>
    </row>
    <row r="17" spans="2:13" ht="15" customHeight="1" x14ac:dyDescent="0.25">
      <c r="B17" s="1063" t="s">
        <v>865</v>
      </c>
      <c r="C17" s="1063"/>
      <c r="D17" s="1064">
        <v>1</v>
      </c>
      <c r="E17" s="1065">
        <f t="shared" ref="E17:M17" si="1">+E16</f>
        <v>100000</v>
      </c>
      <c r="F17" s="1066">
        <f t="shared" si="1"/>
        <v>0</v>
      </c>
      <c r="G17" s="1065">
        <f t="shared" si="1"/>
        <v>100000</v>
      </c>
      <c r="H17" s="1065">
        <f t="shared" si="1"/>
        <v>2870</v>
      </c>
      <c r="I17" s="1065">
        <f t="shared" si="1"/>
        <v>12105.37</v>
      </c>
      <c r="J17" s="1065">
        <f t="shared" si="1"/>
        <v>3040</v>
      </c>
      <c r="K17" s="1068">
        <f t="shared" si="1"/>
        <v>2407.33</v>
      </c>
      <c r="L17" s="1065">
        <f t="shared" si="1"/>
        <v>20422.700000000004</v>
      </c>
      <c r="M17" s="1065">
        <f t="shared" si="1"/>
        <v>79577.299999999988</v>
      </c>
    </row>
    <row r="18" spans="2:13" x14ac:dyDescent="0.25"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  <c r="M18" s="537"/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ht="38.25" customHeight="1" x14ac:dyDescent="0.25">
      <c r="B30" s="542"/>
      <c r="C30" s="542"/>
      <c r="D30" s="543"/>
      <c r="E30" s="544"/>
      <c r="F30" s="545"/>
      <c r="G30" s="1682" t="s">
        <v>1255</v>
      </c>
      <c r="H30" s="1682"/>
      <c r="I30" s="1682"/>
      <c r="J30" s="1682"/>
      <c r="K30" s="1682"/>
      <c r="L30" s="1682"/>
      <c r="M30" s="544"/>
    </row>
    <row r="31" spans="2:13" x14ac:dyDescent="0.25">
      <c r="B31" s="1082" t="s">
        <v>857</v>
      </c>
      <c r="C31" s="1082"/>
      <c r="D31" s="538"/>
      <c r="E31" s="537"/>
      <c r="F31" s="537"/>
      <c r="G31" s="1627" t="s">
        <v>852</v>
      </c>
      <c r="H31" s="1627"/>
      <c r="I31" s="1627"/>
      <c r="J31" s="1627"/>
      <c r="K31" s="1627"/>
      <c r="L31" s="1627"/>
      <c r="M31" s="539"/>
    </row>
    <row r="32" spans="2:13" x14ac:dyDescent="0.25">
      <c r="B32" s="542" t="s">
        <v>1256</v>
      </c>
      <c r="C32" s="542"/>
      <c r="D32" s="537"/>
      <c r="E32" s="537"/>
      <c r="F32" s="540"/>
      <c r="G32" s="1628" t="s">
        <v>1257</v>
      </c>
      <c r="H32" s="1628"/>
      <c r="I32" s="1628"/>
      <c r="J32" s="1628"/>
      <c r="K32" s="1628"/>
      <c r="L32" s="1628"/>
      <c r="M32" s="537"/>
    </row>
    <row r="33" spans="2:13" x14ac:dyDescent="0.25">
      <c r="B33" s="546"/>
      <c r="C33" s="546"/>
      <c r="D33" s="547"/>
      <c r="E33" s="541"/>
      <c r="F33" s="540"/>
      <c r="G33" s="537"/>
      <c r="H33" s="1629"/>
      <c r="I33" s="1629"/>
      <c r="J33" s="1629"/>
      <c r="K33" s="1629"/>
      <c r="L33" s="1629"/>
      <c r="M33" s="1629"/>
    </row>
    <row r="34" spans="2:13" ht="15.75" x14ac:dyDescent="0.25">
      <c r="B34" s="267"/>
      <c r="C34" s="267"/>
      <c r="D34" s="268"/>
      <c r="E34" s="269"/>
      <c r="F34" s="1549"/>
      <c r="G34" s="1549"/>
      <c r="H34" s="1549"/>
      <c r="I34" s="1549"/>
      <c r="J34" s="1549"/>
      <c r="K34" s="271"/>
      <c r="L34" s="271"/>
      <c r="M34" s="259"/>
    </row>
    <row r="35" spans="2:13" x14ac:dyDescent="0.25">
      <c r="E35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0:L30"/>
    <mergeCell ref="G31:L31"/>
    <mergeCell ref="G32:L32"/>
    <mergeCell ref="H33:M33"/>
    <mergeCell ref="F34:J34"/>
  </mergeCells>
  <pageMargins left="0.7" right="0.36" top="0.75" bottom="0.75" header="0.3" footer="0.3"/>
  <pageSetup paperSize="3" scale="95" orientation="landscape" r:id="rId1"/>
  <drawing r:id="rId2"/>
</worksheet>
</file>

<file path=xl/worksheets/sheet2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7089C-B2ED-4D62-917E-FF016741DAC3}">
  <dimension ref="B1:O260"/>
  <sheetViews>
    <sheetView showGridLines="0" topLeftCell="B6" zoomScale="77" zoomScaleNormal="77" workbookViewId="0">
      <selection activeCell="B6" sqref="B6:N6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685" t="s">
        <v>0</v>
      </c>
      <c r="C6" s="1685"/>
      <c r="D6" s="1685"/>
      <c r="E6" s="1685"/>
      <c r="F6" s="1685"/>
      <c r="G6" s="1685"/>
      <c r="H6" s="1685"/>
      <c r="I6" s="1685"/>
      <c r="J6" s="1685"/>
      <c r="K6" s="1685"/>
      <c r="L6" s="1685"/>
      <c r="M6" s="1685"/>
      <c r="N6" s="1685"/>
    </row>
    <row r="7" spans="2:14" ht="15.75" x14ac:dyDescent="0.25">
      <c r="B7" s="1685" t="s">
        <v>3</v>
      </c>
      <c r="C7" s="1685"/>
      <c r="D7" s="1685"/>
      <c r="E7" s="1685"/>
      <c r="F7" s="1685"/>
      <c r="G7" s="1685"/>
      <c r="H7" s="1685"/>
      <c r="I7" s="1685"/>
      <c r="J7" s="1685"/>
      <c r="K7" s="1685"/>
      <c r="L7" s="1685"/>
      <c r="M7" s="1685"/>
      <c r="N7" s="1685"/>
    </row>
    <row r="8" spans="2:14" ht="15.75" x14ac:dyDescent="0.25">
      <c r="B8" s="1685" t="s">
        <v>1419</v>
      </c>
      <c r="C8" s="1685"/>
      <c r="D8" s="1685"/>
      <c r="E8" s="1685"/>
      <c r="F8" s="1685"/>
      <c r="G8" s="1685"/>
      <c r="H8" s="1685"/>
      <c r="I8" s="1685"/>
      <c r="J8" s="1685"/>
      <c r="K8" s="1685"/>
      <c r="L8" s="1685"/>
      <c r="M8" s="1685"/>
      <c r="N8" s="1685"/>
    </row>
    <row r="9" spans="2:14" ht="15.75" x14ac:dyDescent="0.25">
      <c r="B9" s="1706" t="s">
        <v>404</v>
      </c>
      <c r="C9" s="1706"/>
      <c r="D9" s="1706"/>
      <c r="E9" s="1706"/>
      <c r="F9" s="1706"/>
      <c r="G9" s="1706"/>
      <c r="H9" s="1706"/>
      <c r="I9" s="1706"/>
      <c r="J9" s="1706"/>
      <c r="K9" s="1706"/>
      <c r="L9" s="1706"/>
      <c r="M9" s="1706"/>
      <c r="N9" s="1706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707" t="s">
        <v>7</v>
      </c>
      <c r="C11" s="1707" t="s">
        <v>802</v>
      </c>
      <c r="D11" s="1707" t="s">
        <v>9</v>
      </c>
      <c r="E11" s="1707" t="s">
        <v>11</v>
      </c>
      <c r="F11" s="1057" t="s">
        <v>12</v>
      </c>
      <c r="G11" s="1704" t="s">
        <v>13</v>
      </c>
      <c r="H11" s="1705" t="s">
        <v>14</v>
      </c>
      <c r="I11" s="1705" t="s">
        <v>15</v>
      </c>
      <c r="J11" s="1705" t="s">
        <v>16</v>
      </c>
      <c r="K11" s="1705" t="s">
        <v>17</v>
      </c>
      <c r="L11" s="1705" t="s">
        <v>18</v>
      </c>
      <c r="M11" s="1705" t="s">
        <v>19</v>
      </c>
      <c r="N11" s="1705" t="s">
        <v>20</v>
      </c>
    </row>
    <row r="12" spans="2:14" ht="15.75" x14ac:dyDescent="0.25">
      <c r="B12" s="1707"/>
      <c r="C12" s="1707"/>
      <c r="D12" s="1707"/>
      <c r="E12" s="1707"/>
      <c r="F12" s="1057" t="s">
        <v>21</v>
      </c>
      <c r="G12" s="1704"/>
      <c r="H12" s="1705"/>
      <c r="I12" s="1705"/>
      <c r="J12" s="1705"/>
      <c r="K12" s="1705"/>
      <c r="L12" s="1705"/>
      <c r="M12" s="1705"/>
      <c r="N12" s="1705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5722.05</v>
      </c>
      <c r="M16" s="953">
        <v>31709.439999999999</v>
      </c>
      <c r="N16" s="953">
        <f>+H16-M16</f>
        <v>98290.559999999998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14085.849999999999</v>
      </c>
      <c r="M18" s="965">
        <f t="shared" si="0"/>
        <v>157488.29999999999</v>
      </c>
      <c r="N18" s="965">
        <f t="shared" si="0"/>
        <v>487511.69999999995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1434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55" t="s">
        <v>962</v>
      </c>
      <c r="C23" s="968" t="s">
        <v>806</v>
      </c>
      <c r="D23" s="960" t="s">
        <v>276</v>
      </c>
      <c r="E23" s="960" t="s">
        <v>307</v>
      </c>
      <c r="F23" s="951">
        <v>37500</v>
      </c>
      <c r="G23" s="974">
        <v>0</v>
      </c>
      <c r="H23" s="951">
        <v>37500</v>
      </c>
      <c r="I23" s="951">
        <v>1076.25</v>
      </c>
      <c r="J23" s="974">
        <v>89.81</v>
      </c>
      <c r="K23" s="951">
        <v>1140</v>
      </c>
      <c r="L23" s="951">
        <v>25</v>
      </c>
      <c r="M23" s="951">
        <f t="shared" ref="M23" si="1">+I23+J23+K23+L23</f>
        <v>2331.06</v>
      </c>
      <c r="N23" s="951">
        <f t="shared" ref="N23" si="2">+H23-M23</f>
        <v>35168.94</v>
      </c>
    </row>
    <row r="24" spans="2:14" ht="18.75" x14ac:dyDescent="0.3">
      <c r="B24" s="961" t="s">
        <v>752</v>
      </c>
      <c r="C24" s="950"/>
      <c r="D24" s="962">
        <v>3</v>
      </c>
      <c r="E24" s="962"/>
      <c r="F24" s="963">
        <f>SUM(F21:F23)</f>
        <v>176000</v>
      </c>
      <c r="G24" s="1071">
        <v>0</v>
      </c>
      <c r="H24" s="963">
        <f t="shared" ref="H24:N24" si="3">SUM(H21:H23)</f>
        <v>176000</v>
      </c>
      <c r="I24" s="963">
        <f t="shared" si="3"/>
        <v>5051.2</v>
      </c>
      <c r="J24" s="963">
        <f t="shared" si="3"/>
        <v>11526.81</v>
      </c>
      <c r="K24" s="963">
        <f t="shared" si="3"/>
        <v>5350.4</v>
      </c>
      <c r="L24" s="963">
        <f t="shared" si="3"/>
        <v>6790.46</v>
      </c>
      <c r="M24" s="963">
        <f t="shared" si="3"/>
        <v>28718.870000000003</v>
      </c>
      <c r="N24" s="963">
        <f t="shared" si="3"/>
        <v>147281.13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1</v>
      </c>
      <c r="E28" s="962"/>
      <c r="F28" s="963">
        <f t="shared" ref="F28:N28" si="4">SUM(F27:F27)</f>
        <v>43500</v>
      </c>
      <c r="G28" s="964">
        <f t="shared" si="4"/>
        <v>0</v>
      </c>
      <c r="H28" s="965">
        <f t="shared" si="4"/>
        <v>43500</v>
      </c>
      <c r="I28" s="965">
        <f t="shared" si="4"/>
        <v>1248.45</v>
      </c>
      <c r="J28" s="965">
        <f t="shared" si="4"/>
        <v>936.62</v>
      </c>
      <c r="K28" s="965">
        <f t="shared" si="4"/>
        <v>1322.4</v>
      </c>
      <c r="L28" s="966">
        <f t="shared" si="4"/>
        <v>1296.7</v>
      </c>
      <c r="M28" s="965">
        <f t="shared" si="4"/>
        <v>4804.17</v>
      </c>
      <c r="N28" s="965">
        <f t="shared" si="4"/>
        <v>38695.83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5" t="s">
        <v>1143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74">
        <v>0</v>
      </c>
      <c r="H36" s="951">
        <v>43500</v>
      </c>
      <c r="I36" s="951">
        <v>1248.45</v>
      </c>
      <c r="J36" s="974">
        <v>936.62</v>
      </c>
      <c r="K36" s="951">
        <v>1322.4</v>
      </c>
      <c r="L36" s="951">
        <v>25</v>
      </c>
      <c r="M36" s="951">
        <f>+I36+J36+K36+L36</f>
        <v>3532.4700000000003</v>
      </c>
      <c r="N36" s="951">
        <f>+H36-M36</f>
        <v>39967.53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440000</v>
      </c>
      <c r="G38" s="1071">
        <v>0</v>
      </c>
      <c r="H38" s="963">
        <f t="shared" ref="H38:N38" si="5">SUM(H31:H37)</f>
        <v>440000</v>
      </c>
      <c r="I38" s="963">
        <f>SUM(I31:I37)</f>
        <v>12628.000000000002</v>
      </c>
      <c r="J38" s="963">
        <f>SUM(J31:J37)</f>
        <v>35328.490000000005</v>
      </c>
      <c r="K38" s="963">
        <f t="shared" si="5"/>
        <v>13375.999999999998</v>
      </c>
      <c r="L38" s="963">
        <f t="shared" si="5"/>
        <v>7136.84</v>
      </c>
      <c r="M38" s="963">
        <f t="shared" si="5"/>
        <v>68469.33</v>
      </c>
      <c r="N38" s="963">
        <f t="shared" si="5"/>
        <v>371530.67000000004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6">SUM(I41)</f>
        <v>2152.5</v>
      </c>
      <c r="J42" s="965">
        <f t="shared" si="6"/>
        <v>6309.38</v>
      </c>
      <c r="K42" s="965">
        <f t="shared" si="6"/>
        <v>2280</v>
      </c>
      <c r="L42" s="966">
        <f t="shared" si="6"/>
        <v>25</v>
      </c>
      <c r="M42" s="965">
        <f t="shared" si="6"/>
        <v>10766.880000000001</v>
      </c>
      <c r="N42" s="965">
        <f t="shared" si="6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7">SUM(F45:F46)</f>
        <v>61500</v>
      </c>
      <c r="G47" s="964">
        <f t="shared" si="7"/>
        <v>0</v>
      </c>
      <c r="H47" s="965">
        <f t="shared" si="7"/>
        <v>61500</v>
      </c>
      <c r="I47" s="965">
        <f t="shared" si="7"/>
        <v>1765.05</v>
      </c>
      <c r="J47" s="964">
        <f t="shared" si="7"/>
        <v>0</v>
      </c>
      <c r="K47" s="965">
        <f t="shared" si="7"/>
        <v>1869.6</v>
      </c>
      <c r="L47" s="966">
        <f t="shared" si="7"/>
        <v>1765.46</v>
      </c>
      <c r="M47" s="965">
        <f t="shared" si="7"/>
        <v>5400.1100000000006</v>
      </c>
      <c r="N47" s="965">
        <f t="shared" si="7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8">SUM(F50:F50)</f>
        <v>35000</v>
      </c>
      <c r="G51" s="964">
        <f t="shared" si="8"/>
        <v>0</v>
      </c>
      <c r="H51" s="965">
        <f t="shared" si="8"/>
        <v>35000</v>
      </c>
      <c r="I51" s="965">
        <f t="shared" si="8"/>
        <v>1004.5</v>
      </c>
      <c r="J51" s="964">
        <f t="shared" si="8"/>
        <v>0</v>
      </c>
      <c r="K51" s="965">
        <f t="shared" si="8"/>
        <v>1064</v>
      </c>
      <c r="L51" s="966">
        <f t="shared" si="8"/>
        <v>25</v>
      </c>
      <c r="M51" s="965">
        <f t="shared" si="8"/>
        <v>2093.5</v>
      </c>
      <c r="N51" s="965">
        <f t="shared" si="8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9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9"/>
        <v>3237.6</v>
      </c>
      <c r="L57" s="966">
        <f>SUM(L54:L56)</f>
        <v>2276.1999999999998</v>
      </c>
      <c r="M57" s="965">
        <f t="shared" si="9"/>
        <v>9506.9699999999993</v>
      </c>
      <c r="N57" s="965">
        <f t="shared" si="9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68" si="10">+I60+J60+K60+L60</f>
        <v>3532.4700000000003</v>
      </c>
      <c r="N60" s="953">
        <f t="shared" ref="N60:N68" si="11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10"/>
        <v>1898</v>
      </c>
      <c r="N61" s="953">
        <f t="shared" si="11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10"/>
        <v>6042.4</v>
      </c>
      <c r="N62" s="953">
        <f t="shared" si="11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10"/>
        <v>1798</v>
      </c>
      <c r="N63" s="953">
        <f t="shared" si="11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10"/>
        <v>1798</v>
      </c>
      <c r="N64" s="953">
        <f t="shared" si="11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10"/>
        <v>4341.3999999999996</v>
      </c>
      <c r="N65" s="953">
        <f t="shared" si="11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10"/>
        <v>1798</v>
      </c>
      <c r="N66" s="953">
        <f t="shared" si="11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10"/>
        <v>1798</v>
      </c>
      <c r="N67" s="953">
        <f t="shared" si="11"/>
        <v>28202</v>
      </c>
    </row>
    <row r="68" spans="2:14" ht="18.75" x14ac:dyDescent="0.3">
      <c r="B68" s="958" t="s">
        <v>1339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10"/>
        <v>1798</v>
      </c>
      <c r="N68" s="953">
        <f t="shared" si="11"/>
        <v>28202</v>
      </c>
    </row>
    <row r="69" spans="2:14" ht="18.75" x14ac:dyDescent="0.3">
      <c r="B69" s="961" t="s">
        <v>755</v>
      </c>
      <c r="C69" s="950"/>
      <c r="D69" s="962">
        <v>9</v>
      </c>
      <c r="E69" s="962"/>
      <c r="F69" s="963">
        <f>SUM(F60:F68)</f>
        <v>283500</v>
      </c>
      <c r="G69" s="964">
        <f>SUM(G66:G67)</f>
        <v>0</v>
      </c>
      <c r="H69" s="963">
        <f t="shared" ref="H69:N69" si="12">SUM(H60:H68)</f>
        <v>283500</v>
      </c>
      <c r="I69" s="963">
        <f t="shared" si="12"/>
        <v>8136.45</v>
      </c>
      <c r="J69" s="963">
        <f t="shared" si="12"/>
        <v>936.62</v>
      </c>
      <c r="K69" s="965">
        <f t="shared" si="12"/>
        <v>8618.4</v>
      </c>
      <c r="L69" s="963">
        <f t="shared" si="12"/>
        <v>7112.7999999999993</v>
      </c>
      <c r="M69" s="963">
        <f t="shared" si="12"/>
        <v>24804.269999999997</v>
      </c>
      <c r="N69" s="963">
        <f t="shared" si="12"/>
        <v>258695.73</v>
      </c>
    </row>
    <row r="70" spans="2:14" ht="18.75" x14ac:dyDescent="0.3">
      <c r="B70" s="958"/>
      <c r="C70" s="950"/>
      <c r="D70" s="960"/>
      <c r="E70" s="960"/>
      <c r="F70" s="951"/>
      <c r="G70" s="952"/>
      <c r="H70" s="953"/>
      <c r="I70" s="953"/>
      <c r="J70" s="953"/>
      <c r="K70" s="953"/>
      <c r="L70" s="954"/>
      <c r="M70" s="953"/>
      <c r="N70" s="953"/>
    </row>
    <row r="71" spans="2:14" ht="18.75" x14ac:dyDescent="0.3">
      <c r="B71" s="975" t="s">
        <v>1134</v>
      </c>
      <c r="C71" s="950"/>
      <c r="D71" s="967"/>
      <c r="E71" s="967"/>
      <c r="F71" s="963"/>
      <c r="G71" s="964"/>
      <c r="H71" s="965"/>
      <c r="I71" s="965"/>
      <c r="J71" s="965"/>
      <c r="K71" s="965"/>
      <c r="L71" s="966"/>
      <c r="M71" s="965"/>
      <c r="N71" s="965"/>
    </row>
    <row r="72" spans="2:14" ht="18.75" x14ac:dyDescent="0.3">
      <c r="B72" s="955" t="s">
        <v>757</v>
      </c>
      <c r="C72" s="950" t="s">
        <v>807</v>
      </c>
      <c r="D72" s="960" t="s">
        <v>662</v>
      </c>
      <c r="E72" s="960" t="s">
        <v>307</v>
      </c>
      <c r="F72" s="951">
        <v>37500</v>
      </c>
      <c r="G72" s="952">
        <v>0</v>
      </c>
      <c r="H72" s="953">
        <v>37500</v>
      </c>
      <c r="I72" s="953">
        <v>1076.25</v>
      </c>
      <c r="J72" s="952">
        <v>89.81</v>
      </c>
      <c r="K72" s="953">
        <v>1140</v>
      </c>
      <c r="L72" s="954">
        <v>1025</v>
      </c>
      <c r="M72" s="953">
        <f t="shared" ref="M72:M82" si="13">+I72+J72+K72+L72</f>
        <v>3331.06</v>
      </c>
      <c r="N72" s="953">
        <f t="shared" ref="N72:N82" si="14">+H72-M72</f>
        <v>34168.94</v>
      </c>
    </row>
    <row r="73" spans="2:14" ht="18.75" x14ac:dyDescent="0.3">
      <c r="B73" s="955" t="s">
        <v>760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52">
        <v>0</v>
      </c>
      <c r="H73" s="953">
        <v>25000</v>
      </c>
      <c r="I73" s="953">
        <v>717.5</v>
      </c>
      <c r="J73" s="952">
        <v>0</v>
      </c>
      <c r="K73" s="953">
        <v>760</v>
      </c>
      <c r="L73" s="954">
        <v>125</v>
      </c>
      <c r="M73" s="953">
        <f t="shared" si="13"/>
        <v>1602.5</v>
      </c>
      <c r="N73" s="953">
        <f t="shared" si="14"/>
        <v>23397.5</v>
      </c>
    </row>
    <row r="74" spans="2:14" ht="18.75" x14ac:dyDescent="0.3">
      <c r="B74" s="955" t="s">
        <v>860</v>
      </c>
      <c r="C74" s="950" t="s">
        <v>807</v>
      </c>
      <c r="D74" s="960" t="s">
        <v>105</v>
      </c>
      <c r="E74" s="960" t="s">
        <v>1067</v>
      </c>
      <c r="F74" s="951">
        <v>25000</v>
      </c>
      <c r="G74" s="974">
        <v>0</v>
      </c>
      <c r="H74" s="951">
        <v>25000</v>
      </c>
      <c r="I74" s="951">
        <v>717.5</v>
      </c>
      <c r="J74" s="974">
        <v>0</v>
      </c>
      <c r="K74" s="951">
        <v>760</v>
      </c>
      <c r="L74" s="951">
        <v>2025</v>
      </c>
      <c r="M74" s="953">
        <f t="shared" si="13"/>
        <v>3502.5</v>
      </c>
      <c r="N74" s="953">
        <f t="shared" si="14"/>
        <v>21497.5</v>
      </c>
    </row>
    <row r="75" spans="2:14" ht="18.75" x14ac:dyDescent="0.3">
      <c r="B75" s="955" t="s">
        <v>913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74">
        <v>0</v>
      </c>
      <c r="H75" s="951">
        <v>25000</v>
      </c>
      <c r="I75" s="951">
        <v>717.5</v>
      </c>
      <c r="J75" s="974">
        <v>0</v>
      </c>
      <c r="K75" s="951">
        <v>760</v>
      </c>
      <c r="L75" s="951">
        <v>1525</v>
      </c>
      <c r="M75" s="951">
        <f t="shared" si="13"/>
        <v>3002.5</v>
      </c>
      <c r="N75" s="951">
        <f t="shared" si="14"/>
        <v>21997.5</v>
      </c>
    </row>
    <row r="76" spans="2:14" ht="21" customHeight="1" x14ac:dyDescent="0.3">
      <c r="B76" s="955" t="s">
        <v>1176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1">
        <f t="shared" si="13"/>
        <v>1502.5</v>
      </c>
      <c r="N76" s="951">
        <f t="shared" si="14"/>
        <v>23497.5</v>
      </c>
    </row>
    <row r="77" spans="2:14" ht="18.75" x14ac:dyDescent="0.3">
      <c r="B77" s="955" t="s">
        <v>1319</v>
      </c>
      <c r="C77" s="968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1">
        <f t="shared" si="13"/>
        <v>1502.5</v>
      </c>
      <c r="N77" s="951">
        <f t="shared" si="14"/>
        <v>23497.5</v>
      </c>
    </row>
    <row r="78" spans="2:14" ht="18.75" x14ac:dyDescent="0.3">
      <c r="B78" s="955" t="s">
        <v>1320</v>
      </c>
      <c r="C78" s="968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1">
        <f t="shared" si="13"/>
        <v>3502.5</v>
      </c>
      <c r="N78" s="951">
        <f t="shared" si="14"/>
        <v>21497.5</v>
      </c>
    </row>
    <row r="79" spans="2:14" ht="18.75" x14ac:dyDescent="0.3">
      <c r="B79" s="955" t="s">
        <v>1321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3025</v>
      </c>
      <c r="M79" s="951">
        <f t="shared" si="13"/>
        <v>4502.5</v>
      </c>
      <c r="N79" s="951">
        <f t="shared" si="14"/>
        <v>20497.5</v>
      </c>
    </row>
    <row r="80" spans="2:14" ht="18.75" x14ac:dyDescent="0.3">
      <c r="B80" s="955" t="s">
        <v>586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1">
        <f t="shared" si="13"/>
        <v>1502.5</v>
      </c>
      <c r="N80" s="951">
        <f t="shared" si="14"/>
        <v>23497.5</v>
      </c>
    </row>
    <row r="81" spans="2:14" ht="18.75" x14ac:dyDescent="0.3">
      <c r="B81" s="955" t="s">
        <v>1075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2025</v>
      </c>
      <c r="M81" s="951">
        <f t="shared" si="13"/>
        <v>3502.5</v>
      </c>
      <c r="N81" s="951">
        <f t="shared" si="14"/>
        <v>21497.5</v>
      </c>
    </row>
    <row r="82" spans="2:14" ht="18.75" x14ac:dyDescent="0.3">
      <c r="B82" s="955" t="s">
        <v>119</v>
      </c>
      <c r="C82" s="968" t="s">
        <v>806</v>
      </c>
      <c r="D82" s="960" t="s">
        <v>912</v>
      </c>
      <c r="E82" s="960" t="s">
        <v>1067</v>
      </c>
      <c r="F82" s="951">
        <v>31500</v>
      </c>
      <c r="G82" s="974">
        <v>0</v>
      </c>
      <c r="H82" s="951">
        <v>31500</v>
      </c>
      <c r="I82" s="951">
        <v>904.05</v>
      </c>
      <c r="J82" s="974">
        <v>0</v>
      </c>
      <c r="K82" s="951">
        <v>957.6</v>
      </c>
      <c r="L82" s="951">
        <v>3839.91</v>
      </c>
      <c r="M82" s="953">
        <f t="shared" si="13"/>
        <v>5701.5599999999995</v>
      </c>
      <c r="N82" s="953">
        <f t="shared" si="14"/>
        <v>25798.440000000002</v>
      </c>
    </row>
    <row r="83" spans="2:14" ht="18.75" x14ac:dyDescent="0.3">
      <c r="B83" s="958" t="s">
        <v>1335</v>
      </c>
      <c r="C83" s="950" t="s">
        <v>806</v>
      </c>
      <c r="D83" s="960" t="s">
        <v>912</v>
      </c>
      <c r="E83" s="960" t="s">
        <v>1067</v>
      </c>
      <c r="F83" s="951">
        <v>30000</v>
      </c>
      <c r="G83" s="974">
        <v>0</v>
      </c>
      <c r="H83" s="951">
        <v>30000</v>
      </c>
      <c r="I83" s="953">
        <v>861</v>
      </c>
      <c r="J83" s="952">
        <v>0</v>
      </c>
      <c r="K83" s="953">
        <v>912</v>
      </c>
      <c r="L83" s="954">
        <v>25</v>
      </c>
      <c r="M83" s="953">
        <f>+I83+J83+K83+L83</f>
        <v>1798</v>
      </c>
      <c r="N83" s="953">
        <f>+H83-M83</f>
        <v>28202</v>
      </c>
    </row>
    <row r="84" spans="2:14" ht="18.75" x14ac:dyDescent="0.3">
      <c r="B84" s="961" t="s">
        <v>763</v>
      </c>
      <c r="C84" s="950"/>
      <c r="D84" s="962">
        <v>12</v>
      </c>
      <c r="E84" s="962"/>
      <c r="F84" s="963">
        <f>SUM(F72:F83)</f>
        <v>324000</v>
      </c>
      <c r="G84" s="1071">
        <v>0</v>
      </c>
      <c r="H84" s="963">
        <f t="shared" ref="H84:N84" si="15">SUM(H72:H83)</f>
        <v>324000</v>
      </c>
      <c r="I84" s="963">
        <f t="shared" si="15"/>
        <v>9298.7999999999993</v>
      </c>
      <c r="J84" s="963">
        <f t="shared" si="15"/>
        <v>89.81</v>
      </c>
      <c r="K84" s="963">
        <f t="shared" si="15"/>
        <v>9849.6</v>
      </c>
      <c r="L84" s="963">
        <f t="shared" si="15"/>
        <v>15714.91</v>
      </c>
      <c r="M84" s="963">
        <f t="shared" si="15"/>
        <v>34953.119999999995</v>
      </c>
      <c r="N84" s="963">
        <f t="shared" si="15"/>
        <v>289046.88</v>
      </c>
    </row>
    <row r="85" spans="2:14" ht="18.75" x14ac:dyDescent="0.3">
      <c r="B85" s="958"/>
      <c r="C85" s="950"/>
      <c r="D85" s="967"/>
      <c r="E85" s="967"/>
      <c r="F85" s="951"/>
      <c r="G85" s="952"/>
      <c r="H85" s="953"/>
      <c r="I85" s="953"/>
      <c r="J85" s="953"/>
      <c r="K85" s="953"/>
      <c r="L85" s="954"/>
      <c r="M85" s="953"/>
      <c r="N85" s="953"/>
    </row>
    <row r="86" spans="2:14" ht="18.75" x14ac:dyDescent="0.3">
      <c r="B86" s="961" t="s">
        <v>1126</v>
      </c>
      <c r="C86" s="950"/>
      <c r="D86" s="960"/>
      <c r="E86" s="960"/>
      <c r="F86" s="951"/>
      <c r="G86" s="964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55" t="s">
        <v>162</v>
      </c>
      <c r="C87" s="950" t="s">
        <v>807</v>
      </c>
      <c r="D87" s="960" t="s">
        <v>1217</v>
      </c>
      <c r="E87" s="960" t="s">
        <v>1069</v>
      </c>
      <c r="F87" s="951">
        <v>95000</v>
      </c>
      <c r="G87" s="952">
        <v>0</v>
      </c>
      <c r="H87" s="953">
        <v>95000</v>
      </c>
      <c r="I87" s="953">
        <v>2726.5</v>
      </c>
      <c r="J87" s="953">
        <v>10929.24</v>
      </c>
      <c r="K87" s="953">
        <v>2888</v>
      </c>
      <c r="L87" s="954">
        <v>25</v>
      </c>
      <c r="M87" s="953">
        <f>+I87+J87+K87+L87</f>
        <v>16568.739999999998</v>
      </c>
      <c r="N87" s="953">
        <f>+H87-M87</f>
        <v>78431.260000000009</v>
      </c>
    </row>
    <row r="88" spans="2:14" ht="18.75" x14ac:dyDescent="0.3">
      <c r="B88" s="960" t="s">
        <v>728</v>
      </c>
      <c r="C88" s="976" t="s">
        <v>807</v>
      </c>
      <c r="D88" s="977" t="s">
        <v>166</v>
      </c>
      <c r="E88" s="977" t="s">
        <v>307</v>
      </c>
      <c r="F88" s="978">
        <v>37500</v>
      </c>
      <c r="G88" s="979">
        <v>0</v>
      </c>
      <c r="H88" s="953">
        <v>37500</v>
      </c>
      <c r="I88" s="953">
        <v>1076.25</v>
      </c>
      <c r="J88" s="952">
        <v>0</v>
      </c>
      <c r="K88" s="953">
        <v>1140</v>
      </c>
      <c r="L88" s="954">
        <v>1740.46</v>
      </c>
      <c r="M88" s="953">
        <f>+I88+J88+K88+L88</f>
        <v>3956.71</v>
      </c>
      <c r="N88" s="953">
        <f>+H88-M88</f>
        <v>33543.29</v>
      </c>
    </row>
    <row r="89" spans="2:14" ht="18.75" x14ac:dyDescent="0.3">
      <c r="B89" s="961" t="s">
        <v>749</v>
      </c>
      <c r="C89" s="950"/>
      <c r="D89" s="962">
        <v>2</v>
      </c>
      <c r="E89" s="962"/>
      <c r="F89" s="963">
        <f t="shared" ref="F89:N89" si="16">SUM(F87:F88)</f>
        <v>132500</v>
      </c>
      <c r="G89" s="964">
        <f t="shared" si="16"/>
        <v>0</v>
      </c>
      <c r="H89" s="965">
        <f t="shared" si="16"/>
        <v>132500</v>
      </c>
      <c r="I89" s="965">
        <f t="shared" si="16"/>
        <v>3802.75</v>
      </c>
      <c r="J89" s="965">
        <f t="shared" si="16"/>
        <v>10929.24</v>
      </c>
      <c r="K89" s="965">
        <f t="shared" si="16"/>
        <v>4028</v>
      </c>
      <c r="L89" s="966">
        <f t="shared" si="16"/>
        <v>1765.46</v>
      </c>
      <c r="M89" s="965">
        <f t="shared" si="16"/>
        <v>20525.449999999997</v>
      </c>
      <c r="N89" s="965">
        <f t="shared" si="16"/>
        <v>111974.55000000002</v>
      </c>
    </row>
    <row r="90" spans="2:14" ht="18.75" x14ac:dyDescent="0.3">
      <c r="B90" s="958"/>
      <c r="C90" s="950"/>
      <c r="D90" s="960"/>
      <c r="E90" s="960"/>
      <c r="F90" s="951"/>
      <c r="G90" s="952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61" t="s">
        <v>1127</v>
      </c>
      <c r="C91" s="950"/>
      <c r="D91" s="960"/>
      <c r="E91" s="960"/>
      <c r="F91" s="951"/>
      <c r="G91" s="952"/>
      <c r="H91" s="953"/>
      <c r="I91" s="953"/>
      <c r="J91" s="953"/>
      <c r="K91" s="953"/>
      <c r="L91" s="954"/>
      <c r="M91" s="953"/>
      <c r="N91" s="953"/>
    </row>
    <row r="92" spans="2:14" ht="18.75" x14ac:dyDescent="0.3">
      <c r="B92" s="955" t="s">
        <v>1077</v>
      </c>
      <c r="C92" s="950" t="s">
        <v>806</v>
      </c>
      <c r="D92" s="960" t="s">
        <v>495</v>
      </c>
      <c r="E92" s="960" t="s">
        <v>1069</v>
      </c>
      <c r="F92" s="951">
        <v>55000</v>
      </c>
      <c r="G92" s="974">
        <v>0</v>
      </c>
      <c r="H92" s="951">
        <v>55000</v>
      </c>
      <c r="I92" s="951">
        <v>1578.5</v>
      </c>
      <c r="J92" s="951">
        <v>2559.6799999999998</v>
      </c>
      <c r="K92" s="951">
        <v>1672</v>
      </c>
      <c r="L92" s="951">
        <v>1296.7</v>
      </c>
      <c r="M92" s="953">
        <f>+I92+J92+K92+L92</f>
        <v>7106.88</v>
      </c>
      <c r="N92" s="953">
        <f>+H92-M92</f>
        <v>47893.120000000003</v>
      </c>
    </row>
    <row r="93" spans="2:14" ht="18.75" x14ac:dyDescent="0.3">
      <c r="B93" s="958" t="s">
        <v>531</v>
      </c>
      <c r="C93" s="950" t="s">
        <v>807</v>
      </c>
      <c r="D93" s="960" t="s">
        <v>166</v>
      </c>
      <c r="E93" s="960" t="s">
        <v>1069</v>
      </c>
      <c r="F93" s="951">
        <v>43500</v>
      </c>
      <c r="G93" s="952">
        <v>0</v>
      </c>
      <c r="H93" s="953">
        <v>43500</v>
      </c>
      <c r="I93" s="953">
        <v>1248.45</v>
      </c>
      <c r="J93" s="953">
        <v>936.62</v>
      </c>
      <c r="K93" s="953">
        <v>1322.4</v>
      </c>
      <c r="L93" s="954">
        <v>25</v>
      </c>
      <c r="M93" s="953">
        <f>+I93+J93+K93+L93</f>
        <v>3532.4700000000003</v>
      </c>
      <c r="N93" s="953">
        <f>+H93-M93</f>
        <v>39967.53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98500</v>
      </c>
      <c r="G94" s="964">
        <f>SUM(G93:G93)</f>
        <v>0</v>
      </c>
      <c r="H94" s="965">
        <f t="shared" ref="H94:N94" si="17">SUM(H92:H93)</f>
        <v>98500</v>
      </c>
      <c r="I94" s="965">
        <f t="shared" si="17"/>
        <v>2826.95</v>
      </c>
      <c r="J94" s="965">
        <f t="shared" si="17"/>
        <v>3496.2999999999997</v>
      </c>
      <c r="K94" s="965">
        <f t="shared" si="17"/>
        <v>2994.4</v>
      </c>
      <c r="L94" s="966">
        <f>SUM(L92:L93)</f>
        <v>1321.7</v>
      </c>
      <c r="M94" s="965">
        <f t="shared" si="17"/>
        <v>10639.35</v>
      </c>
      <c r="N94" s="965">
        <f t="shared" si="17"/>
        <v>87860.65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61" t="s">
        <v>839</v>
      </c>
      <c r="C96" s="950"/>
      <c r="D96" s="967"/>
      <c r="E96" s="967"/>
      <c r="F96" s="963"/>
      <c r="G96" s="964"/>
      <c r="H96" s="965"/>
      <c r="I96" s="965"/>
      <c r="J96" s="965"/>
      <c r="K96" s="965"/>
      <c r="L96" s="966"/>
      <c r="M96" s="965"/>
      <c r="N96" s="965"/>
    </row>
    <row r="97" spans="2:14" ht="23.25" customHeight="1" x14ac:dyDescent="0.3">
      <c r="B97" s="955" t="s">
        <v>816</v>
      </c>
      <c r="C97" s="950" t="s">
        <v>807</v>
      </c>
      <c r="D97" s="980" t="s">
        <v>1219</v>
      </c>
      <c r="E97" s="960" t="s">
        <v>1066</v>
      </c>
      <c r="F97" s="951">
        <v>150000</v>
      </c>
      <c r="G97" s="952">
        <v>0</v>
      </c>
      <c r="H97" s="953">
        <v>150000</v>
      </c>
      <c r="I97" s="953">
        <v>4305</v>
      </c>
      <c r="J97" s="953">
        <v>23437.75</v>
      </c>
      <c r="K97" s="953">
        <v>4560</v>
      </c>
      <c r="L97" s="954">
        <v>3912.66</v>
      </c>
      <c r="M97" s="953">
        <f>+I97+J97+K97+L97</f>
        <v>36215.410000000003</v>
      </c>
      <c r="N97" s="953">
        <f>+H97-M97</f>
        <v>113784.59</v>
      </c>
    </row>
    <row r="98" spans="2:14" ht="18.75" x14ac:dyDescent="0.3">
      <c r="B98" s="955" t="s">
        <v>230</v>
      </c>
      <c r="C98" s="968" t="s">
        <v>807</v>
      </c>
      <c r="D98" s="960" t="s">
        <v>604</v>
      </c>
      <c r="E98" s="960" t="s">
        <v>1069</v>
      </c>
      <c r="F98" s="951">
        <v>70000</v>
      </c>
      <c r="G98" s="974">
        <v>0</v>
      </c>
      <c r="H98" s="951">
        <v>70000</v>
      </c>
      <c r="I98" s="951">
        <v>2009</v>
      </c>
      <c r="J98" s="951">
        <v>5368.48</v>
      </c>
      <c r="K98" s="951">
        <v>2128</v>
      </c>
      <c r="L98" s="951">
        <v>25</v>
      </c>
      <c r="M98" s="951">
        <f>+I98+J98+K98+L98</f>
        <v>9530.48</v>
      </c>
      <c r="N98" s="951">
        <f>+H98-M98</f>
        <v>60469.520000000004</v>
      </c>
    </row>
    <row r="99" spans="2:14" ht="18.75" x14ac:dyDescent="0.3">
      <c r="B99" s="958" t="s">
        <v>124</v>
      </c>
      <c r="C99" s="950" t="s">
        <v>807</v>
      </c>
      <c r="D99" s="960" t="s">
        <v>276</v>
      </c>
      <c r="E99" s="960" t="s">
        <v>307</v>
      </c>
      <c r="F99" s="951">
        <v>43500</v>
      </c>
      <c r="G99" s="952">
        <v>0</v>
      </c>
      <c r="H99" s="953">
        <v>43500</v>
      </c>
      <c r="I99" s="953">
        <v>1248.45</v>
      </c>
      <c r="J99" s="952">
        <v>421.98</v>
      </c>
      <c r="K99" s="953">
        <v>1322.4</v>
      </c>
      <c r="L99" s="954">
        <v>3555.92</v>
      </c>
      <c r="M99" s="953">
        <f>+I99+J99+K99+L99</f>
        <v>6548.75</v>
      </c>
      <c r="N99" s="953">
        <f>+H99-M99</f>
        <v>36951.25</v>
      </c>
    </row>
    <row r="100" spans="2:14" ht="18.75" x14ac:dyDescent="0.3">
      <c r="B100" s="961" t="s">
        <v>749</v>
      </c>
      <c r="C100" s="950"/>
      <c r="D100" s="962">
        <v>3</v>
      </c>
      <c r="E100" s="962"/>
      <c r="F100" s="963">
        <f>SUM(F97:F99)</f>
        <v>263500</v>
      </c>
      <c r="G100" s="964">
        <f>SUM(G99:G99)</f>
        <v>0</v>
      </c>
      <c r="H100" s="963">
        <f t="shared" ref="H100:N100" si="18">SUM(H97:H99)</f>
        <v>263500</v>
      </c>
      <c r="I100" s="963">
        <f t="shared" si="18"/>
        <v>7562.45</v>
      </c>
      <c r="J100" s="963">
        <f t="shared" si="18"/>
        <v>29228.21</v>
      </c>
      <c r="K100" s="963">
        <f t="shared" si="18"/>
        <v>8010.4</v>
      </c>
      <c r="L100" s="963">
        <f t="shared" si="18"/>
        <v>7493.58</v>
      </c>
      <c r="M100" s="963">
        <f t="shared" si="18"/>
        <v>52294.64</v>
      </c>
      <c r="N100" s="963">
        <f t="shared" si="18"/>
        <v>211205.36</v>
      </c>
    </row>
    <row r="101" spans="2:14" ht="18.75" x14ac:dyDescent="0.3">
      <c r="B101" s="961"/>
      <c r="C101" s="950"/>
      <c r="D101" s="962"/>
      <c r="E101" s="962"/>
      <c r="F101" s="963"/>
      <c r="G101" s="964"/>
      <c r="H101" s="965"/>
      <c r="I101" s="965"/>
      <c r="J101" s="965"/>
      <c r="K101" s="965"/>
      <c r="L101" s="965"/>
      <c r="M101" s="965"/>
      <c r="N101" s="965"/>
    </row>
    <row r="102" spans="2:14" ht="18.75" customHeight="1" x14ac:dyDescent="0.3">
      <c r="B102" s="981" t="s">
        <v>1167</v>
      </c>
      <c r="C102" s="950"/>
      <c r="D102" s="962"/>
      <c r="E102" s="962"/>
      <c r="F102" s="963"/>
      <c r="G102" s="964"/>
      <c r="H102" s="965"/>
      <c r="I102" s="965"/>
      <c r="J102" s="965"/>
      <c r="K102" s="965"/>
      <c r="L102" s="965"/>
      <c r="M102" s="965"/>
      <c r="N102" s="965"/>
    </row>
    <row r="103" spans="2:14" ht="18.75" x14ac:dyDescent="0.3">
      <c r="B103" s="955" t="s">
        <v>1053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74">
        <v>0</v>
      </c>
      <c r="H103" s="951">
        <v>43500</v>
      </c>
      <c r="I103" s="951">
        <v>1248.45</v>
      </c>
      <c r="J103" s="974">
        <v>936.62</v>
      </c>
      <c r="K103" s="951">
        <v>1322.4</v>
      </c>
      <c r="L103" s="951">
        <v>2025</v>
      </c>
      <c r="M103" s="951">
        <v>5532.47</v>
      </c>
      <c r="N103" s="951">
        <v>37967.53</v>
      </c>
    </row>
    <row r="104" spans="2:14" ht="18.75" x14ac:dyDescent="0.3">
      <c r="B104" s="955" t="s">
        <v>1147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74">
        <v>0</v>
      </c>
      <c r="H104" s="951">
        <v>43500</v>
      </c>
      <c r="I104" s="951">
        <v>1248.45</v>
      </c>
      <c r="J104" s="974">
        <v>936.62</v>
      </c>
      <c r="K104" s="951">
        <v>1322.4</v>
      </c>
      <c r="L104" s="951">
        <v>25</v>
      </c>
      <c r="M104" s="951">
        <f>+I104+J104+K104+L104</f>
        <v>3532.4700000000003</v>
      </c>
      <c r="N104" s="951">
        <f>+H104-M104</f>
        <v>39967.53</v>
      </c>
    </row>
    <row r="105" spans="2:14" ht="18.75" x14ac:dyDescent="0.3">
      <c r="B105" s="961" t="s">
        <v>749</v>
      </c>
      <c r="C105" s="950"/>
      <c r="D105" s="962">
        <v>2</v>
      </c>
      <c r="E105" s="962"/>
      <c r="F105" s="963">
        <f>SUM(F103:F104)</f>
        <v>87000</v>
      </c>
      <c r="G105" s="1071">
        <v>0</v>
      </c>
      <c r="H105" s="963">
        <f t="shared" ref="H105:N105" si="19">SUM(H103:H104)</f>
        <v>87000</v>
      </c>
      <c r="I105" s="963">
        <f t="shared" si="19"/>
        <v>2496.9</v>
      </c>
      <c r="J105" s="963">
        <f t="shared" si="19"/>
        <v>1873.24</v>
      </c>
      <c r="K105" s="963">
        <f t="shared" si="19"/>
        <v>2644.8</v>
      </c>
      <c r="L105" s="963">
        <f t="shared" si="19"/>
        <v>2050</v>
      </c>
      <c r="M105" s="963">
        <f t="shared" si="19"/>
        <v>9064.94</v>
      </c>
      <c r="N105" s="963">
        <f t="shared" si="19"/>
        <v>77935.06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61" t="s">
        <v>1128</v>
      </c>
      <c r="C107" s="950"/>
      <c r="D107" s="967"/>
      <c r="E107" s="967"/>
      <c r="F107" s="963"/>
      <c r="G107" s="964"/>
      <c r="H107" s="965"/>
      <c r="I107" s="965"/>
      <c r="J107" s="965"/>
      <c r="K107" s="965"/>
      <c r="L107" s="966"/>
      <c r="M107" s="965"/>
      <c r="N107" s="965"/>
    </row>
    <row r="108" spans="2:14" ht="18.75" x14ac:dyDescent="0.3">
      <c r="B108" s="958" t="s">
        <v>47</v>
      </c>
      <c r="C108" s="950" t="s">
        <v>806</v>
      </c>
      <c r="D108" s="960" t="s">
        <v>49</v>
      </c>
      <c r="E108" s="960" t="s">
        <v>1069</v>
      </c>
      <c r="F108" s="951">
        <v>80000</v>
      </c>
      <c r="G108" s="952">
        <v>0</v>
      </c>
      <c r="H108" s="953">
        <v>80000</v>
      </c>
      <c r="I108" s="953">
        <v>2296</v>
      </c>
      <c r="J108" s="953">
        <v>6972</v>
      </c>
      <c r="K108" s="953">
        <v>2432</v>
      </c>
      <c r="L108" s="954">
        <v>1740.46</v>
      </c>
      <c r="M108" s="953">
        <f>+I108+J108+K108+L108</f>
        <v>13440.46</v>
      </c>
      <c r="N108" s="953">
        <f>+H108-M108</f>
        <v>66559.540000000008</v>
      </c>
    </row>
    <row r="109" spans="2:14" ht="18.75" x14ac:dyDescent="0.3">
      <c r="B109" s="961" t="s">
        <v>749</v>
      </c>
      <c r="C109" s="950"/>
      <c r="D109" s="962">
        <v>1</v>
      </c>
      <c r="E109" s="962"/>
      <c r="F109" s="963">
        <f>SUM(F108:F108)</f>
        <v>80000</v>
      </c>
      <c r="G109" s="952">
        <v>0</v>
      </c>
      <c r="H109" s="965">
        <f t="shared" ref="H109:N109" si="20">SUM(H108:H108)</f>
        <v>80000</v>
      </c>
      <c r="I109" s="965">
        <f t="shared" si="20"/>
        <v>2296</v>
      </c>
      <c r="J109" s="965">
        <f t="shared" si="20"/>
        <v>6972</v>
      </c>
      <c r="K109" s="965">
        <f t="shared" si="20"/>
        <v>2432</v>
      </c>
      <c r="L109" s="965">
        <f t="shared" si="20"/>
        <v>1740.46</v>
      </c>
      <c r="M109" s="965">
        <f t="shared" si="20"/>
        <v>13440.46</v>
      </c>
      <c r="N109" s="965">
        <f t="shared" si="20"/>
        <v>66559.540000000008</v>
      </c>
    </row>
    <row r="110" spans="2:14" ht="18.75" x14ac:dyDescent="0.3">
      <c r="B110" s="961"/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5.75" customHeight="1" x14ac:dyDescent="0.3">
      <c r="B111" s="982" t="s">
        <v>1132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769</v>
      </c>
      <c r="C112" s="950" t="s">
        <v>806</v>
      </c>
      <c r="D112" s="960" t="s">
        <v>1265</v>
      </c>
      <c r="E112" s="960" t="s">
        <v>1066</v>
      </c>
      <c r="F112" s="951">
        <v>185000</v>
      </c>
      <c r="G112" s="952">
        <v>0</v>
      </c>
      <c r="H112" s="953">
        <v>185000</v>
      </c>
      <c r="I112" s="953">
        <v>5309.5</v>
      </c>
      <c r="J112" s="953">
        <v>32099.49</v>
      </c>
      <c r="K112" s="953">
        <v>5624</v>
      </c>
      <c r="L112" s="954">
        <v>25</v>
      </c>
      <c r="M112" s="953">
        <f>+I112+J112+K112+L112</f>
        <v>43057.990000000005</v>
      </c>
      <c r="N112" s="953">
        <f t="shared" ref="N112:N118" si="21">+H112-M112</f>
        <v>141942.01</v>
      </c>
    </row>
    <row r="113" spans="2:14" ht="18.75" x14ac:dyDescent="0.3">
      <c r="B113" s="958" t="s">
        <v>232</v>
      </c>
      <c r="C113" s="968" t="s">
        <v>807</v>
      </c>
      <c r="D113" s="960" t="s">
        <v>1174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3">
        <v>6972</v>
      </c>
      <c r="K113" s="953">
        <v>2432</v>
      </c>
      <c r="L113" s="954">
        <v>4283.8599999999997</v>
      </c>
      <c r="M113" s="953">
        <f>+I113+J113+K113+L113</f>
        <v>15983.86</v>
      </c>
      <c r="N113" s="953">
        <f t="shared" si="21"/>
        <v>64016.14</v>
      </c>
    </row>
    <row r="114" spans="2:14" ht="18.75" x14ac:dyDescent="0.3">
      <c r="B114" s="955" t="s">
        <v>65</v>
      </c>
      <c r="C114" s="950" t="s">
        <v>806</v>
      </c>
      <c r="D114" s="960" t="s">
        <v>1174</v>
      </c>
      <c r="E114" s="960" t="s">
        <v>1069</v>
      </c>
      <c r="F114" s="951">
        <v>70000</v>
      </c>
      <c r="G114" s="952">
        <v>0</v>
      </c>
      <c r="H114" s="953">
        <v>70000</v>
      </c>
      <c r="I114" s="953">
        <v>2009</v>
      </c>
      <c r="J114" s="953">
        <v>5368.48</v>
      </c>
      <c r="K114" s="953">
        <v>2128</v>
      </c>
      <c r="L114" s="953">
        <v>10959</v>
      </c>
      <c r="M114" s="953">
        <v>20464.48</v>
      </c>
      <c r="N114" s="953">
        <f>+H114-M114</f>
        <v>49535.520000000004</v>
      </c>
    </row>
    <row r="115" spans="2:14" ht="18.75" x14ac:dyDescent="0.3">
      <c r="B115" s="958" t="s">
        <v>843</v>
      </c>
      <c r="C115" s="968" t="s">
        <v>806</v>
      </c>
      <c r="D115" s="960" t="s">
        <v>1199</v>
      </c>
      <c r="E115" s="960" t="s">
        <v>1069</v>
      </c>
      <c r="F115" s="951">
        <v>60000</v>
      </c>
      <c r="G115" s="952">
        <v>0</v>
      </c>
      <c r="H115" s="953">
        <v>60000</v>
      </c>
      <c r="I115" s="953">
        <v>1722</v>
      </c>
      <c r="J115" s="953">
        <v>3486.68</v>
      </c>
      <c r="K115" s="953">
        <v>1824</v>
      </c>
      <c r="L115" s="954">
        <v>25</v>
      </c>
      <c r="M115" s="953">
        <f>+I115+J115+K115+L115</f>
        <v>7057.68</v>
      </c>
      <c r="N115" s="953">
        <f t="shared" si="21"/>
        <v>52942.32</v>
      </c>
    </row>
    <row r="116" spans="2:14" ht="18.75" x14ac:dyDescent="0.3">
      <c r="B116" s="958" t="s">
        <v>484</v>
      </c>
      <c r="C116" s="950" t="s">
        <v>807</v>
      </c>
      <c r="D116" s="977" t="s">
        <v>166</v>
      </c>
      <c r="E116" s="960" t="s">
        <v>307</v>
      </c>
      <c r="F116" s="951">
        <v>37500</v>
      </c>
      <c r="G116" s="974">
        <v>0</v>
      </c>
      <c r="H116" s="953">
        <v>37500</v>
      </c>
      <c r="I116" s="953">
        <v>1076.25</v>
      </c>
      <c r="J116" s="952">
        <v>89.81</v>
      </c>
      <c r="K116" s="953">
        <v>1140</v>
      </c>
      <c r="L116" s="954">
        <v>728</v>
      </c>
      <c r="M116" s="953">
        <f>+I116+J116+K116+L116</f>
        <v>3034.06</v>
      </c>
      <c r="N116" s="953">
        <f t="shared" si="21"/>
        <v>34465.94</v>
      </c>
    </row>
    <row r="117" spans="2:14" ht="18.75" x14ac:dyDescent="0.3">
      <c r="B117" s="958" t="s">
        <v>1338</v>
      </c>
      <c r="C117" s="950" t="s">
        <v>807</v>
      </c>
      <c r="D117" s="977" t="s">
        <v>166</v>
      </c>
      <c r="E117" s="960" t="s">
        <v>321</v>
      </c>
      <c r="F117" s="951">
        <v>31500</v>
      </c>
      <c r="G117" s="974">
        <v>0</v>
      </c>
      <c r="H117" s="953">
        <v>31500</v>
      </c>
      <c r="I117" s="953">
        <v>904.05</v>
      </c>
      <c r="J117" s="952">
        <v>0</v>
      </c>
      <c r="K117" s="953">
        <v>957.6</v>
      </c>
      <c r="L117" s="954">
        <v>25</v>
      </c>
      <c r="M117" s="953">
        <v>1886.65</v>
      </c>
      <c r="N117" s="953">
        <f t="shared" si="21"/>
        <v>29613.35</v>
      </c>
    </row>
    <row r="118" spans="2:14" ht="18.75" x14ac:dyDescent="0.3">
      <c r="B118" s="958" t="s">
        <v>1322</v>
      </c>
      <c r="C118" s="950" t="s">
        <v>1151</v>
      </c>
      <c r="D118" s="977" t="s">
        <v>327</v>
      </c>
      <c r="E118" s="960" t="s">
        <v>321</v>
      </c>
      <c r="F118" s="951">
        <v>43500</v>
      </c>
      <c r="G118" s="974">
        <v>0</v>
      </c>
      <c r="H118" s="953">
        <v>43500</v>
      </c>
      <c r="I118" s="953">
        <v>1248.45</v>
      </c>
      <c r="J118" s="952">
        <v>936.62</v>
      </c>
      <c r="K118" s="953">
        <v>1322.4</v>
      </c>
      <c r="L118" s="954">
        <v>25</v>
      </c>
      <c r="M118" s="953">
        <f>+I118+J118+K118+L118</f>
        <v>3532.4700000000003</v>
      </c>
      <c r="N118" s="953">
        <f t="shared" si="21"/>
        <v>39967.53</v>
      </c>
    </row>
    <row r="119" spans="2:14" ht="18.75" x14ac:dyDescent="0.3">
      <c r="B119" s="961" t="s">
        <v>749</v>
      </c>
      <c r="C119" s="950"/>
      <c r="D119" s="962">
        <v>7</v>
      </c>
      <c r="E119" s="962"/>
      <c r="F119" s="963">
        <f t="shared" ref="F119:N119" si="22">SUM(F112:F118)</f>
        <v>507500</v>
      </c>
      <c r="G119" s="964">
        <f t="shared" si="22"/>
        <v>0</v>
      </c>
      <c r="H119" s="963">
        <f t="shared" si="22"/>
        <v>507500</v>
      </c>
      <c r="I119" s="963">
        <f t="shared" si="22"/>
        <v>14565.25</v>
      </c>
      <c r="J119" s="963">
        <f t="shared" si="22"/>
        <v>48953.08</v>
      </c>
      <c r="K119" s="963">
        <f t="shared" si="22"/>
        <v>15428</v>
      </c>
      <c r="L119" s="963">
        <f t="shared" si="22"/>
        <v>16070.86</v>
      </c>
      <c r="M119" s="963">
        <f t="shared" si="22"/>
        <v>95017.19</v>
      </c>
      <c r="N119" s="963">
        <f t="shared" si="22"/>
        <v>412482.81000000006</v>
      </c>
    </row>
    <row r="120" spans="2:14" ht="18.75" x14ac:dyDescent="0.3">
      <c r="B120" s="961"/>
      <c r="C120" s="950"/>
      <c r="D120" s="967"/>
      <c r="E120" s="967"/>
      <c r="F120" s="963"/>
      <c r="G120" s="964"/>
      <c r="H120" s="965"/>
      <c r="I120" s="965"/>
      <c r="J120" s="965"/>
      <c r="K120" s="965"/>
      <c r="L120" s="966"/>
      <c r="M120" s="965"/>
      <c r="N120" s="965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23.25" customHeight="1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2025</v>
      </c>
      <c r="M124" s="953">
        <f>+I124+J124+K124+L124</f>
        <v>5532.47</v>
      </c>
      <c r="N124" s="953">
        <f>+H124-M124</f>
        <v>37967.53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>SUM(F123:F124)</f>
        <v>93500</v>
      </c>
      <c r="G125" s="964">
        <f t="shared" ref="G125:N125" si="23">SUM(G123:G124)</f>
        <v>0</v>
      </c>
      <c r="H125" s="963">
        <f t="shared" si="23"/>
        <v>93500</v>
      </c>
      <c r="I125" s="963">
        <f t="shared" si="23"/>
        <v>2683.45</v>
      </c>
      <c r="J125" s="963">
        <f t="shared" si="23"/>
        <v>2790.62</v>
      </c>
      <c r="K125" s="963">
        <f t="shared" si="23"/>
        <v>2842.4</v>
      </c>
      <c r="L125" s="963">
        <f t="shared" si="23"/>
        <v>2753</v>
      </c>
      <c r="M125" s="963">
        <f t="shared" si="23"/>
        <v>11069.470000000001</v>
      </c>
      <c r="N125" s="963">
        <f t="shared" si="23"/>
        <v>82430.53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1131</v>
      </c>
      <c r="C128" s="950" t="s">
        <v>806</v>
      </c>
      <c r="D128" s="960" t="s">
        <v>905</v>
      </c>
      <c r="E128" s="960" t="s">
        <v>307</v>
      </c>
      <c r="F128" s="951">
        <v>80000</v>
      </c>
      <c r="G128" s="974">
        <v>0</v>
      </c>
      <c r="H128" s="951">
        <v>80000</v>
      </c>
      <c r="I128" s="951">
        <v>2296</v>
      </c>
      <c r="J128" s="951">
        <v>7400.87</v>
      </c>
      <c r="K128" s="951">
        <v>2432</v>
      </c>
      <c r="L128" s="951">
        <v>828</v>
      </c>
      <c r="M128" s="951">
        <f t="shared" ref="M128:M133" si="24">+I128+J128+K128+L128</f>
        <v>12956.869999999999</v>
      </c>
      <c r="N128" s="951">
        <f t="shared" ref="N128:N133" si="25">+H128-M128</f>
        <v>67043.13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55000</v>
      </c>
      <c r="G129" s="974">
        <v>0</v>
      </c>
      <c r="H129" s="951">
        <v>55000</v>
      </c>
      <c r="I129" s="951">
        <v>1578.5</v>
      </c>
      <c r="J129" s="951">
        <v>2559.6799999999998</v>
      </c>
      <c r="K129" s="951">
        <v>1672</v>
      </c>
      <c r="L129" s="951">
        <v>125</v>
      </c>
      <c r="M129" s="951">
        <v>5935.18</v>
      </c>
      <c r="N129" s="951">
        <f t="shared" si="25"/>
        <v>49064.82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55000</v>
      </c>
      <c r="G130" s="974">
        <v>0</v>
      </c>
      <c r="H130" s="951">
        <v>55000</v>
      </c>
      <c r="I130" s="951">
        <v>1578.5</v>
      </c>
      <c r="J130" s="951">
        <v>2559.6799999999998</v>
      </c>
      <c r="K130" s="951">
        <v>1672</v>
      </c>
      <c r="L130" s="951">
        <v>728</v>
      </c>
      <c r="M130" s="951">
        <f t="shared" si="24"/>
        <v>6538.18</v>
      </c>
      <c r="N130" s="951">
        <f t="shared" si="25"/>
        <v>48461.82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74">
        <v>0</v>
      </c>
      <c r="H131" s="951">
        <v>37500</v>
      </c>
      <c r="I131" s="951">
        <v>1076.25</v>
      </c>
      <c r="J131" s="974">
        <v>89.81</v>
      </c>
      <c r="K131" s="951">
        <v>1140</v>
      </c>
      <c r="L131" s="951">
        <v>25</v>
      </c>
      <c r="M131" s="951">
        <f t="shared" si="24"/>
        <v>2331.06</v>
      </c>
      <c r="N131" s="951">
        <f t="shared" si="25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74">
        <v>0</v>
      </c>
      <c r="H132" s="951">
        <v>55000</v>
      </c>
      <c r="I132" s="951">
        <v>1578.5</v>
      </c>
      <c r="J132" s="951">
        <v>2559.6799999999998</v>
      </c>
      <c r="K132" s="951">
        <v>1672</v>
      </c>
      <c r="L132" s="951">
        <v>2291.13</v>
      </c>
      <c r="M132" s="951">
        <f t="shared" si="24"/>
        <v>8101.31</v>
      </c>
      <c r="N132" s="951">
        <f t="shared" si="25"/>
        <v>46898.69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55000</v>
      </c>
      <c r="G133" s="974">
        <v>0</v>
      </c>
      <c r="H133" s="951">
        <v>55000</v>
      </c>
      <c r="I133" s="951">
        <v>1578.5</v>
      </c>
      <c r="J133" s="951">
        <v>2559.6799999999998</v>
      </c>
      <c r="K133" s="951">
        <v>1672</v>
      </c>
      <c r="L133" s="951">
        <v>25</v>
      </c>
      <c r="M133" s="951">
        <f t="shared" si="24"/>
        <v>5835.18</v>
      </c>
      <c r="N133" s="951">
        <f t="shared" si="25"/>
        <v>49164.82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337500</v>
      </c>
      <c r="G134" s="964">
        <f>SUM(G132:G133)</f>
        <v>0</v>
      </c>
      <c r="H134" s="963">
        <f>SUM(H128:H133)</f>
        <v>337500</v>
      </c>
      <c r="I134" s="963">
        <f t="shared" ref="I134:M134" si="26">SUM(I128:I133)</f>
        <v>9686.25</v>
      </c>
      <c r="J134" s="963">
        <f t="shared" si="26"/>
        <v>17729.399999999998</v>
      </c>
      <c r="K134" s="963">
        <f t="shared" si="26"/>
        <v>10260</v>
      </c>
      <c r="L134" s="963">
        <f t="shared" si="26"/>
        <v>4022.13</v>
      </c>
      <c r="M134" s="963">
        <f t="shared" si="26"/>
        <v>41697.78</v>
      </c>
      <c r="N134" s="963">
        <f>SUM(N128:N133)</f>
        <v>295802.22000000003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1433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55" t="s">
        <v>42</v>
      </c>
      <c r="C138" s="950" t="s">
        <v>806</v>
      </c>
      <c r="D138" s="960" t="s">
        <v>449</v>
      </c>
      <c r="E138" s="960" t="s">
        <v>1069</v>
      </c>
      <c r="F138" s="951">
        <v>55000</v>
      </c>
      <c r="G138" s="974">
        <v>0</v>
      </c>
      <c r="H138" s="951">
        <v>55000</v>
      </c>
      <c r="I138" s="951">
        <v>1578.5</v>
      </c>
      <c r="J138" s="951">
        <v>2559.6799999999998</v>
      </c>
      <c r="K138" s="951">
        <v>1672</v>
      </c>
      <c r="L138" s="951">
        <v>1396.7</v>
      </c>
      <c r="M138" s="951">
        <f>+I138+J138+K138+L138</f>
        <v>7206.88</v>
      </c>
      <c r="N138" s="951">
        <f>+H138-M138</f>
        <v>47793.120000000003</v>
      </c>
    </row>
    <row r="139" spans="2:14" ht="18.75" x14ac:dyDescent="0.3">
      <c r="B139" s="958" t="s">
        <v>310</v>
      </c>
      <c r="C139" s="950" t="s">
        <v>807</v>
      </c>
      <c r="D139" s="960" t="s">
        <v>276</v>
      </c>
      <c r="E139" s="960" t="s">
        <v>307</v>
      </c>
      <c r="F139" s="951">
        <v>50000</v>
      </c>
      <c r="G139" s="952">
        <v>0</v>
      </c>
      <c r="H139" s="953">
        <v>50000</v>
      </c>
      <c r="I139" s="953">
        <v>1435</v>
      </c>
      <c r="J139" s="953">
        <v>1596.68</v>
      </c>
      <c r="K139" s="953">
        <v>1520</v>
      </c>
      <c r="L139" s="954">
        <v>7270.49</v>
      </c>
      <c r="M139" s="953">
        <f>+I139+J139+K139+L139</f>
        <v>11822.17</v>
      </c>
      <c r="N139" s="953">
        <f>+H139-M139</f>
        <v>38177.83</v>
      </c>
    </row>
    <row r="140" spans="2:14" ht="18.75" x14ac:dyDescent="0.3">
      <c r="B140" s="961" t="s">
        <v>749</v>
      </c>
      <c r="C140" s="950"/>
      <c r="D140" s="962">
        <v>3</v>
      </c>
      <c r="E140" s="962"/>
      <c r="F140" s="963">
        <f>SUM(F137:F139)</f>
        <v>290000</v>
      </c>
      <c r="G140" s="964">
        <f>SUM(G137:G138)</f>
        <v>0</v>
      </c>
      <c r="H140" s="965">
        <f t="shared" ref="H140:N140" si="27">SUM(H137:H139)</f>
        <v>290000</v>
      </c>
      <c r="I140" s="965">
        <f t="shared" si="27"/>
        <v>8323</v>
      </c>
      <c r="J140" s="965">
        <f t="shared" si="27"/>
        <v>36255.85</v>
      </c>
      <c r="K140" s="965">
        <f t="shared" si="27"/>
        <v>8816</v>
      </c>
      <c r="L140" s="966">
        <f t="shared" si="27"/>
        <v>11235.59</v>
      </c>
      <c r="M140" s="965">
        <f t="shared" si="27"/>
        <v>64630.44</v>
      </c>
      <c r="N140" s="965">
        <f t="shared" si="27"/>
        <v>225369.56</v>
      </c>
    </row>
    <row r="141" spans="2:14" ht="18.75" x14ac:dyDescent="0.3">
      <c r="B141" s="961"/>
      <c r="C141" s="950"/>
      <c r="D141" s="962"/>
      <c r="E141" s="962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67" t="s">
        <v>836</v>
      </c>
      <c r="C142" s="988"/>
      <c r="D142" s="989"/>
      <c r="E142" s="989"/>
      <c r="F142" s="949"/>
      <c r="G142" s="949"/>
      <c r="H142" s="990"/>
      <c r="I142" s="991"/>
      <c r="J142" s="965"/>
      <c r="K142" s="965"/>
      <c r="L142" s="966"/>
      <c r="M142" s="965"/>
      <c r="N142" s="965"/>
    </row>
    <row r="143" spans="2:14" ht="18.75" x14ac:dyDescent="0.3">
      <c r="B143" s="960" t="s">
        <v>532</v>
      </c>
      <c r="C143" s="950" t="s">
        <v>807</v>
      </c>
      <c r="D143" s="960" t="s">
        <v>965</v>
      </c>
      <c r="E143" s="960" t="s">
        <v>1069</v>
      </c>
      <c r="F143" s="951">
        <v>80000</v>
      </c>
      <c r="G143" s="971">
        <v>0</v>
      </c>
      <c r="H143" s="972">
        <v>80000</v>
      </c>
      <c r="I143" s="972">
        <v>2296</v>
      </c>
      <c r="J143" s="972">
        <v>7400.87</v>
      </c>
      <c r="K143" s="972">
        <v>2432</v>
      </c>
      <c r="L143" s="973">
        <v>2097.1999999999998</v>
      </c>
      <c r="M143" s="953">
        <f>+I143+J143+K143+L143</f>
        <v>14226.07</v>
      </c>
      <c r="N143" s="953">
        <f>+H143-M143</f>
        <v>65773.929999999993</v>
      </c>
    </row>
    <row r="144" spans="2:14" ht="18.75" x14ac:dyDescent="0.3">
      <c r="B144" s="961" t="s">
        <v>847</v>
      </c>
      <c r="C144" s="992"/>
      <c r="D144" s="962">
        <v>1</v>
      </c>
      <c r="E144" s="962"/>
      <c r="F144" s="963">
        <f t="shared" ref="F144:N144" si="28">SUM(F143)</f>
        <v>80000</v>
      </c>
      <c r="G144" s="993">
        <f t="shared" si="28"/>
        <v>0</v>
      </c>
      <c r="H144" s="994">
        <f t="shared" si="28"/>
        <v>80000</v>
      </c>
      <c r="I144" s="994">
        <f t="shared" si="28"/>
        <v>2296</v>
      </c>
      <c r="J144" s="994">
        <f t="shared" si="28"/>
        <v>7400.87</v>
      </c>
      <c r="K144" s="994">
        <f t="shared" si="28"/>
        <v>2432</v>
      </c>
      <c r="L144" s="995">
        <f t="shared" si="28"/>
        <v>2097.1999999999998</v>
      </c>
      <c r="M144" s="994">
        <f>SUM(M143)</f>
        <v>14226.07</v>
      </c>
      <c r="N144" s="994">
        <f t="shared" si="28"/>
        <v>65773.929999999993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82" t="s">
        <v>1245</v>
      </c>
      <c r="C146" s="950"/>
      <c r="D146" s="967"/>
      <c r="E146" s="967"/>
      <c r="F146" s="963"/>
      <c r="G146" s="964"/>
      <c r="H146" s="965"/>
      <c r="I146" s="965"/>
      <c r="J146" s="965"/>
      <c r="K146" s="965"/>
      <c r="L146" s="966"/>
      <c r="M146" s="965"/>
      <c r="N146" s="965"/>
    </row>
    <row r="147" spans="2:14" ht="18.75" x14ac:dyDescent="0.3">
      <c r="B147" s="955" t="s">
        <v>528</v>
      </c>
      <c r="C147" s="950" t="s">
        <v>806</v>
      </c>
      <c r="D147" s="960" t="s">
        <v>551</v>
      </c>
      <c r="E147" s="960" t="s">
        <v>307</v>
      </c>
      <c r="F147" s="951">
        <v>43500</v>
      </c>
      <c r="G147" s="952">
        <v>0</v>
      </c>
      <c r="H147" s="953">
        <v>43500</v>
      </c>
      <c r="I147" s="953">
        <v>1248.45</v>
      </c>
      <c r="J147" s="952">
        <v>936.62</v>
      </c>
      <c r="K147" s="953">
        <v>1322.4</v>
      </c>
      <c r="L147" s="954">
        <v>25</v>
      </c>
      <c r="M147" s="953">
        <f>+I147+J147+K147+L147</f>
        <v>3532.4700000000003</v>
      </c>
      <c r="N147" s="953">
        <f>+H147-M147</f>
        <v>39967.53</v>
      </c>
    </row>
    <row r="148" spans="2:14" ht="18.75" x14ac:dyDescent="0.3">
      <c r="B148" s="961" t="s">
        <v>749</v>
      </c>
      <c r="C148" s="950"/>
      <c r="D148" s="962">
        <v>1</v>
      </c>
      <c r="E148" s="962"/>
      <c r="F148" s="963">
        <f t="shared" ref="F148:K148" si="29">SUM(F147:F147)</f>
        <v>43500</v>
      </c>
      <c r="G148" s="964">
        <f t="shared" si="29"/>
        <v>0</v>
      </c>
      <c r="H148" s="965">
        <f t="shared" si="29"/>
        <v>43500</v>
      </c>
      <c r="I148" s="965">
        <f t="shared" si="29"/>
        <v>1248.45</v>
      </c>
      <c r="J148" s="996">
        <f t="shared" si="29"/>
        <v>936.62</v>
      </c>
      <c r="K148" s="996">
        <f t="shared" si="29"/>
        <v>1322.4</v>
      </c>
      <c r="L148" s="966">
        <f>SUM(L147:L147)</f>
        <v>25</v>
      </c>
      <c r="M148" s="965">
        <f>SUM(M147)</f>
        <v>3532.4700000000003</v>
      </c>
      <c r="N148" s="965">
        <v>39967.53</v>
      </c>
    </row>
    <row r="149" spans="2:14" ht="18.75" x14ac:dyDescent="0.3">
      <c r="B149" s="958"/>
      <c r="C149" s="950"/>
      <c r="D149" s="960"/>
      <c r="E149" s="960"/>
      <c r="F149" s="951"/>
      <c r="G149" s="952"/>
      <c r="H149" s="953"/>
      <c r="I149" s="953"/>
      <c r="J149" s="953"/>
      <c r="K149" s="953"/>
      <c r="L149" s="954"/>
      <c r="M149" s="953"/>
      <c r="N149" s="953"/>
    </row>
    <row r="150" spans="2:14" ht="18.75" x14ac:dyDescent="0.3">
      <c r="B150" s="997" t="s">
        <v>777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114</v>
      </c>
      <c r="C151" s="950" t="s">
        <v>807</v>
      </c>
      <c r="D151" s="960" t="s">
        <v>778</v>
      </c>
      <c r="E151" s="960" t="s">
        <v>307</v>
      </c>
      <c r="F151" s="951">
        <v>80000</v>
      </c>
      <c r="G151" s="952">
        <v>0</v>
      </c>
      <c r="H151" s="953">
        <v>80000</v>
      </c>
      <c r="I151" s="953">
        <v>2296</v>
      </c>
      <c r="J151" s="953">
        <v>7400.87</v>
      </c>
      <c r="K151" s="953">
        <v>2432</v>
      </c>
      <c r="L151" s="954">
        <v>1296.7</v>
      </c>
      <c r="M151" s="953">
        <f>+I151+J151+K151+L151</f>
        <v>13425.57</v>
      </c>
      <c r="N151" s="953">
        <f>+H151-M151</f>
        <v>66574.429999999993</v>
      </c>
    </row>
    <row r="152" spans="2:14" ht="18.75" x14ac:dyDescent="0.3">
      <c r="B152" s="955" t="s">
        <v>73</v>
      </c>
      <c r="C152" s="950" t="s">
        <v>807</v>
      </c>
      <c r="D152" s="960" t="s">
        <v>778</v>
      </c>
      <c r="E152" s="960" t="s">
        <v>307</v>
      </c>
      <c r="F152" s="951">
        <v>70000</v>
      </c>
      <c r="G152" s="974">
        <v>0</v>
      </c>
      <c r="H152" s="951">
        <v>70000</v>
      </c>
      <c r="I152" s="951">
        <v>2009</v>
      </c>
      <c r="J152" s="951">
        <v>5368.48</v>
      </c>
      <c r="K152" s="951">
        <v>2128</v>
      </c>
      <c r="L152" s="951">
        <v>1296.7</v>
      </c>
      <c r="M152" s="951">
        <f>+I152+J152+K152+L152</f>
        <v>10802.18</v>
      </c>
      <c r="N152" s="951">
        <f>+H152-M152</f>
        <v>59197.82</v>
      </c>
    </row>
    <row r="153" spans="2:14" ht="18.75" x14ac:dyDescent="0.3">
      <c r="B153" s="955" t="s">
        <v>530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2025</v>
      </c>
      <c r="M153" s="953">
        <f>+I153+J153+K153+L153</f>
        <v>5532.47</v>
      </c>
      <c r="N153" s="953">
        <f>+H153-M153</f>
        <v>37967.53</v>
      </c>
    </row>
    <row r="154" spans="2:14" ht="18.75" x14ac:dyDescent="0.3">
      <c r="B154" s="955" t="s">
        <v>1324</v>
      </c>
      <c r="C154" s="950" t="s">
        <v>806</v>
      </c>
      <c r="D154" s="960" t="s">
        <v>1325</v>
      </c>
      <c r="E154" s="960" t="s">
        <v>321</v>
      </c>
      <c r="F154" s="951">
        <v>43500</v>
      </c>
      <c r="G154" s="952">
        <v>0</v>
      </c>
      <c r="H154" s="953">
        <v>43500</v>
      </c>
      <c r="I154" s="953">
        <v>1248.45</v>
      </c>
      <c r="J154" s="952">
        <v>936.62</v>
      </c>
      <c r="K154" s="953">
        <v>1322.4</v>
      </c>
      <c r="L154" s="954">
        <v>25</v>
      </c>
      <c r="M154" s="953">
        <f>+I154+J154+K154+L154</f>
        <v>3532.4700000000003</v>
      </c>
      <c r="N154" s="953">
        <f>+H154-M154</f>
        <v>39967.53</v>
      </c>
    </row>
    <row r="155" spans="2:14" ht="18.75" x14ac:dyDescent="0.3">
      <c r="B155" s="961" t="s">
        <v>749</v>
      </c>
      <c r="C155" s="950"/>
      <c r="D155" s="962">
        <v>4</v>
      </c>
      <c r="E155" s="962"/>
      <c r="F155" s="963">
        <f>SUM(F151:F154)</f>
        <v>237000</v>
      </c>
      <c r="G155" s="993">
        <f t="shared" ref="G155" si="30">SUM(G154)</f>
        <v>0</v>
      </c>
      <c r="H155" s="963">
        <f t="shared" ref="H155:M155" si="31">SUM(H151:H154)</f>
        <v>237000</v>
      </c>
      <c r="I155" s="963">
        <f t="shared" si="31"/>
        <v>6801.9</v>
      </c>
      <c r="J155" s="963">
        <f t="shared" si="31"/>
        <v>14642.59</v>
      </c>
      <c r="K155" s="963">
        <f t="shared" si="31"/>
        <v>7204.7999999999993</v>
      </c>
      <c r="L155" s="963">
        <f t="shared" si="31"/>
        <v>4643.3999999999996</v>
      </c>
      <c r="M155" s="963">
        <f t="shared" si="31"/>
        <v>33292.69</v>
      </c>
      <c r="N155" s="963">
        <f>SUM(N151:N154)</f>
        <v>203707.31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18.75" x14ac:dyDescent="0.3">
      <c r="B157" s="982" t="s">
        <v>1138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8" t="s">
        <v>241</v>
      </c>
      <c r="C158" s="950" t="s">
        <v>806</v>
      </c>
      <c r="D158" s="960" t="s">
        <v>71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728</v>
      </c>
      <c r="M158" s="953">
        <f>+I158+J158+K158+L158</f>
        <v>12856.869999999999</v>
      </c>
      <c r="N158" s="953">
        <f>+H158-M158</f>
        <v>67143.13</v>
      </c>
    </row>
    <row r="159" spans="2:14" ht="18.75" x14ac:dyDescent="0.3">
      <c r="B159" s="955" t="s">
        <v>77</v>
      </c>
      <c r="C159" s="986" t="s">
        <v>807</v>
      </c>
      <c r="D159" s="960" t="s">
        <v>967</v>
      </c>
      <c r="E159" s="960" t="s">
        <v>1069</v>
      </c>
      <c r="F159" s="951">
        <v>70000</v>
      </c>
      <c r="G159" s="974">
        <v>0</v>
      </c>
      <c r="H159" s="1070">
        <v>70000</v>
      </c>
      <c r="I159" s="956">
        <v>2009</v>
      </c>
      <c r="J159" s="956">
        <v>5368.48</v>
      </c>
      <c r="K159" s="951">
        <v>2128</v>
      </c>
      <c r="L159" s="956">
        <v>828</v>
      </c>
      <c r="M159" s="951">
        <f>+I159+J159+K159+L159</f>
        <v>10333.48</v>
      </c>
      <c r="N159" s="951">
        <f>+H159-M159</f>
        <v>59666.520000000004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>SUM(F158:F159)</f>
        <v>150000</v>
      </c>
      <c r="G160" s="1071">
        <v>0</v>
      </c>
      <c r="H160" s="963">
        <f t="shared" ref="H160:L160" si="32">SUM(H158:H159)</f>
        <v>150000</v>
      </c>
      <c r="I160" s="963">
        <f t="shared" si="32"/>
        <v>4305</v>
      </c>
      <c r="J160" s="963">
        <f t="shared" si="32"/>
        <v>12769.349999999999</v>
      </c>
      <c r="K160" s="963">
        <f t="shared" si="32"/>
        <v>4560</v>
      </c>
      <c r="L160" s="963">
        <f t="shared" si="32"/>
        <v>1556</v>
      </c>
      <c r="M160" s="963">
        <f>SUM(M158:M159)</f>
        <v>23190.35</v>
      </c>
      <c r="N160" s="963">
        <f>SUM(N158:N159)</f>
        <v>126809.65000000001</v>
      </c>
    </row>
    <row r="161" spans="2:14" ht="18.75" x14ac:dyDescent="0.3">
      <c r="B161" s="958"/>
      <c r="C161" s="950"/>
      <c r="D161" s="960"/>
      <c r="E161" s="960"/>
      <c r="F161" s="951"/>
      <c r="G161" s="952"/>
      <c r="H161" s="953"/>
      <c r="I161" s="953"/>
      <c r="J161" s="953"/>
      <c r="K161" s="953"/>
      <c r="L161" s="954"/>
      <c r="M161" s="953"/>
      <c r="N161" s="953"/>
    </row>
    <row r="162" spans="2:14" ht="18.75" customHeight="1" x14ac:dyDescent="0.3">
      <c r="B162" s="982" t="s">
        <v>1133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5" t="s">
        <v>217</v>
      </c>
      <c r="C163" s="950" t="s">
        <v>807</v>
      </c>
      <c r="D163" s="960" t="s">
        <v>633</v>
      </c>
      <c r="E163" s="960" t="s">
        <v>1069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3310.58</v>
      </c>
      <c r="M163" s="953">
        <f>+I163+J163+K163+L163</f>
        <v>15439.449999999999</v>
      </c>
      <c r="N163" s="953">
        <f>+H163-M163</f>
        <v>64560.55</v>
      </c>
    </row>
    <row r="164" spans="2:14" ht="18.75" x14ac:dyDescent="0.3">
      <c r="B164" s="955" t="s">
        <v>1082</v>
      </c>
      <c r="C164" s="950" t="s">
        <v>806</v>
      </c>
      <c r="D164" s="960" t="s">
        <v>551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f>+I164+J164+K164+L164</f>
        <v>3532.4700000000003</v>
      </c>
      <c r="N164" s="953">
        <f>+H164-M164</f>
        <v>39967.53</v>
      </c>
    </row>
    <row r="165" spans="2:14" ht="18.75" x14ac:dyDescent="0.3">
      <c r="B165" s="961" t="s">
        <v>749</v>
      </c>
      <c r="C165" s="950"/>
      <c r="D165" s="962">
        <v>2</v>
      </c>
      <c r="E165" s="962"/>
      <c r="F165" s="963">
        <f>SUM(F163:F164)</f>
        <v>123500</v>
      </c>
      <c r="G165" s="964">
        <f t="shared" ref="G165:N165" si="33">SUM(G163:G164)</f>
        <v>0</v>
      </c>
      <c r="H165" s="965">
        <f>SUM(H163:H164)</f>
        <v>123500</v>
      </c>
      <c r="I165" s="965">
        <f t="shared" si="33"/>
        <v>3544.45</v>
      </c>
      <c r="J165" s="965">
        <f t="shared" si="33"/>
        <v>8337.49</v>
      </c>
      <c r="K165" s="965">
        <f t="shared" si="33"/>
        <v>3754.4</v>
      </c>
      <c r="L165" s="966">
        <f t="shared" si="33"/>
        <v>3335.58</v>
      </c>
      <c r="M165" s="965">
        <f>SUM(M163:M164)</f>
        <v>18971.919999999998</v>
      </c>
      <c r="N165" s="965">
        <f t="shared" si="33"/>
        <v>104528.08</v>
      </c>
    </row>
    <row r="166" spans="2:14" ht="18.75" x14ac:dyDescent="0.3">
      <c r="B166" s="961"/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61" t="s">
        <v>1012</v>
      </c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55" t="s">
        <v>134</v>
      </c>
      <c r="C168" s="950" t="s">
        <v>807</v>
      </c>
      <c r="D168" s="960" t="s">
        <v>489</v>
      </c>
      <c r="E168" s="960" t="s">
        <v>307</v>
      </c>
      <c r="F168" s="951">
        <v>80000</v>
      </c>
      <c r="G168" s="974">
        <v>0</v>
      </c>
      <c r="H168" s="951">
        <v>80000</v>
      </c>
      <c r="I168" s="951">
        <v>2296</v>
      </c>
      <c r="J168" s="951">
        <v>7400.87</v>
      </c>
      <c r="K168" s="951">
        <v>2432</v>
      </c>
      <c r="L168" s="951">
        <v>2568.4</v>
      </c>
      <c r="M168" s="951">
        <f t="shared" ref="M168:M178" si="34">+I168+J168+K168+L168</f>
        <v>14697.269999999999</v>
      </c>
      <c r="N168" s="951">
        <f t="shared" ref="N168:N178" si="35">+H168-M168</f>
        <v>65302.73</v>
      </c>
    </row>
    <row r="169" spans="2:14" ht="18.75" x14ac:dyDescent="0.3">
      <c r="B169" s="955" t="s">
        <v>651</v>
      </c>
      <c r="C169" s="950" t="s">
        <v>806</v>
      </c>
      <c r="D169" s="960" t="s">
        <v>517</v>
      </c>
      <c r="E169" s="960" t="s">
        <v>307</v>
      </c>
      <c r="F169" s="951">
        <v>43500</v>
      </c>
      <c r="G169" s="974">
        <v>0</v>
      </c>
      <c r="H169" s="951">
        <v>43500</v>
      </c>
      <c r="I169" s="951">
        <v>1248.45</v>
      </c>
      <c r="J169" s="974">
        <v>936.62</v>
      </c>
      <c r="K169" s="951">
        <v>1322.4</v>
      </c>
      <c r="L169" s="951">
        <v>25</v>
      </c>
      <c r="M169" s="951">
        <f t="shared" si="34"/>
        <v>3532.4700000000003</v>
      </c>
      <c r="N169" s="951">
        <f t="shared" si="35"/>
        <v>39967.53</v>
      </c>
    </row>
    <row r="170" spans="2:14" ht="18.75" x14ac:dyDescent="0.3">
      <c r="B170" s="955" t="s">
        <v>794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74">
        <v>0</v>
      </c>
      <c r="H170" s="951">
        <v>43500</v>
      </c>
      <c r="I170" s="951">
        <v>1248.45</v>
      </c>
      <c r="J170" s="974">
        <v>936.62</v>
      </c>
      <c r="K170" s="951">
        <v>1322.4</v>
      </c>
      <c r="L170" s="951">
        <v>25</v>
      </c>
      <c r="M170" s="951">
        <f t="shared" si="34"/>
        <v>3532.4700000000003</v>
      </c>
      <c r="N170" s="951">
        <f t="shared" si="35"/>
        <v>39967.53</v>
      </c>
    </row>
    <row r="171" spans="2:14" ht="18.75" x14ac:dyDescent="0.3">
      <c r="B171" s="955" t="s">
        <v>793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74">
        <v>0</v>
      </c>
      <c r="H171" s="951">
        <v>43500</v>
      </c>
      <c r="I171" s="951">
        <v>1248.45</v>
      </c>
      <c r="J171" s="974">
        <v>936.62</v>
      </c>
      <c r="K171" s="951">
        <v>1322.4</v>
      </c>
      <c r="L171" s="951">
        <v>25</v>
      </c>
      <c r="M171" s="951">
        <f t="shared" si="34"/>
        <v>3532.4700000000003</v>
      </c>
      <c r="N171" s="951">
        <f t="shared" si="35"/>
        <v>39967.53</v>
      </c>
    </row>
    <row r="172" spans="2:14" ht="18.75" x14ac:dyDescent="0.3">
      <c r="B172" s="1069" t="s">
        <v>585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74">
        <v>0</v>
      </c>
      <c r="H172" s="951">
        <v>37500</v>
      </c>
      <c r="I172" s="951">
        <v>1076.25</v>
      </c>
      <c r="J172" s="974">
        <v>89.81</v>
      </c>
      <c r="K172" s="951">
        <v>1140</v>
      </c>
      <c r="L172" s="951">
        <v>728</v>
      </c>
      <c r="M172" s="951">
        <f t="shared" si="34"/>
        <v>3034.06</v>
      </c>
      <c r="N172" s="951">
        <f t="shared" si="35"/>
        <v>34465.94</v>
      </c>
    </row>
    <row r="173" spans="2:14" ht="16.5" customHeight="1" x14ac:dyDescent="0.3">
      <c r="B173" s="1069" t="s">
        <v>805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421.98</v>
      </c>
      <c r="K173" s="951">
        <v>1322.4</v>
      </c>
      <c r="L173" s="951">
        <v>4861.92</v>
      </c>
      <c r="M173" s="951">
        <f t="shared" si="34"/>
        <v>7854.75</v>
      </c>
      <c r="N173" s="951">
        <f t="shared" si="35"/>
        <v>35645.25</v>
      </c>
    </row>
    <row r="174" spans="2:14" ht="18.75" x14ac:dyDescent="0.3">
      <c r="B174" s="998" t="s">
        <v>1022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89.81</v>
      </c>
      <c r="K174" s="953">
        <v>1140</v>
      </c>
      <c r="L174" s="954">
        <v>25</v>
      </c>
      <c r="M174" s="953">
        <f t="shared" si="34"/>
        <v>2331.06</v>
      </c>
      <c r="N174" s="953">
        <f t="shared" si="35"/>
        <v>35168.94</v>
      </c>
    </row>
    <row r="175" spans="2:14" ht="18.75" x14ac:dyDescent="0.3">
      <c r="B175" s="998" t="s">
        <v>1326</v>
      </c>
      <c r="C175" s="950" t="s">
        <v>1296</v>
      </c>
      <c r="D175" s="960" t="s">
        <v>517</v>
      </c>
      <c r="E175" s="960" t="s">
        <v>321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4"/>
        <v>3532.4700000000003</v>
      </c>
      <c r="N175" s="953">
        <f t="shared" si="35"/>
        <v>39967.53</v>
      </c>
    </row>
    <row r="176" spans="2:14" ht="18.75" x14ac:dyDescent="0.3">
      <c r="B176" s="998" t="s">
        <v>1327</v>
      </c>
      <c r="C176" s="950" t="s">
        <v>806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4"/>
        <v>3532.4700000000003</v>
      </c>
      <c r="N176" s="953">
        <f t="shared" si="35"/>
        <v>39967.53</v>
      </c>
    </row>
    <row r="177" spans="2:14" ht="18.75" x14ac:dyDescent="0.3">
      <c r="B177" s="998" t="s">
        <v>1328</v>
      </c>
      <c r="C177" s="950" t="s">
        <v>1296</v>
      </c>
      <c r="D177" s="960" t="s">
        <v>517</v>
      </c>
      <c r="E177" s="960" t="s">
        <v>321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4"/>
        <v>2331.06</v>
      </c>
      <c r="N177" s="953">
        <f t="shared" si="35"/>
        <v>35168.94</v>
      </c>
    </row>
    <row r="178" spans="2:14" ht="18.75" x14ac:dyDescent="0.3">
      <c r="B178" s="1069" t="s">
        <v>1386</v>
      </c>
      <c r="C178" s="950" t="s">
        <v>806</v>
      </c>
      <c r="D178" s="960" t="s">
        <v>517</v>
      </c>
      <c r="E178" s="960" t="s">
        <v>321</v>
      </c>
      <c r="F178" s="951">
        <v>37500</v>
      </c>
      <c r="G178" s="974">
        <v>0</v>
      </c>
      <c r="H178" s="951">
        <v>37500</v>
      </c>
      <c r="I178" s="951">
        <v>1076.25</v>
      </c>
      <c r="J178" s="974">
        <v>89.81</v>
      </c>
      <c r="K178" s="951">
        <v>1140</v>
      </c>
      <c r="L178" s="951">
        <v>25</v>
      </c>
      <c r="M178" s="951">
        <f t="shared" si="34"/>
        <v>2331.06</v>
      </c>
      <c r="N178" s="951">
        <f t="shared" si="35"/>
        <v>35168.94</v>
      </c>
    </row>
    <row r="179" spans="2:14" ht="18.75" x14ac:dyDescent="0.3">
      <c r="B179" s="961" t="s">
        <v>749</v>
      </c>
      <c r="C179" s="950"/>
      <c r="D179" s="962">
        <v>11</v>
      </c>
      <c r="E179" s="962"/>
      <c r="F179" s="963">
        <f>SUM(F168:F178)</f>
        <v>491000</v>
      </c>
      <c r="G179" s="964">
        <v>0</v>
      </c>
      <c r="H179" s="963">
        <f>SUM(H168:H178)</f>
        <v>491000</v>
      </c>
      <c r="I179" s="963">
        <f t="shared" ref="I179:N179" si="36">SUM(I168:I178)</f>
        <v>14091.7</v>
      </c>
      <c r="J179" s="963">
        <f t="shared" si="36"/>
        <v>12865.19</v>
      </c>
      <c r="K179" s="963">
        <f t="shared" si="36"/>
        <v>14926.4</v>
      </c>
      <c r="L179" s="963">
        <f t="shared" si="36"/>
        <v>8358.32</v>
      </c>
      <c r="M179" s="963">
        <f t="shared" si="36"/>
        <v>50241.61</v>
      </c>
      <c r="N179" s="963">
        <f t="shared" si="36"/>
        <v>440758.39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1027" t="s">
        <v>80</v>
      </c>
      <c r="C182" s="950" t="s">
        <v>806</v>
      </c>
      <c r="D182" s="1024" t="s">
        <v>721</v>
      </c>
      <c r="E182" s="960" t="s">
        <v>1069</v>
      </c>
      <c r="F182" s="951">
        <v>120000</v>
      </c>
      <c r="G182" s="952">
        <v>0</v>
      </c>
      <c r="H182" s="1031">
        <v>120000</v>
      </c>
      <c r="I182" s="953">
        <v>3444</v>
      </c>
      <c r="J182" s="1032">
        <v>16809.87</v>
      </c>
      <c r="K182" s="953">
        <v>3648</v>
      </c>
      <c r="L182" s="954">
        <v>25</v>
      </c>
      <c r="M182" s="1031">
        <f t="shared" ref="M182:M187" si="37">+I182+J182+K182+L182</f>
        <v>23926.87</v>
      </c>
      <c r="N182" s="1031">
        <f t="shared" ref="N182:N214" si="38">+H182-M182</f>
        <v>96073.13</v>
      </c>
    </row>
    <row r="183" spans="2:14" ht="18.75" x14ac:dyDescent="0.3">
      <c r="B183" s="1027" t="s">
        <v>87</v>
      </c>
      <c r="C183" s="950" t="s">
        <v>806</v>
      </c>
      <c r="D183" s="1024" t="s">
        <v>720</v>
      </c>
      <c r="E183" s="960" t="s">
        <v>1069</v>
      </c>
      <c r="F183" s="951">
        <v>120000</v>
      </c>
      <c r="G183" s="974">
        <v>0</v>
      </c>
      <c r="H183" s="1032">
        <v>120000</v>
      </c>
      <c r="I183" s="951">
        <v>3444</v>
      </c>
      <c r="J183" s="1032">
        <v>16809.87</v>
      </c>
      <c r="K183" s="951">
        <v>3648</v>
      </c>
      <c r="L183" s="951">
        <v>25</v>
      </c>
      <c r="M183" s="1032">
        <f t="shared" si="37"/>
        <v>23926.87</v>
      </c>
      <c r="N183" s="1032">
        <f t="shared" si="38"/>
        <v>96073.13</v>
      </c>
    </row>
    <row r="184" spans="2:14" ht="18.75" x14ac:dyDescent="0.3">
      <c r="B184" s="1027" t="s">
        <v>829</v>
      </c>
      <c r="C184" s="999" t="s">
        <v>806</v>
      </c>
      <c r="D184" s="1024" t="s">
        <v>596</v>
      </c>
      <c r="E184" s="960" t="s">
        <v>1066</v>
      </c>
      <c r="F184" s="951">
        <v>75000</v>
      </c>
      <c r="G184" s="974">
        <v>0</v>
      </c>
      <c r="H184" s="1032">
        <v>75000</v>
      </c>
      <c r="I184" s="951">
        <v>2152.5</v>
      </c>
      <c r="J184" s="1032">
        <v>6309.38</v>
      </c>
      <c r="K184" s="951">
        <v>2280</v>
      </c>
      <c r="L184" s="951">
        <v>25</v>
      </c>
      <c r="M184" s="1032">
        <f t="shared" si="37"/>
        <v>10766.880000000001</v>
      </c>
      <c r="N184" s="1032">
        <f t="shared" si="38"/>
        <v>64233.119999999995</v>
      </c>
    </row>
    <row r="185" spans="2:14" ht="18.75" x14ac:dyDescent="0.3">
      <c r="B185" s="1027" t="s">
        <v>244</v>
      </c>
      <c r="C185" s="950" t="s">
        <v>806</v>
      </c>
      <c r="D185" s="1024" t="s">
        <v>489</v>
      </c>
      <c r="E185" s="960" t="s">
        <v>1064</v>
      </c>
      <c r="F185" s="951">
        <v>80000</v>
      </c>
      <c r="G185" s="974">
        <v>0</v>
      </c>
      <c r="H185" s="1032">
        <v>80000</v>
      </c>
      <c r="I185" s="951">
        <v>2296</v>
      </c>
      <c r="J185" s="1032">
        <v>7400.87</v>
      </c>
      <c r="K185" s="951">
        <v>2432</v>
      </c>
      <c r="L185" s="951">
        <v>25</v>
      </c>
      <c r="M185" s="1032">
        <f t="shared" si="37"/>
        <v>12153.869999999999</v>
      </c>
      <c r="N185" s="1032">
        <f t="shared" si="38"/>
        <v>67846.13</v>
      </c>
    </row>
    <row r="186" spans="2:14" ht="18.75" x14ac:dyDescent="0.3">
      <c r="B186" s="1027" t="s">
        <v>84</v>
      </c>
      <c r="C186" s="950" t="s">
        <v>806</v>
      </c>
      <c r="D186" s="1024" t="s">
        <v>117</v>
      </c>
      <c r="E186" s="960" t="s">
        <v>307</v>
      </c>
      <c r="F186" s="951">
        <v>70000</v>
      </c>
      <c r="G186" s="974">
        <v>0</v>
      </c>
      <c r="H186" s="951">
        <v>70000</v>
      </c>
      <c r="I186" s="951">
        <v>2009</v>
      </c>
      <c r="J186" s="1032">
        <v>5368.48</v>
      </c>
      <c r="K186" s="951">
        <v>2128</v>
      </c>
      <c r="L186" s="951">
        <v>25</v>
      </c>
      <c r="M186" s="1032">
        <f t="shared" si="37"/>
        <v>9530.48</v>
      </c>
      <c r="N186" s="1032">
        <f t="shared" si="38"/>
        <v>60469.520000000004</v>
      </c>
    </row>
    <row r="187" spans="2:14" ht="18.75" x14ac:dyDescent="0.3">
      <c r="B187" s="1027" t="s">
        <v>136</v>
      </c>
      <c r="C187" s="950" t="s">
        <v>807</v>
      </c>
      <c r="D187" s="1024" t="s">
        <v>117</v>
      </c>
      <c r="E187" s="960" t="s">
        <v>1069</v>
      </c>
      <c r="F187" s="951">
        <v>80000</v>
      </c>
      <c r="G187" s="974">
        <v>0</v>
      </c>
      <c r="H187" s="951">
        <v>80000</v>
      </c>
      <c r="I187" s="951">
        <v>2296</v>
      </c>
      <c r="J187" s="1032">
        <v>6564.09</v>
      </c>
      <c r="K187" s="951">
        <v>2432</v>
      </c>
      <c r="L187" s="951">
        <v>4158.92</v>
      </c>
      <c r="M187" s="1032">
        <f t="shared" si="37"/>
        <v>15451.01</v>
      </c>
      <c r="N187" s="1032">
        <f t="shared" si="38"/>
        <v>64548.99</v>
      </c>
    </row>
    <row r="188" spans="2:14" ht="18.75" x14ac:dyDescent="0.3">
      <c r="B188" s="1027" t="s">
        <v>94</v>
      </c>
      <c r="C188" s="950" t="s">
        <v>807</v>
      </c>
      <c r="D188" s="1024" t="s">
        <v>71</v>
      </c>
      <c r="E188" s="960" t="s">
        <v>1069</v>
      </c>
      <c r="F188" s="951">
        <v>70000</v>
      </c>
      <c r="G188" s="974">
        <v>0</v>
      </c>
      <c r="H188" s="951">
        <v>70000</v>
      </c>
      <c r="I188" s="951">
        <v>2009</v>
      </c>
      <c r="J188" s="1032">
        <v>5025.38</v>
      </c>
      <c r="K188" s="951">
        <v>2128</v>
      </c>
      <c r="L188" s="951">
        <v>1740.46</v>
      </c>
      <c r="M188" s="1032">
        <v>10902.84</v>
      </c>
      <c r="N188" s="1032">
        <f t="shared" si="38"/>
        <v>59097.16</v>
      </c>
    </row>
    <row r="189" spans="2:14" ht="18.75" x14ac:dyDescent="0.3">
      <c r="B189" s="1027" t="s">
        <v>799</v>
      </c>
      <c r="C189" s="950" t="s">
        <v>806</v>
      </c>
      <c r="D189" s="1024" t="s">
        <v>633</v>
      </c>
      <c r="E189" s="960" t="s">
        <v>1069</v>
      </c>
      <c r="F189" s="951">
        <v>80000</v>
      </c>
      <c r="G189" s="974">
        <v>0</v>
      </c>
      <c r="H189" s="951">
        <v>80000</v>
      </c>
      <c r="I189" s="951">
        <v>2296</v>
      </c>
      <c r="J189" s="1032">
        <v>6972</v>
      </c>
      <c r="K189" s="951">
        <v>2432</v>
      </c>
      <c r="L189" s="951">
        <v>1740.46</v>
      </c>
      <c r="M189" s="1032">
        <f>+I189+J189+K189+L189</f>
        <v>13440.46</v>
      </c>
      <c r="N189" s="1032">
        <f t="shared" si="38"/>
        <v>66559.540000000008</v>
      </c>
    </row>
    <row r="190" spans="2:14" ht="17.25" customHeight="1" x14ac:dyDescent="0.3">
      <c r="B190" s="1028" t="s">
        <v>177</v>
      </c>
      <c r="C190" s="1001" t="s">
        <v>807</v>
      </c>
      <c r="D190" s="1025" t="s">
        <v>1119</v>
      </c>
      <c r="E190" s="1024" t="s">
        <v>1069</v>
      </c>
      <c r="F190" s="1078">
        <v>43500</v>
      </c>
      <c r="G190" s="1079">
        <v>0</v>
      </c>
      <c r="H190" s="1080">
        <v>43500</v>
      </c>
      <c r="I190" s="1081">
        <v>1248.45</v>
      </c>
      <c r="J190" s="1074">
        <v>936.62</v>
      </c>
      <c r="K190" s="1078">
        <v>1322.4</v>
      </c>
      <c r="L190" s="1081">
        <v>25</v>
      </c>
      <c r="M190" s="1032">
        <f t="shared" ref="M190:M214" si="39">+I190+J190+K190+L190</f>
        <v>3532.4700000000003</v>
      </c>
      <c r="N190" s="1032">
        <f t="shared" si="38"/>
        <v>39967.53</v>
      </c>
    </row>
    <row r="191" spans="2:14" ht="18.75" x14ac:dyDescent="0.3">
      <c r="B191" s="1027" t="s">
        <v>173</v>
      </c>
      <c r="C191" s="950" t="s">
        <v>807</v>
      </c>
      <c r="D191" s="1024" t="s">
        <v>521</v>
      </c>
      <c r="E191" s="960" t="s">
        <v>307</v>
      </c>
      <c r="F191" s="951">
        <v>37500</v>
      </c>
      <c r="G191" s="974">
        <v>0</v>
      </c>
      <c r="H191" s="1032">
        <v>37500</v>
      </c>
      <c r="I191" s="951">
        <v>1076.25</v>
      </c>
      <c r="J191" s="1036">
        <v>0</v>
      </c>
      <c r="K191" s="951">
        <v>1140</v>
      </c>
      <c r="L191" s="951">
        <v>3455.92</v>
      </c>
      <c r="M191" s="1032">
        <f t="shared" si="39"/>
        <v>5672.17</v>
      </c>
      <c r="N191" s="1032">
        <f t="shared" si="38"/>
        <v>31827.83</v>
      </c>
    </row>
    <row r="192" spans="2:14" ht="18.75" x14ac:dyDescent="0.3">
      <c r="B192" s="1027" t="s">
        <v>1062</v>
      </c>
      <c r="C192" s="950" t="s">
        <v>807</v>
      </c>
      <c r="D192" s="1024" t="s">
        <v>521</v>
      </c>
      <c r="E192" s="960" t="s">
        <v>307</v>
      </c>
      <c r="F192" s="951">
        <v>31500</v>
      </c>
      <c r="G192" s="974">
        <v>0</v>
      </c>
      <c r="H192" s="1032">
        <v>31500</v>
      </c>
      <c r="I192" s="951">
        <v>904.05</v>
      </c>
      <c r="J192" s="1036">
        <v>0</v>
      </c>
      <c r="K192" s="951">
        <v>957.6</v>
      </c>
      <c r="L192" s="951">
        <v>25</v>
      </c>
      <c r="M192" s="1032">
        <f t="shared" si="39"/>
        <v>1886.65</v>
      </c>
      <c r="N192" s="1032">
        <f t="shared" si="38"/>
        <v>29613.35</v>
      </c>
    </row>
    <row r="193" spans="2:14" ht="18.75" x14ac:dyDescent="0.3">
      <c r="B193" s="1027" t="s">
        <v>1148</v>
      </c>
      <c r="C193" s="950" t="s">
        <v>807</v>
      </c>
      <c r="D193" s="1024" t="s">
        <v>276</v>
      </c>
      <c r="E193" s="960" t="s">
        <v>307</v>
      </c>
      <c r="F193" s="951">
        <v>31500</v>
      </c>
      <c r="G193" s="952">
        <v>0</v>
      </c>
      <c r="H193" s="1031">
        <v>31500</v>
      </c>
      <c r="I193" s="953">
        <v>904.05</v>
      </c>
      <c r="J193" s="1036">
        <v>0</v>
      </c>
      <c r="K193" s="953">
        <v>957.6</v>
      </c>
      <c r="L193" s="954">
        <v>25</v>
      </c>
      <c r="M193" s="1031">
        <f t="shared" si="39"/>
        <v>1886.65</v>
      </c>
      <c r="N193" s="1031">
        <f t="shared" si="38"/>
        <v>29613.35</v>
      </c>
    </row>
    <row r="194" spans="2:14" ht="18.75" x14ac:dyDescent="0.3">
      <c r="B194" s="1027" t="s">
        <v>1149</v>
      </c>
      <c r="C194" s="950" t="s">
        <v>807</v>
      </c>
      <c r="D194" s="1024" t="s">
        <v>276</v>
      </c>
      <c r="E194" s="960" t="s">
        <v>307</v>
      </c>
      <c r="F194" s="951">
        <v>31500</v>
      </c>
      <c r="G194" s="952">
        <v>0</v>
      </c>
      <c r="H194" s="1031">
        <v>31500</v>
      </c>
      <c r="I194" s="953">
        <v>904.05</v>
      </c>
      <c r="J194" s="1036">
        <v>0</v>
      </c>
      <c r="K194" s="953">
        <v>957.6</v>
      </c>
      <c r="L194" s="954">
        <v>25</v>
      </c>
      <c r="M194" s="1031">
        <f t="shared" si="39"/>
        <v>1886.65</v>
      </c>
      <c r="N194" s="1031">
        <f t="shared" si="38"/>
        <v>29613.35</v>
      </c>
    </row>
    <row r="195" spans="2:14" ht="18.75" x14ac:dyDescent="0.3">
      <c r="B195" s="1027" t="s">
        <v>1165</v>
      </c>
      <c r="C195" s="950" t="s">
        <v>807</v>
      </c>
      <c r="D195" s="1024" t="s">
        <v>276</v>
      </c>
      <c r="E195" s="960" t="s">
        <v>307</v>
      </c>
      <c r="F195" s="951">
        <v>31500</v>
      </c>
      <c r="G195" s="974">
        <v>0</v>
      </c>
      <c r="H195" s="1032">
        <v>31500</v>
      </c>
      <c r="I195" s="951">
        <v>904.05</v>
      </c>
      <c r="J195" s="1036">
        <v>0</v>
      </c>
      <c r="K195" s="951">
        <v>957.6</v>
      </c>
      <c r="L195" s="951">
        <v>25</v>
      </c>
      <c r="M195" s="1031">
        <f t="shared" si="39"/>
        <v>1886.65</v>
      </c>
      <c r="N195" s="1031">
        <f t="shared" si="38"/>
        <v>29613.35</v>
      </c>
    </row>
    <row r="196" spans="2:14" ht="18.75" x14ac:dyDescent="0.3">
      <c r="B196" s="1029" t="s">
        <v>1329</v>
      </c>
      <c r="C196" s="950" t="s">
        <v>1330</v>
      </c>
      <c r="D196" s="1024" t="s">
        <v>1325</v>
      </c>
      <c r="E196" s="960" t="s">
        <v>307</v>
      </c>
      <c r="F196" s="951">
        <v>43500</v>
      </c>
      <c r="G196" s="952">
        <v>0</v>
      </c>
      <c r="H196" s="1031">
        <v>43500</v>
      </c>
      <c r="I196" s="953">
        <v>1248.45</v>
      </c>
      <c r="J196" s="1036">
        <v>936.62</v>
      </c>
      <c r="K196" s="953">
        <v>1322.4</v>
      </c>
      <c r="L196" s="954">
        <v>25</v>
      </c>
      <c r="M196" s="1031">
        <f t="shared" si="39"/>
        <v>3532.4700000000003</v>
      </c>
      <c r="N196" s="1031">
        <f t="shared" si="38"/>
        <v>39967.53</v>
      </c>
    </row>
    <row r="197" spans="2:14" ht="18.75" x14ac:dyDescent="0.3">
      <c r="B197" s="1027" t="s">
        <v>1337</v>
      </c>
      <c r="C197" s="950" t="s">
        <v>806</v>
      </c>
      <c r="D197" s="1024" t="s">
        <v>1325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89.81</v>
      </c>
      <c r="K197" s="951">
        <v>1140</v>
      </c>
      <c r="L197" s="951">
        <v>25</v>
      </c>
      <c r="M197" s="1032">
        <f t="shared" si="39"/>
        <v>2331.06</v>
      </c>
      <c r="N197" s="1032">
        <f t="shared" si="38"/>
        <v>35168.94</v>
      </c>
    </row>
    <row r="198" spans="2:14" ht="18.75" x14ac:dyDescent="0.3">
      <c r="B198" s="1027" t="s">
        <v>1345</v>
      </c>
      <c r="C198" s="950" t="s">
        <v>806</v>
      </c>
      <c r="D198" s="1024" t="s">
        <v>1325</v>
      </c>
      <c r="E198" s="960" t="s">
        <v>307</v>
      </c>
      <c r="F198" s="951">
        <v>37500</v>
      </c>
      <c r="G198" s="974">
        <v>0</v>
      </c>
      <c r="H198" s="1032">
        <v>37500</v>
      </c>
      <c r="I198" s="951">
        <v>1076.25</v>
      </c>
      <c r="J198" s="1036">
        <v>89.81</v>
      </c>
      <c r="K198" s="951">
        <v>1140</v>
      </c>
      <c r="L198" s="951">
        <v>25</v>
      </c>
      <c r="M198" s="1032">
        <f t="shared" si="39"/>
        <v>2331.06</v>
      </c>
      <c r="N198" s="1032">
        <f t="shared" si="38"/>
        <v>35168.94</v>
      </c>
    </row>
    <row r="199" spans="2:14" ht="18.75" x14ac:dyDescent="0.3">
      <c r="B199" s="1027" t="s">
        <v>1351</v>
      </c>
      <c r="C199" s="950" t="s">
        <v>806</v>
      </c>
      <c r="D199" s="1024" t="s">
        <v>1325</v>
      </c>
      <c r="E199" s="960" t="s">
        <v>307</v>
      </c>
      <c r="F199" s="951">
        <v>37500</v>
      </c>
      <c r="G199" s="974">
        <v>0</v>
      </c>
      <c r="H199" s="1032">
        <v>37500</v>
      </c>
      <c r="I199" s="951">
        <v>1076.25</v>
      </c>
      <c r="J199" s="1036">
        <v>89.81</v>
      </c>
      <c r="K199" s="951">
        <v>1140</v>
      </c>
      <c r="L199" s="951">
        <v>25</v>
      </c>
      <c r="M199" s="1032">
        <f t="shared" si="39"/>
        <v>2331.06</v>
      </c>
      <c r="N199" s="1032">
        <f t="shared" si="38"/>
        <v>35168.94</v>
      </c>
    </row>
    <row r="200" spans="2:14" ht="18.75" x14ac:dyDescent="0.3">
      <c r="B200" s="1027" t="s">
        <v>1336</v>
      </c>
      <c r="C200" s="950" t="s">
        <v>806</v>
      </c>
      <c r="D200" s="1024" t="s">
        <v>1325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f t="shared" si="39"/>
        <v>2331.06</v>
      </c>
      <c r="N200" s="1032">
        <f t="shared" si="38"/>
        <v>35168.94</v>
      </c>
    </row>
    <row r="201" spans="2:14" ht="18.75" x14ac:dyDescent="0.3">
      <c r="B201" s="1027" t="s">
        <v>1387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9"/>
        <v>2331.06</v>
      </c>
      <c r="N201" s="1032">
        <f t="shared" si="38"/>
        <v>35168.94</v>
      </c>
    </row>
    <row r="202" spans="2:14" ht="18.75" x14ac:dyDescent="0.3">
      <c r="B202" s="1029" t="s">
        <v>1331</v>
      </c>
      <c r="C202" s="950" t="s">
        <v>806</v>
      </c>
      <c r="D202" s="1024" t="s">
        <v>1332</v>
      </c>
      <c r="E202" s="960" t="s">
        <v>321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9"/>
        <v>3532.4700000000003</v>
      </c>
      <c r="N202" s="1031">
        <f t="shared" si="38"/>
        <v>39967.53</v>
      </c>
    </row>
    <row r="203" spans="2:14" ht="18.75" x14ac:dyDescent="0.3">
      <c r="B203" s="1029" t="s">
        <v>698</v>
      </c>
      <c r="C203" s="950" t="s">
        <v>807</v>
      </c>
      <c r="D203" s="1024" t="s">
        <v>105</v>
      </c>
      <c r="E203" s="960" t="s">
        <v>1067</v>
      </c>
      <c r="F203" s="951">
        <v>25000</v>
      </c>
      <c r="G203" s="952">
        <v>0</v>
      </c>
      <c r="H203" s="1031">
        <v>25000</v>
      </c>
      <c r="I203" s="953">
        <v>717.5</v>
      </c>
      <c r="J203" s="1035">
        <v>0</v>
      </c>
      <c r="K203" s="953">
        <v>760</v>
      </c>
      <c r="L203" s="954">
        <v>25</v>
      </c>
      <c r="M203" s="1031">
        <f t="shared" si="39"/>
        <v>1502.5</v>
      </c>
      <c r="N203" s="1031">
        <f t="shared" si="38"/>
        <v>23497.5</v>
      </c>
    </row>
    <row r="204" spans="2:14" ht="18.75" x14ac:dyDescent="0.3">
      <c r="B204" s="1029" t="s">
        <v>915</v>
      </c>
      <c r="C204" s="999" t="s">
        <v>807</v>
      </c>
      <c r="D204" s="1024" t="s">
        <v>105</v>
      </c>
      <c r="E204" s="960" t="s">
        <v>1067</v>
      </c>
      <c r="F204" s="951">
        <v>25000</v>
      </c>
      <c r="G204" s="952">
        <v>0</v>
      </c>
      <c r="H204" s="1031">
        <v>25000</v>
      </c>
      <c r="I204" s="953">
        <v>717.5</v>
      </c>
      <c r="J204" s="1035">
        <v>0</v>
      </c>
      <c r="K204" s="953">
        <v>760</v>
      </c>
      <c r="L204" s="954">
        <v>25</v>
      </c>
      <c r="M204" s="1031">
        <f t="shared" si="39"/>
        <v>1502.5</v>
      </c>
      <c r="N204" s="1031">
        <f t="shared" si="38"/>
        <v>23497.5</v>
      </c>
    </row>
    <row r="205" spans="2:14" ht="18.75" x14ac:dyDescent="0.3">
      <c r="B205" s="1029" t="s">
        <v>1058</v>
      </c>
      <c r="C205" s="999" t="s">
        <v>807</v>
      </c>
      <c r="D205" s="1024" t="s">
        <v>105</v>
      </c>
      <c r="E205" s="960" t="s">
        <v>1067</v>
      </c>
      <c r="F205" s="951">
        <v>25000</v>
      </c>
      <c r="G205" s="952">
        <v>0</v>
      </c>
      <c r="H205" s="1031">
        <v>25000</v>
      </c>
      <c r="I205" s="953">
        <v>717.5</v>
      </c>
      <c r="J205" s="1035">
        <v>0</v>
      </c>
      <c r="K205" s="953">
        <v>760</v>
      </c>
      <c r="L205" s="954">
        <v>25</v>
      </c>
      <c r="M205" s="1031">
        <f t="shared" si="39"/>
        <v>1502.5</v>
      </c>
      <c r="N205" s="1031">
        <f t="shared" si="38"/>
        <v>23497.5</v>
      </c>
    </row>
    <row r="206" spans="2:14" ht="18.75" x14ac:dyDescent="0.3">
      <c r="B206" s="1027" t="s">
        <v>587</v>
      </c>
      <c r="C206" s="950" t="s">
        <v>807</v>
      </c>
      <c r="D206" s="1024" t="s">
        <v>105</v>
      </c>
      <c r="E206" s="960" t="s">
        <v>1067</v>
      </c>
      <c r="F206" s="951">
        <v>25000</v>
      </c>
      <c r="G206" s="974">
        <v>0</v>
      </c>
      <c r="H206" s="1032">
        <v>25000</v>
      </c>
      <c r="I206" s="951">
        <v>717.5</v>
      </c>
      <c r="J206" s="1036">
        <v>0</v>
      </c>
      <c r="K206" s="951">
        <v>760</v>
      </c>
      <c r="L206" s="951">
        <v>25</v>
      </c>
      <c r="M206" s="1032">
        <f t="shared" si="39"/>
        <v>1502.5</v>
      </c>
      <c r="N206" s="1032">
        <f t="shared" si="38"/>
        <v>23497.5</v>
      </c>
    </row>
    <row r="207" spans="2:14" ht="18.75" x14ac:dyDescent="0.3">
      <c r="B207" s="1027" t="s">
        <v>1150</v>
      </c>
      <c r="C207" s="950" t="s">
        <v>1151</v>
      </c>
      <c r="D207" s="1024" t="s">
        <v>105</v>
      </c>
      <c r="E207" s="960" t="s">
        <v>1067</v>
      </c>
      <c r="F207" s="951">
        <v>25000</v>
      </c>
      <c r="G207" s="974">
        <v>0</v>
      </c>
      <c r="H207" s="1032">
        <v>25000</v>
      </c>
      <c r="I207" s="951">
        <v>717.5</v>
      </c>
      <c r="J207" s="1036">
        <v>0</v>
      </c>
      <c r="K207" s="951">
        <v>760</v>
      </c>
      <c r="L207" s="951">
        <v>25</v>
      </c>
      <c r="M207" s="1032">
        <f t="shared" si="39"/>
        <v>1502.5</v>
      </c>
      <c r="N207" s="1032">
        <f t="shared" si="38"/>
        <v>23497.5</v>
      </c>
    </row>
    <row r="208" spans="2:14" ht="18.75" x14ac:dyDescent="0.3">
      <c r="B208" s="1024" t="s">
        <v>830</v>
      </c>
      <c r="C208" s="950" t="s">
        <v>806</v>
      </c>
      <c r="D208" s="1026" t="s">
        <v>92</v>
      </c>
      <c r="E208" s="960" t="s">
        <v>1067</v>
      </c>
      <c r="F208" s="978">
        <v>30000</v>
      </c>
      <c r="G208" s="979">
        <v>0</v>
      </c>
      <c r="H208" s="1032">
        <v>30000</v>
      </c>
      <c r="I208" s="951">
        <v>861</v>
      </c>
      <c r="J208" s="1036">
        <v>0</v>
      </c>
      <c r="K208" s="951">
        <v>912</v>
      </c>
      <c r="L208" s="951">
        <v>25</v>
      </c>
      <c r="M208" s="1032">
        <f t="shared" si="39"/>
        <v>1798</v>
      </c>
      <c r="N208" s="1032">
        <f t="shared" si="38"/>
        <v>28202</v>
      </c>
    </row>
    <row r="209" spans="2:14" ht="18.75" x14ac:dyDescent="0.3">
      <c r="B209" s="1024" t="s">
        <v>1056</v>
      </c>
      <c r="C209" s="950" t="s">
        <v>806</v>
      </c>
      <c r="D209" s="1026" t="s">
        <v>92</v>
      </c>
      <c r="E209" s="960" t="s">
        <v>1067</v>
      </c>
      <c r="F209" s="978">
        <v>30000</v>
      </c>
      <c r="G209" s="979">
        <v>0</v>
      </c>
      <c r="H209" s="1032">
        <v>30000</v>
      </c>
      <c r="I209" s="951">
        <v>861</v>
      </c>
      <c r="J209" s="1036">
        <v>0</v>
      </c>
      <c r="K209" s="951">
        <v>912</v>
      </c>
      <c r="L209" s="951">
        <v>25</v>
      </c>
      <c r="M209" s="1032">
        <f t="shared" si="39"/>
        <v>1798</v>
      </c>
      <c r="N209" s="1032">
        <f t="shared" si="38"/>
        <v>28202</v>
      </c>
    </row>
    <row r="210" spans="2:14" ht="18.75" x14ac:dyDescent="0.3">
      <c r="B210" s="1027" t="s">
        <v>800</v>
      </c>
      <c r="C210" s="950" t="s">
        <v>806</v>
      </c>
      <c r="D210" s="1024" t="s">
        <v>268</v>
      </c>
      <c r="E210" s="960" t="s">
        <v>1067</v>
      </c>
      <c r="F210" s="951">
        <v>30000</v>
      </c>
      <c r="G210" s="974">
        <v>0</v>
      </c>
      <c r="H210" s="1032">
        <v>30000</v>
      </c>
      <c r="I210" s="951">
        <v>861</v>
      </c>
      <c r="J210" s="1036">
        <v>0</v>
      </c>
      <c r="K210" s="951">
        <v>912</v>
      </c>
      <c r="L210" s="951">
        <v>25</v>
      </c>
      <c r="M210" s="1032">
        <f t="shared" si="39"/>
        <v>1798</v>
      </c>
      <c r="N210" s="1032">
        <f t="shared" si="38"/>
        <v>28202</v>
      </c>
    </row>
    <row r="211" spans="2:14" ht="18.75" x14ac:dyDescent="0.3">
      <c r="B211" s="1029" t="s">
        <v>1333</v>
      </c>
      <c r="C211" s="950" t="s">
        <v>1296</v>
      </c>
      <c r="D211" s="1024" t="s">
        <v>268</v>
      </c>
      <c r="E211" s="960" t="s">
        <v>1067</v>
      </c>
      <c r="F211" s="951">
        <v>30000</v>
      </c>
      <c r="G211" s="952">
        <v>0</v>
      </c>
      <c r="H211" s="1031">
        <v>30000</v>
      </c>
      <c r="I211" s="953">
        <v>861</v>
      </c>
      <c r="J211" s="1035">
        <v>0</v>
      </c>
      <c r="K211" s="953">
        <v>912</v>
      </c>
      <c r="L211" s="954">
        <v>25</v>
      </c>
      <c r="M211" s="1031">
        <f t="shared" si="39"/>
        <v>1798</v>
      </c>
      <c r="N211" s="1031">
        <f t="shared" si="38"/>
        <v>28202</v>
      </c>
    </row>
    <row r="212" spans="2:14" ht="18.75" x14ac:dyDescent="0.3">
      <c r="B212" s="1029" t="s">
        <v>91</v>
      </c>
      <c r="C212" s="950" t="s">
        <v>806</v>
      </c>
      <c r="D212" s="1024" t="s">
        <v>92</v>
      </c>
      <c r="E212" s="960" t="s">
        <v>1067</v>
      </c>
      <c r="F212" s="951">
        <v>30000</v>
      </c>
      <c r="G212" s="952">
        <v>0</v>
      </c>
      <c r="H212" s="1031">
        <v>30000</v>
      </c>
      <c r="I212" s="953">
        <v>861</v>
      </c>
      <c r="J212" s="1035">
        <v>0</v>
      </c>
      <c r="K212" s="953">
        <v>912</v>
      </c>
      <c r="L212" s="954">
        <v>2134</v>
      </c>
      <c r="M212" s="1031">
        <f t="shared" si="39"/>
        <v>3907</v>
      </c>
      <c r="N212" s="1031">
        <f t="shared" si="38"/>
        <v>26093</v>
      </c>
    </row>
    <row r="213" spans="2:14" ht="18.75" x14ac:dyDescent="0.3">
      <c r="B213" s="1029" t="s">
        <v>1346</v>
      </c>
      <c r="C213" s="950" t="s">
        <v>806</v>
      </c>
      <c r="D213" s="1024" t="s">
        <v>92</v>
      </c>
      <c r="E213" s="960" t="s">
        <v>1067</v>
      </c>
      <c r="F213" s="951">
        <v>30000</v>
      </c>
      <c r="G213" s="952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9"/>
        <v>1798</v>
      </c>
      <c r="N213" s="1031">
        <f t="shared" si="38"/>
        <v>28202</v>
      </c>
    </row>
    <row r="214" spans="2:14" ht="18.75" x14ac:dyDescent="0.3">
      <c r="B214" s="1029" t="s">
        <v>1350</v>
      </c>
      <c r="C214" s="950" t="s">
        <v>806</v>
      </c>
      <c r="D214" s="1024" t="s">
        <v>92</v>
      </c>
      <c r="E214" s="960" t="s">
        <v>1067</v>
      </c>
      <c r="F214" s="951">
        <v>30000</v>
      </c>
      <c r="G214" s="952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9"/>
        <v>1798</v>
      </c>
      <c r="N214" s="1031">
        <f t="shared" si="38"/>
        <v>28202</v>
      </c>
    </row>
    <row r="215" spans="2:14" ht="18.75" x14ac:dyDescent="0.3">
      <c r="B215" s="1027" t="s">
        <v>1388</v>
      </c>
      <c r="C215" s="950" t="s">
        <v>806</v>
      </c>
      <c r="D215" s="1024" t="s">
        <v>92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v>1798</v>
      </c>
      <c r="N215" s="1032">
        <v>28202</v>
      </c>
    </row>
    <row r="216" spans="2:14" ht="18.75" x14ac:dyDescent="0.3">
      <c r="B216" s="1027" t="s">
        <v>1389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74">
        <v>0</v>
      </c>
      <c r="H216" s="1032">
        <v>30000</v>
      </c>
      <c r="I216" s="951">
        <v>861</v>
      </c>
      <c r="J216" s="1036">
        <v>0</v>
      </c>
      <c r="K216" s="951">
        <v>912</v>
      </c>
      <c r="L216" s="951">
        <v>25</v>
      </c>
      <c r="M216" s="1032">
        <v>1798</v>
      </c>
      <c r="N216" s="1032">
        <v>28202</v>
      </c>
    </row>
    <row r="217" spans="2:14" ht="18.75" x14ac:dyDescent="0.3">
      <c r="B217" s="1027" t="s">
        <v>1390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74">
        <v>0</v>
      </c>
      <c r="H217" s="1032">
        <v>30000</v>
      </c>
      <c r="I217" s="951">
        <v>861</v>
      </c>
      <c r="J217" s="1036">
        <v>0</v>
      </c>
      <c r="K217" s="951">
        <v>912</v>
      </c>
      <c r="L217" s="951">
        <v>25</v>
      </c>
      <c r="M217" s="1032">
        <v>1798</v>
      </c>
      <c r="N217" s="1032">
        <v>28202</v>
      </c>
    </row>
    <row r="218" spans="2:14" ht="18.75" x14ac:dyDescent="0.3">
      <c r="B218" s="1027" t="s">
        <v>1420</v>
      </c>
      <c r="C218" s="950" t="s">
        <v>806</v>
      </c>
      <c r="D218" s="1024" t="s">
        <v>92</v>
      </c>
      <c r="E218" s="960" t="s">
        <v>1067</v>
      </c>
      <c r="F218" s="951">
        <v>24000</v>
      </c>
      <c r="G218" s="974">
        <v>0</v>
      </c>
      <c r="H218" s="1032">
        <v>24000</v>
      </c>
      <c r="I218" s="951">
        <v>688</v>
      </c>
      <c r="J218" s="1036">
        <v>0</v>
      </c>
      <c r="K218" s="951">
        <v>726.6</v>
      </c>
      <c r="L218" s="951">
        <v>25</v>
      </c>
      <c r="M218" s="1032">
        <v>1443.4</v>
      </c>
      <c r="N218" s="1032">
        <v>22556.6</v>
      </c>
    </row>
    <row r="219" spans="2:14" ht="18.75" x14ac:dyDescent="0.3">
      <c r="B219" s="961" t="s">
        <v>749</v>
      </c>
      <c r="C219" s="999"/>
      <c r="D219" s="962">
        <v>37</v>
      </c>
      <c r="E219" s="962"/>
      <c r="F219" s="963">
        <f>SUM(F182:F218)</f>
        <v>1625500</v>
      </c>
      <c r="G219" s="1071">
        <v>0</v>
      </c>
      <c r="H219" s="963">
        <f t="shared" ref="H219:N219" si="40">SUM(H182:H218)</f>
        <v>1625500</v>
      </c>
      <c r="I219" s="963">
        <f t="shared" si="40"/>
        <v>46651.049999999996</v>
      </c>
      <c r="J219" s="963">
        <f t="shared" si="40"/>
        <v>74518.849999999977</v>
      </c>
      <c r="K219" s="963">
        <f t="shared" si="40"/>
        <v>49412.2</v>
      </c>
      <c r="L219" s="963">
        <f t="shared" si="40"/>
        <v>14029.76</v>
      </c>
      <c r="M219" s="963">
        <f t="shared" si="40"/>
        <v>184615.65999999995</v>
      </c>
      <c r="N219" s="963">
        <f t="shared" si="40"/>
        <v>1440884.3399999999</v>
      </c>
    </row>
    <row r="220" spans="2:14" ht="18.75" x14ac:dyDescent="0.3">
      <c r="B220" s="961"/>
      <c r="C220" s="958"/>
      <c r="D220" s="962"/>
      <c r="E220" s="962"/>
      <c r="F220" s="963"/>
      <c r="G220" s="964"/>
      <c r="H220" s="965"/>
      <c r="I220" s="965"/>
      <c r="J220" s="965"/>
      <c r="K220" s="965"/>
      <c r="L220" s="966"/>
      <c r="M220" s="965"/>
      <c r="N220" s="965"/>
    </row>
    <row r="221" spans="2:14" ht="27.75" customHeight="1" x14ac:dyDescent="0.3">
      <c r="B221" s="1058" t="s">
        <v>865</v>
      </c>
      <c r="C221" s="1059"/>
      <c r="D221" s="1058">
        <f>+D18+D24+D28+D38+D42+D47+D51+D57+D69+D84+D89+D94+D100+D105+D109+D119+D125+D134+D140+D144+D148+D155+D160+D165+D179+D219</f>
        <v>129</v>
      </c>
      <c r="E221" s="1058"/>
      <c r="F221" s="1076">
        <f>+F18+F24+F28+F38+F42+F47+F51+F57+F69+F84+F89+F94+F100+F105+F109+F119+F125+F134+F140+F144+F148+F155+F160+F165+F179+F219</f>
        <v>6830500</v>
      </c>
      <c r="G221" s="1072">
        <v>0</v>
      </c>
      <c r="H221" s="1076">
        <f t="shared" ref="H221:N221" si="41">+H18+H24+H28+H38+H42+H47+H51+H57+H69+H84+H89+H94+H100+H105+H109+H119+H125+H134+H140+H144+H148+H155+H160+H165+H179+H219</f>
        <v>6830500</v>
      </c>
      <c r="I221" s="1076">
        <f t="shared" si="41"/>
        <v>196034.55</v>
      </c>
      <c r="J221" s="1076">
        <f t="shared" si="41"/>
        <v>453996.73999999993</v>
      </c>
      <c r="K221" s="1076">
        <f t="shared" si="41"/>
        <v>205122.51999999996</v>
      </c>
      <c r="L221" s="1076">
        <f t="shared" si="41"/>
        <v>138727.26</v>
      </c>
      <c r="M221" s="1076">
        <f t="shared" si="41"/>
        <v>993456.00999999989</v>
      </c>
      <c r="N221" s="1076">
        <f t="shared" si="41"/>
        <v>5837043.9900000002</v>
      </c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1073"/>
      <c r="K224" s="1022"/>
      <c r="L224" s="1022"/>
      <c r="M224" s="1022"/>
      <c r="N224" s="1022"/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271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1022"/>
      <c r="E227" s="271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1022"/>
      <c r="F228" s="869"/>
      <c r="G228" s="853"/>
      <c r="H228" s="853"/>
      <c r="I228" s="853"/>
      <c r="J228" s="1022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72"/>
      <c r="E231" s="853"/>
      <c r="F231" s="852"/>
      <c r="G231" s="853"/>
      <c r="H231" s="853"/>
      <c r="I231" s="853"/>
      <c r="J231" s="853"/>
      <c r="K231" s="1022"/>
      <c r="L231" s="853"/>
      <c r="M231" s="853"/>
      <c r="N231" s="853"/>
    </row>
    <row r="232" spans="2:14" ht="17.25" customHeight="1" x14ac:dyDescent="0.25">
      <c r="B232" s="853"/>
      <c r="C232" s="871"/>
      <c r="D232" s="872"/>
      <c r="E232" s="853"/>
      <c r="F232" s="852"/>
      <c r="G232" s="853"/>
      <c r="H232" s="853"/>
      <c r="I232" s="853"/>
      <c r="J232" s="853"/>
      <c r="K232" s="853"/>
      <c r="L232" s="853"/>
      <c r="M232" s="1022"/>
      <c r="N232" s="1022"/>
    </row>
    <row r="233" spans="2:14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4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4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4" ht="17.25" customHeight="1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73"/>
      <c r="C242" s="874"/>
      <c r="D242" s="873"/>
      <c r="E242" s="873"/>
      <c r="F242" s="875"/>
      <c r="G242" s="873"/>
      <c r="H242" s="873"/>
      <c r="I242" s="873"/>
      <c r="J242" s="873"/>
      <c r="K242" s="873"/>
      <c r="L242" s="873"/>
      <c r="M242" s="873"/>
      <c r="N242" s="873"/>
    </row>
    <row r="243" spans="2:15" ht="15.75" x14ac:dyDescent="0.25">
      <c r="B243" s="873"/>
      <c r="C243" s="871"/>
      <c r="D243" s="873"/>
      <c r="E243" s="873"/>
      <c r="F243" s="875"/>
      <c r="G243" s="873"/>
      <c r="H243" s="873"/>
      <c r="I243" s="873"/>
      <c r="J243" s="873"/>
      <c r="K243" s="873"/>
      <c r="L243" s="873"/>
      <c r="M243" s="873"/>
      <c r="N243" s="873"/>
    </row>
    <row r="244" spans="2:15" ht="15.75" x14ac:dyDescent="0.25">
      <c r="B244" s="871"/>
      <c r="C244" s="871"/>
      <c r="D244" s="871"/>
      <c r="E244" s="871"/>
      <c r="F244" s="876"/>
      <c r="G244" s="877"/>
      <c r="H244" s="878"/>
      <c r="I244" s="879"/>
      <c r="J244" s="880"/>
      <c r="K244" s="880"/>
      <c r="L244" s="880"/>
      <c r="M244" s="880"/>
      <c r="N244" s="880"/>
    </row>
    <row r="245" spans="2:15" ht="15.75" x14ac:dyDescent="0.25">
      <c r="B245" s="1703" t="s">
        <v>1271</v>
      </c>
      <c r="C245" s="1703"/>
      <c r="D245" s="874"/>
      <c r="E245" s="874"/>
      <c r="F245" s="875"/>
      <c r="G245" s="873"/>
      <c r="H245" s="873"/>
      <c r="I245" s="1683" t="s">
        <v>852</v>
      </c>
      <c r="J245" s="1683"/>
      <c r="K245" s="1683"/>
      <c r="L245" s="1683"/>
      <c r="M245" s="1683"/>
      <c r="N245" s="1683"/>
    </row>
    <row r="246" spans="2:15" ht="15.75" x14ac:dyDescent="0.25">
      <c r="B246" s="930" t="s">
        <v>1376</v>
      </c>
      <c r="C246" s="871"/>
      <c r="D246" s="871"/>
      <c r="E246" s="871"/>
      <c r="F246" s="875"/>
      <c r="G246" s="873"/>
      <c r="I246" s="622"/>
      <c r="J246" s="1684" t="s">
        <v>1370</v>
      </c>
      <c r="K246" s="1684"/>
      <c r="L246" s="1684"/>
      <c r="M246" s="1684"/>
      <c r="N246" s="622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874"/>
      <c r="C260" s="851"/>
      <c r="D260" s="874"/>
      <c r="E260" s="874"/>
      <c r="F260" s="883"/>
      <c r="G260" s="874"/>
      <c r="H260" s="884"/>
      <c r="I260" s="882"/>
      <c r="J260" s="873"/>
      <c r="K260" s="885"/>
      <c r="L260" s="885"/>
      <c r="M260" s="885"/>
      <c r="N260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45:C245"/>
    <mergeCell ref="I245:N245"/>
    <mergeCell ref="J246:M246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4" max="13" man="1"/>
    <brk id="190" max="13" man="1"/>
  </rowBreaks>
  <drawing r:id="rId2"/>
</worksheet>
</file>

<file path=xl/worksheets/sheet2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F64A01-B6B6-40FB-9B04-3E73AFF916BA}">
  <dimension ref="A1:S160"/>
  <sheetViews>
    <sheetView topLeftCell="A63" zoomScaleNormal="100" zoomScaleSheetLayoutView="70" workbookViewId="0">
      <selection activeCell="A7" sqref="A7:O7"/>
    </sheetView>
  </sheetViews>
  <sheetFormatPr baseColWidth="10" defaultRowHeight="15" x14ac:dyDescent="0.25"/>
  <cols>
    <col min="1" max="1" width="93.85546875" customWidth="1"/>
    <col min="2" max="2" width="13.140625" customWidth="1"/>
    <col min="3" max="3" width="62.855468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1428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709" t="s">
        <v>7</v>
      </c>
      <c r="B11" s="1709" t="s">
        <v>937</v>
      </c>
      <c r="C11" s="1712" t="s">
        <v>9</v>
      </c>
      <c r="D11" s="1709" t="s">
        <v>832</v>
      </c>
      <c r="E11" s="1709" t="s">
        <v>834</v>
      </c>
      <c r="F11" s="1709" t="s">
        <v>209</v>
      </c>
      <c r="G11" s="1051" t="s">
        <v>12</v>
      </c>
      <c r="H11" s="1711" t="s">
        <v>13</v>
      </c>
      <c r="I11" s="1710" t="s">
        <v>14</v>
      </c>
      <c r="J11" s="1710" t="s">
        <v>15</v>
      </c>
      <c r="K11" s="1710" t="s">
        <v>16</v>
      </c>
      <c r="L11" s="1710" t="s">
        <v>17</v>
      </c>
      <c r="M11" s="1710" t="s">
        <v>18</v>
      </c>
      <c r="N11" s="1710" t="s">
        <v>19</v>
      </c>
      <c r="O11" s="1710" t="s">
        <v>20</v>
      </c>
    </row>
    <row r="12" spans="1:15" x14ac:dyDescent="0.25">
      <c r="A12" s="1709"/>
      <c r="B12" s="1709"/>
      <c r="C12" s="1712"/>
      <c r="D12" s="1709"/>
      <c r="E12" s="1709"/>
      <c r="F12" s="1709"/>
      <c r="G12" s="1051" t="s">
        <v>21</v>
      </c>
      <c r="H12" s="1711"/>
      <c r="I12" s="1710"/>
      <c r="J12" s="1710"/>
      <c r="K12" s="1710"/>
      <c r="L12" s="1710"/>
      <c r="M12" s="1710"/>
      <c r="N12" s="1710"/>
      <c r="O12" s="1710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468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571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57">
        <v>4560</v>
      </c>
      <c r="M23" s="457">
        <v>25</v>
      </c>
      <c r="N23" s="457">
        <v>32756.62</v>
      </c>
      <c r="O23" s="457">
        <v>117243.38</v>
      </c>
    </row>
    <row r="24" spans="1:15" x14ac:dyDescent="0.25">
      <c r="A24" s="496" t="s">
        <v>1282</v>
      </c>
      <c r="B24" s="497" t="s">
        <v>806</v>
      </c>
      <c r="C24" s="282" t="s">
        <v>214</v>
      </c>
      <c r="D24" s="281" t="s">
        <v>1063</v>
      </c>
      <c r="E24" s="855">
        <v>45413</v>
      </c>
      <c r="F24" s="855">
        <v>45597</v>
      </c>
      <c r="G24" s="626">
        <v>75000</v>
      </c>
      <c r="H24" s="487">
        <v>0</v>
      </c>
      <c r="I24" s="457">
        <v>75000</v>
      </c>
      <c r="J24" s="457">
        <v>2152.5</v>
      </c>
      <c r="K24" s="457">
        <v>6309.38</v>
      </c>
      <c r="L24" s="457">
        <v>2280</v>
      </c>
      <c r="M24" s="457">
        <v>2568.4</v>
      </c>
      <c r="N24" s="457">
        <f>+J24+K24+L24+M24</f>
        <v>13310.28</v>
      </c>
      <c r="O24" s="457">
        <f>+I24-N24</f>
        <v>61689.72</v>
      </c>
    </row>
    <row r="25" spans="1:15" x14ac:dyDescent="0.25">
      <c r="A25" s="496" t="s">
        <v>814</v>
      </c>
      <c r="B25" s="497" t="s">
        <v>807</v>
      </c>
      <c r="C25" s="282" t="s">
        <v>1180</v>
      </c>
      <c r="D25" s="281" t="s">
        <v>1063</v>
      </c>
      <c r="E25" s="855">
        <v>45413</v>
      </c>
      <c r="F25" s="855">
        <v>45597</v>
      </c>
      <c r="G25" s="626">
        <v>70000</v>
      </c>
      <c r="H25" s="487">
        <v>0</v>
      </c>
      <c r="I25" s="457">
        <v>70000</v>
      </c>
      <c r="J25" s="457">
        <v>2009</v>
      </c>
      <c r="K25" s="457">
        <v>5368.48</v>
      </c>
      <c r="L25" s="457">
        <v>2128</v>
      </c>
      <c r="M25" s="457">
        <v>5025</v>
      </c>
      <c r="N25" s="457">
        <f>+J25+K25+L25+M25</f>
        <v>14530.48</v>
      </c>
      <c r="O25" s="457">
        <f>+I25-N25</f>
        <v>55469.520000000004</v>
      </c>
    </row>
    <row r="26" spans="1:15" x14ac:dyDescent="0.25">
      <c r="A26" s="466" t="s">
        <v>813</v>
      </c>
      <c r="B26" s="465"/>
      <c r="C26" s="492">
        <v>3</v>
      </c>
      <c r="D26" s="281"/>
      <c r="E26" s="1019"/>
      <c r="F26" s="857"/>
      <c r="G26" s="571">
        <f>SUM(G23:G25)</f>
        <v>295000</v>
      </c>
      <c r="H26" s="495">
        <v>0</v>
      </c>
      <c r="I26" s="571">
        <f t="shared" ref="I26:O26" si="2">SUM(I23:I25)</f>
        <v>295000</v>
      </c>
      <c r="J26" s="571">
        <f t="shared" si="2"/>
        <v>8466.5</v>
      </c>
      <c r="K26" s="571">
        <f t="shared" si="2"/>
        <v>35544.479999999996</v>
      </c>
      <c r="L26" s="571">
        <f t="shared" si="2"/>
        <v>8968</v>
      </c>
      <c r="M26" s="571">
        <f t="shared" si="2"/>
        <v>7618.4</v>
      </c>
      <c r="N26" s="571">
        <f t="shared" si="2"/>
        <v>60597.380000000005</v>
      </c>
      <c r="O26" s="571">
        <f t="shared" si="2"/>
        <v>234402.62</v>
      </c>
    </row>
    <row r="27" spans="1:15" x14ac:dyDescent="0.25">
      <c r="A27" s="490"/>
      <c r="B27" s="491"/>
      <c r="C27" s="492"/>
      <c r="D27" s="465"/>
      <c r="E27" s="856"/>
      <c r="F27" s="857"/>
      <c r="G27" s="695"/>
      <c r="H27" s="495"/>
      <c r="I27" s="494"/>
      <c r="J27" s="494"/>
      <c r="K27" s="494"/>
      <c r="L27" s="494"/>
      <c r="M27" s="494"/>
      <c r="N27" s="494"/>
      <c r="O27" s="494"/>
    </row>
    <row r="28" spans="1:15" x14ac:dyDescent="0.25">
      <c r="A28" s="490" t="s">
        <v>838</v>
      </c>
      <c r="B28" s="491"/>
      <c r="C28" s="492"/>
      <c r="D28" s="465"/>
      <c r="E28" s="858"/>
      <c r="F28" s="855"/>
      <c r="G28" s="697"/>
      <c r="H28" s="495"/>
      <c r="I28" s="463"/>
      <c r="J28" s="463"/>
      <c r="K28" s="463"/>
      <c r="L28" s="463"/>
      <c r="M28" s="463"/>
      <c r="N28" s="463"/>
      <c r="O28" s="463"/>
    </row>
    <row r="29" spans="1:15" ht="15.75" customHeight="1" x14ac:dyDescent="0.25">
      <c r="A29" s="496" t="s">
        <v>815</v>
      </c>
      <c r="B29" s="497" t="s">
        <v>806</v>
      </c>
      <c r="C29" s="282" t="s">
        <v>1426</v>
      </c>
      <c r="D29" s="281" t="s">
        <v>1063</v>
      </c>
      <c r="E29" s="855">
        <v>45413</v>
      </c>
      <c r="F29" s="855">
        <v>45597</v>
      </c>
      <c r="G29" s="626">
        <v>115000</v>
      </c>
      <c r="H29" s="487">
        <v>0</v>
      </c>
      <c r="I29" s="457">
        <v>115000</v>
      </c>
      <c r="J29" s="457">
        <v>3300.5</v>
      </c>
      <c r="K29" s="457">
        <v>15633.74</v>
      </c>
      <c r="L29" s="457">
        <v>3496</v>
      </c>
      <c r="M29" s="457">
        <v>2568.4</v>
      </c>
      <c r="N29" s="457">
        <f>+J29+K29+L29+M29</f>
        <v>24998.639999999999</v>
      </c>
      <c r="O29" s="457">
        <f>+I29-N29</f>
        <v>90001.36</v>
      </c>
    </row>
    <row r="30" spans="1:15" ht="15.75" customHeight="1" x14ac:dyDescent="0.25">
      <c r="A30" s="573" t="s">
        <v>917</v>
      </c>
      <c r="B30" s="602" t="s">
        <v>807</v>
      </c>
      <c r="C30" s="282" t="s">
        <v>607</v>
      </c>
      <c r="D30" s="281" t="s">
        <v>1063</v>
      </c>
      <c r="E30" s="855">
        <v>45413</v>
      </c>
      <c r="F30" s="855">
        <v>45597</v>
      </c>
      <c r="G30" s="626">
        <v>70000</v>
      </c>
      <c r="H30" s="487">
        <v>0</v>
      </c>
      <c r="I30" s="626">
        <v>70000</v>
      </c>
      <c r="J30" s="498">
        <v>2009</v>
      </c>
      <c r="K30" s="214">
        <v>5368.48</v>
      </c>
      <c r="L30" s="498">
        <v>2128</v>
      </c>
      <c r="M30" s="498">
        <v>8487.36</v>
      </c>
      <c r="N30" s="457">
        <v>17992.740000000002</v>
      </c>
      <c r="O30" s="457">
        <f>+I30-N30</f>
        <v>52007.259999999995</v>
      </c>
    </row>
    <row r="31" spans="1:15" x14ac:dyDescent="0.25">
      <c r="A31" s="466" t="s">
        <v>813</v>
      </c>
      <c r="B31" s="465"/>
      <c r="C31" s="492">
        <v>2</v>
      </c>
      <c r="D31" s="465"/>
      <c r="E31" s="500"/>
      <c r="F31" s="855"/>
      <c r="G31" s="695">
        <f>SUM(G29:G30)</f>
        <v>185000</v>
      </c>
      <c r="H31" s="696">
        <f t="shared" ref="H31" si="3">SUM(H30)</f>
        <v>0</v>
      </c>
      <c r="I31" s="695">
        <f t="shared" ref="I31:O31" si="4">SUM(I29:I30)</f>
        <v>185000</v>
      </c>
      <c r="J31" s="695">
        <f t="shared" si="4"/>
        <v>5309.5</v>
      </c>
      <c r="K31" s="695">
        <f t="shared" si="4"/>
        <v>21002.22</v>
      </c>
      <c r="L31" s="695">
        <f t="shared" si="4"/>
        <v>5624</v>
      </c>
      <c r="M31" s="695">
        <f t="shared" si="4"/>
        <v>11055.76</v>
      </c>
      <c r="N31" s="695">
        <f t="shared" si="4"/>
        <v>42991.380000000005</v>
      </c>
      <c r="O31" s="695">
        <f t="shared" si="4"/>
        <v>142008.62</v>
      </c>
    </row>
    <row r="32" spans="1:15" ht="17.25" customHeight="1" x14ac:dyDescent="0.25">
      <c r="A32" s="496"/>
      <c r="B32" s="497"/>
      <c r="C32" s="282"/>
      <c r="D32" s="281"/>
      <c r="E32" s="858"/>
      <c r="F32" s="855"/>
      <c r="G32" s="626"/>
      <c r="H32" s="487"/>
      <c r="I32" s="457"/>
      <c r="J32" s="457"/>
      <c r="K32" s="457"/>
      <c r="L32" s="457"/>
      <c r="M32" s="457"/>
      <c r="N32" s="457"/>
      <c r="O32" s="457"/>
    </row>
    <row r="33" spans="1:15" ht="17.25" customHeight="1" x14ac:dyDescent="0.25">
      <c r="A33" s="453" t="s">
        <v>1128</v>
      </c>
      <c r="B33" s="453"/>
      <c r="C33" s="280"/>
      <c r="D33" s="280"/>
      <c r="E33" s="858"/>
      <c r="F33" s="855"/>
      <c r="G33" s="280"/>
      <c r="H33" s="457"/>
      <c r="I33" s="487"/>
      <c r="J33" s="457"/>
      <c r="K33" s="457"/>
      <c r="L33" s="457"/>
      <c r="M33" s="457"/>
      <c r="N33" s="457"/>
      <c r="O33" s="457"/>
    </row>
    <row r="34" spans="1:15" ht="25.5" customHeight="1" x14ac:dyDescent="0.25">
      <c r="A34" s="280" t="s">
        <v>461</v>
      </c>
      <c r="B34" s="281" t="s">
        <v>807</v>
      </c>
      <c r="C34" s="282" t="s">
        <v>1366</v>
      </c>
      <c r="D34" s="281" t="s">
        <v>1063</v>
      </c>
      <c r="E34" s="855">
        <v>45413</v>
      </c>
      <c r="F34" s="855">
        <v>45597</v>
      </c>
      <c r="G34" s="468">
        <v>115000</v>
      </c>
      <c r="H34" s="456">
        <v>0</v>
      </c>
      <c r="I34" s="489">
        <v>115000</v>
      </c>
      <c r="J34" s="489">
        <v>3300.5</v>
      </c>
      <c r="K34" s="489">
        <v>15633.74</v>
      </c>
      <c r="L34" s="489">
        <v>3496</v>
      </c>
      <c r="M34" s="661">
        <v>1431</v>
      </c>
      <c r="N34" s="457">
        <f>+J34+K34+L34+M34</f>
        <v>23861.239999999998</v>
      </c>
      <c r="O34" s="457">
        <f>+I34-N34</f>
        <v>91138.760000000009</v>
      </c>
    </row>
    <row r="35" spans="1:15" ht="24" customHeight="1" x14ac:dyDescent="0.25">
      <c r="A35" s="280" t="s">
        <v>1283</v>
      </c>
      <c r="B35" s="281" t="s">
        <v>807</v>
      </c>
      <c r="C35" s="282" t="s">
        <v>1418</v>
      </c>
      <c r="D35" s="281" t="s">
        <v>1281</v>
      </c>
      <c r="E35" s="855">
        <v>45383</v>
      </c>
      <c r="F35" s="855">
        <v>45566</v>
      </c>
      <c r="G35" s="468">
        <v>50000</v>
      </c>
      <c r="H35" s="456">
        <v>0</v>
      </c>
      <c r="I35" s="489">
        <v>50000</v>
      </c>
      <c r="J35" s="489">
        <v>1435</v>
      </c>
      <c r="K35" s="489">
        <v>1854</v>
      </c>
      <c r="L35" s="489">
        <v>1520</v>
      </c>
      <c r="M35" s="661">
        <v>728</v>
      </c>
      <c r="N35" s="457">
        <f>+J35+K35+L35+M35</f>
        <v>5537</v>
      </c>
      <c r="O35" s="457">
        <f>+I35-N35</f>
        <v>44463</v>
      </c>
    </row>
    <row r="36" spans="1:15" ht="21" customHeight="1" x14ac:dyDescent="0.25">
      <c r="A36" s="453" t="s">
        <v>813</v>
      </c>
      <c r="B36" s="453"/>
      <c r="C36" s="453">
        <v>2</v>
      </c>
      <c r="D36" s="525"/>
      <c r="E36" s="500"/>
      <c r="F36" s="855"/>
      <c r="G36" s="695">
        <f>SUM(G34:G35)</f>
        <v>165000</v>
      </c>
      <c r="H36" s="696">
        <f t="shared" ref="H36" si="5">SUM(H35)</f>
        <v>0</v>
      </c>
      <c r="I36" s="695">
        <f t="shared" ref="I36:O36" si="6">SUM(I34:I35)</f>
        <v>165000</v>
      </c>
      <c r="J36" s="695">
        <f t="shared" si="6"/>
        <v>4735.5</v>
      </c>
      <c r="K36" s="695">
        <f t="shared" si="6"/>
        <v>17487.739999999998</v>
      </c>
      <c r="L36" s="695">
        <f t="shared" si="6"/>
        <v>5016</v>
      </c>
      <c r="M36" s="695">
        <f>SUM(M34:M35)</f>
        <v>2159</v>
      </c>
      <c r="N36" s="695">
        <f t="shared" si="6"/>
        <v>29398.239999999998</v>
      </c>
      <c r="O36" s="695">
        <f t="shared" si="6"/>
        <v>135601.76</v>
      </c>
    </row>
    <row r="37" spans="1:15" ht="23.25" customHeight="1" x14ac:dyDescent="0.25">
      <c r="A37" s="461"/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0.75" customHeight="1" x14ac:dyDescent="0.25">
      <c r="A38" s="492" t="s">
        <v>1167</v>
      </c>
      <c r="B38" s="461"/>
      <c r="C38" s="453"/>
      <c r="D38" s="525"/>
      <c r="E38" s="858"/>
      <c r="F38" s="855"/>
      <c r="G38" s="697"/>
      <c r="H38" s="464"/>
      <c r="I38" s="522"/>
      <c r="J38" s="522"/>
      <c r="K38" s="522"/>
      <c r="L38" s="522"/>
      <c r="M38" s="686"/>
      <c r="N38" s="463"/>
      <c r="O38" s="463"/>
    </row>
    <row r="39" spans="1:15" ht="31.5" customHeight="1" x14ac:dyDescent="0.25">
      <c r="A39" s="724" t="s">
        <v>1168</v>
      </c>
      <c r="B39" s="637" t="s">
        <v>807</v>
      </c>
      <c r="C39" s="282" t="s">
        <v>1367</v>
      </c>
      <c r="D39" s="281" t="s">
        <v>1063</v>
      </c>
      <c r="E39" s="855">
        <v>45413</v>
      </c>
      <c r="F39" s="855">
        <v>45597</v>
      </c>
      <c r="G39" s="468">
        <v>95000</v>
      </c>
      <c r="H39" s="456">
        <v>0</v>
      </c>
      <c r="I39" s="489">
        <v>95000</v>
      </c>
      <c r="J39" s="489">
        <v>2726.5</v>
      </c>
      <c r="K39" s="489">
        <v>10929.24</v>
      </c>
      <c r="L39" s="489">
        <v>2888</v>
      </c>
      <c r="M39" s="661">
        <v>2134</v>
      </c>
      <c r="N39" s="457">
        <f>+J39+K39+L39+M39</f>
        <v>18677.739999999998</v>
      </c>
      <c r="O39" s="457">
        <f>+I39-N39</f>
        <v>76322.260000000009</v>
      </c>
    </row>
    <row r="40" spans="1:15" ht="17.25" customHeight="1" x14ac:dyDescent="0.25">
      <c r="A40" s="453" t="s">
        <v>813</v>
      </c>
      <c r="B40" s="453"/>
      <c r="C40" s="453">
        <v>1</v>
      </c>
      <c r="D40" s="525"/>
      <c r="E40" s="500"/>
      <c r="F40" s="855"/>
      <c r="G40" s="697">
        <f>SUM(G39)</f>
        <v>95000</v>
      </c>
      <c r="H40" s="696">
        <f>SUM(H39)</f>
        <v>0</v>
      </c>
      <c r="I40" s="697">
        <f t="shared" ref="I40:O40" si="7">SUM(I39)</f>
        <v>95000</v>
      </c>
      <c r="J40" s="697">
        <f t="shared" si="7"/>
        <v>2726.5</v>
      </c>
      <c r="K40" s="697">
        <f t="shared" si="7"/>
        <v>10929.24</v>
      </c>
      <c r="L40" s="697">
        <f t="shared" si="7"/>
        <v>2888</v>
      </c>
      <c r="M40" s="697">
        <f t="shared" si="7"/>
        <v>2134</v>
      </c>
      <c r="N40" s="697">
        <f t="shared" si="7"/>
        <v>18677.739999999998</v>
      </c>
      <c r="O40" s="697">
        <f t="shared" si="7"/>
        <v>76322.260000000009</v>
      </c>
    </row>
    <row r="41" spans="1:15" ht="17.25" customHeight="1" x14ac:dyDescent="0.25">
      <c r="A41" s="461"/>
      <c r="B41" s="461"/>
      <c r="C41" s="453"/>
      <c r="D41" s="525"/>
      <c r="E41" s="858"/>
      <c r="F41" s="855"/>
      <c r="G41" s="697"/>
      <c r="H41" s="464"/>
      <c r="I41" s="522"/>
      <c r="J41" s="522"/>
      <c r="K41" s="522"/>
      <c r="L41" s="522"/>
      <c r="M41" s="686"/>
      <c r="N41" s="463"/>
      <c r="O41" s="463"/>
    </row>
    <row r="42" spans="1:15" x14ac:dyDescent="0.25">
      <c r="A42" s="1014" t="s">
        <v>1287</v>
      </c>
      <c r="B42" s="465"/>
      <c r="C42" s="492"/>
      <c r="D42" s="465"/>
      <c r="E42" s="500"/>
      <c r="F42" s="855"/>
      <c r="G42" s="695"/>
      <c r="H42" s="696"/>
      <c r="I42" s="695"/>
      <c r="J42" s="695"/>
      <c r="K42" s="695"/>
      <c r="L42" s="695"/>
      <c r="M42" s="695"/>
      <c r="N42" s="695"/>
      <c r="O42" s="695"/>
    </row>
    <row r="43" spans="1:15" x14ac:dyDescent="0.25">
      <c r="A43" s="496" t="s">
        <v>1391</v>
      </c>
      <c r="B43" s="497" t="s">
        <v>807</v>
      </c>
      <c r="C43" s="282" t="s">
        <v>1368</v>
      </c>
      <c r="D43" s="281" t="s">
        <v>1063</v>
      </c>
      <c r="E43" s="855">
        <v>45383</v>
      </c>
      <c r="F43" s="855">
        <v>45536</v>
      </c>
      <c r="G43" s="626">
        <v>95000</v>
      </c>
      <c r="H43" s="487">
        <v>0</v>
      </c>
      <c r="I43" s="498">
        <v>95000</v>
      </c>
      <c r="J43" s="498">
        <v>2726.5</v>
      </c>
      <c r="K43" s="498">
        <v>10929.24</v>
      </c>
      <c r="L43" s="498">
        <v>2888</v>
      </c>
      <c r="M43" s="498">
        <v>8637.92</v>
      </c>
      <c r="N43" s="457">
        <f>+J43+K43+L43+M43</f>
        <v>25181.659999999996</v>
      </c>
      <c r="O43" s="498">
        <f>+I43-N43</f>
        <v>69818.34</v>
      </c>
    </row>
    <row r="44" spans="1:15" ht="17.25" customHeight="1" x14ac:dyDescent="0.25">
      <c r="A44" s="453" t="s">
        <v>813</v>
      </c>
      <c r="B44" s="281"/>
      <c r="C44" s="453">
        <v>1</v>
      </c>
      <c r="D44" s="281"/>
      <c r="E44" s="1019"/>
      <c r="F44" s="857"/>
      <c r="G44" s="697">
        <f>SUM(G43)</f>
        <v>95000</v>
      </c>
      <c r="H44" s="696">
        <f>SUM(H43)</f>
        <v>0</v>
      </c>
      <c r="I44" s="697">
        <f t="shared" ref="I44:O44" si="8">SUM(I43)</f>
        <v>95000</v>
      </c>
      <c r="J44" s="697">
        <f t="shared" si="8"/>
        <v>2726.5</v>
      </c>
      <c r="K44" s="697">
        <f t="shared" si="8"/>
        <v>10929.24</v>
      </c>
      <c r="L44" s="697">
        <f t="shared" si="8"/>
        <v>2888</v>
      </c>
      <c r="M44" s="697">
        <f>SUM(M43)</f>
        <v>8637.92</v>
      </c>
      <c r="N44" s="697">
        <f t="shared" si="8"/>
        <v>25181.659999999996</v>
      </c>
      <c r="O44" s="697">
        <f t="shared" si="8"/>
        <v>69818.34</v>
      </c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17.25" customHeight="1" x14ac:dyDescent="0.25">
      <c r="A46" s="496"/>
      <c r="B46" s="497"/>
      <c r="C46" s="282"/>
      <c r="D46" s="281"/>
      <c r="E46" s="856"/>
      <c r="F46" s="857"/>
      <c r="G46" s="626"/>
      <c r="H46" s="487"/>
      <c r="I46" s="457"/>
      <c r="J46" s="457"/>
      <c r="K46" s="457"/>
      <c r="L46" s="457"/>
      <c r="M46" s="457"/>
      <c r="N46" s="457"/>
      <c r="O46" s="457"/>
    </row>
    <row r="47" spans="1:15" x14ac:dyDescent="0.25">
      <c r="A47" s="466" t="s">
        <v>842</v>
      </c>
      <c r="B47" s="465"/>
      <c r="C47" s="492"/>
      <c r="D47" s="465"/>
      <c r="E47" s="1019"/>
      <c r="F47" s="857"/>
      <c r="G47" s="695"/>
      <c r="H47" s="696"/>
      <c r="I47" s="697"/>
      <c r="J47" s="697"/>
      <c r="K47" s="697"/>
      <c r="L47" s="697"/>
      <c r="M47" s="697"/>
      <c r="N47" s="697"/>
      <c r="O47" s="697"/>
    </row>
    <row r="48" spans="1:15" ht="18" customHeight="1" x14ac:dyDescent="0.25">
      <c r="A48" s="496" t="s">
        <v>1393</v>
      </c>
      <c r="B48" s="497" t="s">
        <v>807</v>
      </c>
      <c r="C48" s="282" t="s">
        <v>1394</v>
      </c>
      <c r="D48" s="281" t="s">
        <v>1063</v>
      </c>
      <c r="E48" s="855">
        <v>45444</v>
      </c>
      <c r="F48" s="855">
        <v>45627</v>
      </c>
      <c r="G48" s="626">
        <v>100000</v>
      </c>
      <c r="H48" s="487">
        <v>0</v>
      </c>
      <c r="I48" s="498">
        <v>100000</v>
      </c>
      <c r="J48" s="498">
        <v>2870</v>
      </c>
      <c r="K48" s="498">
        <v>12105.37</v>
      </c>
      <c r="L48" s="498">
        <v>3040</v>
      </c>
      <c r="M48" s="498">
        <v>25</v>
      </c>
      <c r="N48" s="457">
        <v>18040.37</v>
      </c>
      <c r="O48" s="498">
        <f>+I48-N48</f>
        <v>81959.63</v>
      </c>
    </row>
    <row r="49" spans="1:15" ht="17.25" customHeight="1" x14ac:dyDescent="0.25">
      <c r="A49" s="496" t="s">
        <v>1154</v>
      </c>
      <c r="B49" s="497" t="s">
        <v>807</v>
      </c>
      <c r="C49" s="282" t="s">
        <v>905</v>
      </c>
      <c r="D49" s="281" t="s">
        <v>1063</v>
      </c>
      <c r="E49" s="855">
        <v>45383</v>
      </c>
      <c r="F49" s="855">
        <v>45566</v>
      </c>
      <c r="G49" s="626">
        <v>50000</v>
      </c>
      <c r="H49" s="487">
        <v>0</v>
      </c>
      <c r="I49" s="498">
        <v>50000</v>
      </c>
      <c r="J49" s="498">
        <v>1435</v>
      </c>
      <c r="K49" s="498">
        <v>1854</v>
      </c>
      <c r="L49" s="498">
        <v>1520</v>
      </c>
      <c r="M49" s="498">
        <v>25</v>
      </c>
      <c r="N49" s="457">
        <f>+J49+K49+L49+M49</f>
        <v>4834</v>
      </c>
      <c r="O49" s="498">
        <f>+I49-N49</f>
        <v>45166</v>
      </c>
    </row>
    <row r="50" spans="1:15" x14ac:dyDescent="0.25">
      <c r="A50" s="466" t="s">
        <v>813</v>
      </c>
      <c r="B50" s="465"/>
      <c r="C50" s="492">
        <v>2</v>
      </c>
      <c r="D50" s="465"/>
      <c r="E50" s="500"/>
      <c r="F50" s="855"/>
      <c r="G50" s="697">
        <f>SUM(G48:G49)</f>
        <v>150000</v>
      </c>
      <c r="H50" s="696">
        <f t="shared" ref="H50" si="9">SUM(H49)</f>
        <v>0</v>
      </c>
      <c r="I50" s="697">
        <f t="shared" ref="I50:N50" si="10">SUM(I48:I49)</f>
        <v>150000</v>
      </c>
      <c r="J50" s="697">
        <f t="shared" si="10"/>
        <v>4305</v>
      </c>
      <c r="K50" s="697">
        <f t="shared" si="10"/>
        <v>13959.37</v>
      </c>
      <c r="L50" s="697">
        <f t="shared" si="10"/>
        <v>4560</v>
      </c>
      <c r="M50" s="697">
        <f t="shared" si="10"/>
        <v>50</v>
      </c>
      <c r="N50" s="697">
        <f t="shared" si="10"/>
        <v>22874.37</v>
      </c>
      <c r="O50" s="697">
        <f>SUM(O48:O49)</f>
        <v>127125.63</v>
      </c>
    </row>
    <row r="51" spans="1:15" x14ac:dyDescent="0.25">
      <c r="A51" s="490"/>
      <c r="B51" s="491"/>
      <c r="C51" s="492"/>
      <c r="D51" s="465"/>
      <c r="E51" s="858"/>
      <c r="F51" s="855"/>
      <c r="G51" s="626"/>
      <c r="H51" s="487"/>
      <c r="I51" s="457"/>
      <c r="J51" s="457"/>
      <c r="K51" s="457"/>
      <c r="L51" s="457"/>
      <c r="M51" s="457"/>
      <c r="N51" s="457"/>
      <c r="O51" s="457"/>
    </row>
    <row r="52" spans="1:15" ht="33.75" customHeight="1" x14ac:dyDescent="0.25">
      <c r="A52" s="1014" t="s">
        <v>1136</v>
      </c>
      <c r="B52" s="1015"/>
      <c r="C52" s="492"/>
      <c r="D52" s="465"/>
      <c r="E52" s="1019"/>
      <c r="F52" s="857"/>
      <c r="G52" s="695"/>
      <c r="H52" s="696"/>
      <c r="I52" s="697"/>
      <c r="J52" s="697"/>
      <c r="K52" s="697"/>
      <c r="L52" s="698"/>
      <c r="M52" s="697"/>
      <c r="N52" s="697"/>
      <c r="O52" s="697"/>
    </row>
    <row r="53" spans="1:15" ht="30" customHeight="1" x14ac:dyDescent="0.25">
      <c r="A53" s="286" t="s">
        <v>624</v>
      </c>
      <c r="B53" s="281" t="s">
        <v>806</v>
      </c>
      <c r="C53" s="749" t="s">
        <v>1425</v>
      </c>
      <c r="D53" s="281" t="s">
        <v>1063</v>
      </c>
      <c r="E53" s="855">
        <v>45474</v>
      </c>
      <c r="F53" s="855">
        <v>45658</v>
      </c>
      <c r="G53" s="626">
        <v>120000</v>
      </c>
      <c r="H53" s="627">
        <v>0</v>
      </c>
      <c r="I53" s="468">
        <v>120000</v>
      </c>
      <c r="J53" s="468">
        <v>3444</v>
      </c>
      <c r="K53" s="468">
        <v>16809.87</v>
      </c>
      <c r="L53" s="628">
        <v>3648</v>
      </c>
      <c r="M53" s="468">
        <v>2568.4</v>
      </c>
      <c r="N53" s="468">
        <f>+J53+K53+L53+M53</f>
        <v>26470.27</v>
      </c>
      <c r="O53" s="626">
        <f>+I53-N53</f>
        <v>93529.73</v>
      </c>
    </row>
    <row r="54" spans="1:15" x14ac:dyDescent="0.25">
      <c r="A54" s="496" t="s">
        <v>1352</v>
      </c>
      <c r="B54" s="497" t="s">
        <v>806</v>
      </c>
      <c r="C54" s="286" t="s">
        <v>1353</v>
      </c>
      <c r="D54" s="281" t="s">
        <v>1063</v>
      </c>
      <c r="E54" s="855">
        <v>45413</v>
      </c>
      <c r="F54" s="855">
        <v>45597</v>
      </c>
      <c r="G54" s="626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98">
        <f>+I54-N54</f>
        <v>49164.82</v>
      </c>
    </row>
    <row r="55" spans="1:15" x14ac:dyDescent="0.25">
      <c r="A55" s="466" t="s">
        <v>813</v>
      </c>
      <c r="B55" s="465"/>
      <c r="C55" s="492">
        <v>2</v>
      </c>
      <c r="D55" s="465"/>
      <c r="E55" s="500"/>
      <c r="F55" s="855"/>
      <c r="G55" s="697">
        <f>SUM(G53:G54)</f>
        <v>175000</v>
      </c>
      <c r="H55" s="696">
        <f t="shared" ref="H55" si="11">SUM(H54)</f>
        <v>0</v>
      </c>
      <c r="I55" s="697">
        <f t="shared" ref="I55:O55" si="12">SUM(I53:I54)</f>
        <v>175000</v>
      </c>
      <c r="J55" s="697">
        <f t="shared" si="12"/>
        <v>5022.5</v>
      </c>
      <c r="K55" s="697">
        <f t="shared" si="12"/>
        <v>19369.55</v>
      </c>
      <c r="L55" s="697">
        <f t="shared" si="12"/>
        <v>5320</v>
      </c>
      <c r="M55" s="697">
        <f>SUM(M53:M54)</f>
        <v>2593.4</v>
      </c>
      <c r="N55" s="697">
        <f t="shared" si="12"/>
        <v>32305.45</v>
      </c>
      <c r="O55" s="697">
        <f t="shared" si="12"/>
        <v>142694.54999999999</v>
      </c>
    </row>
    <row r="56" spans="1:15" x14ac:dyDescent="0.25">
      <c r="A56" s="490"/>
      <c r="B56" s="491"/>
      <c r="C56" s="492"/>
      <c r="D56" s="465"/>
      <c r="E56" s="856"/>
      <c r="F56" s="857"/>
      <c r="G56" s="626"/>
      <c r="H56" s="487"/>
      <c r="I56" s="457"/>
      <c r="J56" s="457"/>
      <c r="K56" s="457"/>
      <c r="L56" s="457"/>
      <c r="M56" s="457"/>
      <c r="N56" s="457"/>
      <c r="O56" s="457"/>
    </row>
    <row r="57" spans="1:15" x14ac:dyDescent="0.25">
      <c r="A57" s="453" t="s">
        <v>787</v>
      </c>
      <c r="B57" s="465"/>
      <c r="C57" s="492"/>
      <c r="D57" s="465"/>
      <c r="E57" s="1019"/>
      <c r="F57" s="857"/>
      <c r="G57" s="695"/>
      <c r="H57" s="696"/>
      <c r="I57" s="697"/>
      <c r="J57" s="697"/>
      <c r="K57" s="697"/>
      <c r="L57" s="698"/>
      <c r="M57" s="697"/>
      <c r="N57" s="697"/>
      <c r="O57" s="697"/>
    </row>
    <row r="58" spans="1:15" ht="30" x14ac:dyDescent="0.25">
      <c r="A58" s="280" t="s">
        <v>1396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ref="N58:N64" si="13">+J58+K58+L58+M58</f>
        <v>25398.49</v>
      </c>
      <c r="O58" s="498">
        <f t="shared" ref="O58:O64" si="14">+I58-N58</f>
        <v>99601.51</v>
      </c>
    </row>
    <row r="59" spans="1:15" ht="30" x14ac:dyDescent="0.25">
      <c r="A59" s="280" t="s">
        <v>1395</v>
      </c>
      <c r="B59" s="281" t="s">
        <v>806</v>
      </c>
      <c r="C59" s="282" t="s">
        <v>1357</v>
      </c>
      <c r="D59" s="281" t="s">
        <v>1063</v>
      </c>
      <c r="E59" s="855">
        <v>45444</v>
      </c>
      <c r="F59" s="855">
        <v>45627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3"/>
        <v>25398.49</v>
      </c>
      <c r="O59" s="498">
        <f t="shared" si="14"/>
        <v>99601.51</v>
      </c>
    </row>
    <row r="60" spans="1:15" ht="32.25" customHeight="1" x14ac:dyDescent="0.25">
      <c r="A60" s="280" t="s">
        <v>1354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3"/>
        <v>25398.49</v>
      </c>
      <c r="O60" s="498">
        <f t="shared" si="14"/>
        <v>99601.51</v>
      </c>
    </row>
    <row r="61" spans="1:15" ht="32.25" customHeight="1" x14ac:dyDescent="0.25">
      <c r="A61" s="280" t="s">
        <v>548</v>
      </c>
      <c r="B61" s="281" t="s">
        <v>806</v>
      </c>
      <c r="C61" s="282" t="s">
        <v>1355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3"/>
        <v>25398.49</v>
      </c>
      <c r="O61" s="498">
        <f t="shared" si="14"/>
        <v>99601.51</v>
      </c>
    </row>
    <row r="62" spans="1:15" ht="32.25" customHeight="1" x14ac:dyDescent="0.25">
      <c r="A62" s="280" t="s">
        <v>1356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125000</v>
      </c>
      <c r="H62" s="487">
        <v>0</v>
      </c>
      <c r="I62" s="1038">
        <v>125000</v>
      </c>
      <c r="J62" s="1038">
        <v>3587.5</v>
      </c>
      <c r="K62" s="1037">
        <v>17985.990000000002</v>
      </c>
      <c r="L62" s="1038">
        <v>3800</v>
      </c>
      <c r="M62" s="1038">
        <v>25</v>
      </c>
      <c r="N62" s="468">
        <f t="shared" si="13"/>
        <v>25398.49</v>
      </c>
      <c r="O62" s="498">
        <f t="shared" si="14"/>
        <v>99601.51</v>
      </c>
    </row>
    <row r="63" spans="1:15" ht="32.25" customHeight="1" x14ac:dyDescent="0.25">
      <c r="A63" s="280" t="s">
        <v>243</v>
      </c>
      <c r="B63" s="281" t="s">
        <v>806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487">
        <v>0</v>
      </c>
      <c r="I63" s="1038">
        <v>115000</v>
      </c>
      <c r="J63" s="1038">
        <v>3300.5</v>
      </c>
      <c r="K63" s="1038">
        <v>15633.74</v>
      </c>
      <c r="L63" s="1039">
        <v>3496</v>
      </c>
      <c r="M63" s="1038">
        <v>25</v>
      </c>
      <c r="N63" s="468">
        <f t="shared" si="13"/>
        <v>22455.239999999998</v>
      </c>
      <c r="O63" s="498">
        <f t="shared" si="14"/>
        <v>92544.760000000009</v>
      </c>
    </row>
    <row r="64" spans="1:15" ht="32.25" customHeight="1" x14ac:dyDescent="0.25">
      <c r="A64" s="280" t="s">
        <v>116</v>
      </c>
      <c r="B64" s="281" t="s">
        <v>807</v>
      </c>
      <c r="C64" s="282" t="s">
        <v>1357</v>
      </c>
      <c r="D64" s="281" t="s">
        <v>1063</v>
      </c>
      <c r="E64" s="855">
        <v>45413</v>
      </c>
      <c r="F64" s="855">
        <v>45597</v>
      </c>
      <c r="G64" s="626">
        <v>115000</v>
      </c>
      <c r="H64" s="627">
        <v>0</v>
      </c>
      <c r="I64" s="1038">
        <v>115000</v>
      </c>
      <c r="J64" s="1038">
        <v>3300.5</v>
      </c>
      <c r="K64" s="1038">
        <v>15204.88</v>
      </c>
      <c r="L64" s="1039">
        <v>3496</v>
      </c>
      <c r="M64" s="1038">
        <v>1740.46</v>
      </c>
      <c r="N64" s="468">
        <f t="shared" si="13"/>
        <v>23741.839999999997</v>
      </c>
      <c r="O64" s="626">
        <f t="shared" si="14"/>
        <v>91258.16</v>
      </c>
    </row>
    <row r="65" spans="1:15" x14ac:dyDescent="0.25">
      <c r="A65" s="466" t="s">
        <v>813</v>
      </c>
      <c r="B65" s="465"/>
      <c r="C65" s="492">
        <v>7</v>
      </c>
      <c r="D65" s="465"/>
      <c r="E65" s="500"/>
      <c r="F65" s="855"/>
      <c r="G65" s="697">
        <f>SUM(G58:G64)</f>
        <v>855000</v>
      </c>
      <c r="H65" s="696">
        <f t="shared" ref="H65" si="15">SUM(H64)</f>
        <v>0</v>
      </c>
      <c r="I65" s="697">
        <f t="shared" ref="I65:O65" si="16">SUM(I58:I64)</f>
        <v>855000</v>
      </c>
      <c r="J65" s="697">
        <f t="shared" si="16"/>
        <v>24538.5</v>
      </c>
      <c r="K65" s="697">
        <f t="shared" si="16"/>
        <v>120768.57000000002</v>
      </c>
      <c r="L65" s="697">
        <f t="shared" si="16"/>
        <v>25992</v>
      </c>
      <c r="M65" s="697">
        <f t="shared" si="16"/>
        <v>1890.46</v>
      </c>
      <c r="N65" s="697">
        <f t="shared" si="16"/>
        <v>173189.53</v>
      </c>
      <c r="O65" s="697">
        <f t="shared" si="16"/>
        <v>681810.47000000009</v>
      </c>
    </row>
    <row r="66" spans="1:15" x14ac:dyDescent="0.25">
      <c r="A66" s="466"/>
      <c r="B66" s="465"/>
      <c r="C66" s="492"/>
      <c r="D66" s="465"/>
      <c r="E66" s="500"/>
      <c r="F66" s="855"/>
      <c r="G66" s="697"/>
      <c r="H66" s="697"/>
      <c r="I66" s="697"/>
      <c r="J66" s="697"/>
      <c r="K66" s="697"/>
      <c r="L66" s="697"/>
      <c r="M66" s="697"/>
      <c r="N66" s="697"/>
      <c r="O66" s="697"/>
    </row>
    <row r="67" spans="1:15" x14ac:dyDescent="0.25">
      <c r="A67" s="466" t="s">
        <v>821</v>
      </c>
      <c r="B67" s="465"/>
      <c r="C67" s="492"/>
      <c r="D67" s="465"/>
      <c r="E67" s="500"/>
      <c r="F67" s="855"/>
      <c r="G67" s="695"/>
      <c r="H67" s="696"/>
      <c r="I67" s="697"/>
      <c r="J67" s="697"/>
      <c r="K67" s="697"/>
      <c r="L67" s="698"/>
      <c r="M67" s="697"/>
      <c r="N67" s="697"/>
      <c r="O67" s="697"/>
    </row>
    <row r="68" spans="1:15" ht="30.75" customHeight="1" x14ac:dyDescent="0.25">
      <c r="A68" s="286" t="s">
        <v>593</v>
      </c>
      <c r="B68" s="497" t="s">
        <v>806</v>
      </c>
      <c r="C68" s="282" t="s">
        <v>1361</v>
      </c>
      <c r="D68" s="281" t="s">
        <v>1063</v>
      </c>
      <c r="E68" s="855">
        <v>45413</v>
      </c>
      <c r="F68" s="855">
        <v>45597</v>
      </c>
      <c r="G68" s="626">
        <v>150000</v>
      </c>
      <c r="H68" s="487">
        <v>0</v>
      </c>
      <c r="I68" s="457">
        <v>150000</v>
      </c>
      <c r="J68" s="457">
        <v>4305</v>
      </c>
      <c r="K68" s="457">
        <v>23866.62</v>
      </c>
      <c r="L68" s="489">
        <v>4560</v>
      </c>
      <c r="M68" s="457">
        <v>25</v>
      </c>
      <c r="N68" s="457">
        <f>+J68+K68+L68+M68</f>
        <v>32756.62</v>
      </c>
      <c r="O68" s="457">
        <f>+I68-N68</f>
        <v>117243.38</v>
      </c>
    </row>
    <row r="69" spans="1:15" ht="16.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45413</v>
      </c>
      <c r="F69" s="855">
        <v>45597</v>
      </c>
      <c r="G69" s="626">
        <v>70000</v>
      </c>
      <c r="H69" s="487">
        <v>0</v>
      </c>
      <c r="I69" s="457">
        <v>70000</v>
      </c>
      <c r="J69" s="457">
        <v>2009</v>
      </c>
      <c r="K69" s="457">
        <v>5368.48</v>
      </c>
      <c r="L69" s="457">
        <v>2128</v>
      </c>
      <c r="M69" s="457">
        <v>25</v>
      </c>
      <c r="N69" s="457">
        <f>+J69+K69+L69+M69</f>
        <v>9530.48</v>
      </c>
      <c r="O69" s="457">
        <f>+I69-N69</f>
        <v>60469.520000000004</v>
      </c>
    </row>
    <row r="70" spans="1:15" ht="16.5" customHeight="1" x14ac:dyDescent="0.25">
      <c r="A70" s="286" t="s">
        <v>1288</v>
      </c>
      <c r="B70" s="497" t="s">
        <v>807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ht="16.5" customHeight="1" x14ac:dyDescent="0.25">
      <c r="A71" s="286" t="s">
        <v>1290</v>
      </c>
      <c r="B71" s="497" t="s">
        <v>1151</v>
      </c>
      <c r="C71" s="282" t="s">
        <v>417</v>
      </c>
      <c r="D71" s="281" t="s">
        <v>1063</v>
      </c>
      <c r="E71" s="855">
        <v>45383</v>
      </c>
      <c r="F71" s="855">
        <v>45566</v>
      </c>
      <c r="G71" s="626">
        <v>65000</v>
      </c>
      <c r="H71" s="487">
        <v>0</v>
      </c>
      <c r="I71" s="457">
        <v>65000</v>
      </c>
      <c r="J71" s="457">
        <v>1865.5</v>
      </c>
      <c r="K71" s="457">
        <v>4427.58</v>
      </c>
      <c r="L71" s="457">
        <v>1976</v>
      </c>
      <c r="M71" s="457">
        <v>25</v>
      </c>
      <c r="N71" s="457">
        <f>+J71+K71+L71+M71</f>
        <v>8294.08</v>
      </c>
      <c r="O71" s="457">
        <f>+I71-N71</f>
        <v>56705.919999999998</v>
      </c>
    </row>
    <row r="72" spans="1:15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350000</v>
      </c>
      <c r="H72" s="696">
        <f t="shared" ref="H72" si="17">SUM(H71)</f>
        <v>0</v>
      </c>
      <c r="I72" s="695">
        <f t="shared" ref="I72:O72" si="18">SUM(I68:I71)</f>
        <v>350000</v>
      </c>
      <c r="J72" s="695">
        <f t="shared" si="18"/>
        <v>10045</v>
      </c>
      <c r="K72" s="695">
        <f t="shared" si="18"/>
        <v>38090.26</v>
      </c>
      <c r="L72" s="695">
        <f t="shared" si="18"/>
        <v>10640</v>
      </c>
      <c r="M72" s="695">
        <f t="shared" si="18"/>
        <v>100</v>
      </c>
      <c r="N72" s="695">
        <f t="shared" si="18"/>
        <v>58875.26</v>
      </c>
      <c r="O72" s="695">
        <f t="shared" si="18"/>
        <v>291124.74</v>
      </c>
    </row>
    <row r="73" spans="1:15" x14ac:dyDescent="0.25">
      <c r="A73" s="490"/>
      <c r="B73" s="491"/>
      <c r="C73" s="492"/>
      <c r="D73" s="465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90" t="s">
        <v>629</v>
      </c>
      <c r="B74" s="491"/>
      <c r="C74" s="492"/>
      <c r="D74" s="492"/>
      <c r="E74" s="856"/>
      <c r="F74" s="857"/>
      <c r="G74" s="695"/>
      <c r="H74" s="495"/>
      <c r="I74" s="463"/>
      <c r="J74" s="463"/>
      <c r="K74" s="463"/>
      <c r="L74" s="463"/>
      <c r="M74" s="463"/>
      <c r="N74" s="463"/>
      <c r="O74" s="463"/>
    </row>
    <row r="75" spans="1:15" ht="15.75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45413</v>
      </c>
      <c r="F75" s="855">
        <v>45597</v>
      </c>
      <c r="G75" s="626">
        <v>185000</v>
      </c>
      <c r="H75" s="487">
        <v>0</v>
      </c>
      <c r="I75" s="457">
        <v>185000</v>
      </c>
      <c r="J75" s="457">
        <v>5309.5</v>
      </c>
      <c r="K75" s="457">
        <v>32099.49</v>
      </c>
      <c r="L75" s="457">
        <v>5624</v>
      </c>
      <c r="M75" s="457">
        <v>4557.26</v>
      </c>
      <c r="N75" s="457">
        <f>+J75+K75+L75+M75</f>
        <v>47590.250000000007</v>
      </c>
      <c r="O75" s="457">
        <f>+I75-N75</f>
        <v>137409.75</v>
      </c>
    </row>
    <row r="76" spans="1:15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696">
        <f t="shared" ref="H76:O76" si="19">SUM(H75)</f>
        <v>0</v>
      </c>
      <c r="I76" s="695">
        <f t="shared" si="19"/>
        <v>185000</v>
      </c>
      <c r="J76" s="695">
        <f t="shared" si="19"/>
        <v>5309.5</v>
      </c>
      <c r="K76" s="695">
        <f t="shared" si="19"/>
        <v>32099.49</v>
      </c>
      <c r="L76" s="695">
        <f t="shared" si="19"/>
        <v>5624</v>
      </c>
      <c r="M76" s="695">
        <f>SUM(M75)</f>
        <v>4557.26</v>
      </c>
      <c r="N76" s="695">
        <f t="shared" si="19"/>
        <v>47590.250000000007</v>
      </c>
      <c r="O76" s="695">
        <f t="shared" si="19"/>
        <v>137409.75</v>
      </c>
    </row>
    <row r="77" spans="1:15" x14ac:dyDescent="0.25">
      <c r="A77" s="490"/>
      <c r="B77" s="491"/>
      <c r="C77" s="492"/>
      <c r="D77" s="492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469" t="s">
        <v>1198</v>
      </c>
      <c r="B78" s="491"/>
      <c r="C78" s="625"/>
      <c r="D78" s="281"/>
      <c r="E78" s="856"/>
      <c r="F78" s="857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573" t="s">
        <v>946</v>
      </c>
      <c r="B79" s="602" t="s">
        <v>806</v>
      </c>
      <c r="C79" s="625" t="s">
        <v>945</v>
      </c>
      <c r="D79" s="281" t="s">
        <v>1063</v>
      </c>
      <c r="E79" s="855">
        <v>45413</v>
      </c>
      <c r="F79" s="855">
        <v>45597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573" t="s">
        <v>1397</v>
      </c>
      <c r="B80" s="602" t="s">
        <v>806</v>
      </c>
      <c r="C80" s="625" t="s">
        <v>157</v>
      </c>
      <c r="D80" s="281" t="s">
        <v>1063</v>
      </c>
      <c r="E80" s="855">
        <v>45444</v>
      </c>
      <c r="F80" s="855">
        <v>45627</v>
      </c>
      <c r="G80" s="626">
        <v>60000</v>
      </c>
      <c r="H80" s="487">
        <v>0</v>
      </c>
      <c r="I80" s="498">
        <v>60000</v>
      </c>
      <c r="J80" s="498">
        <v>1722</v>
      </c>
      <c r="K80" s="498">
        <v>3486.68</v>
      </c>
      <c r="L80" s="498">
        <v>1824</v>
      </c>
      <c r="M80" s="498">
        <v>25</v>
      </c>
      <c r="N80" s="457">
        <f>+J80+K80+L80+M80</f>
        <v>7057.68</v>
      </c>
      <c r="O80" s="457">
        <f>+I80-N80</f>
        <v>52942.32</v>
      </c>
    </row>
    <row r="81" spans="1:15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120000</v>
      </c>
      <c r="H81" s="696">
        <f t="shared" ref="H81" si="20">SUM(H80)</f>
        <v>0</v>
      </c>
      <c r="I81" s="695">
        <f t="shared" ref="I81:O81" si="21">SUM(I79:I80)</f>
        <v>120000</v>
      </c>
      <c r="J81" s="695">
        <f t="shared" si="21"/>
        <v>3444</v>
      </c>
      <c r="K81" s="695">
        <f t="shared" si="21"/>
        <v>6973.36</v>
      </c>
      <c r="L81" s="695">
        <f t="shared" si="21"/>
        <v>3648</v>
      </c>
      <c r="M81" s="695">
        <f>SUM(M79:M80)</f>
        <v>50</v>
      </c>
      <c r="N81" s="695">
        <f t="shared" si="21"/>
        <v>14115.36</v>
      </c>
      <c r="O81" s="695">
        <f t="shared" si="21"/>
        <v>105884.64</v>
      </c>
    </row>
    <row r="82" spans="1:15" x14ac:dyDescent="0.25">
      <c r="A82" s="490"/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x14ac:dyDescent="0.25">
      <c r="A83" s="490" t="s">
        <v>1421</v>
      </c>
      <c r="B83" s="491"/>
      <c r="C83" s="492"/>
      <c r="D83" s="492"/>
      <c r="E83" s="859"/>
      <c r="F83" s="860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9">
        <v>45505</v>
      </c>
      <c r="F84" s="860">
        <v>45323</v>
      </c>
      <c r="G84" s="626">
        <v>100000</v>
      </c>
      <c r="H84" s="487">
        <v>0</v>
      </c>
      <c r="I84" s="498">
        <v>100000</v>
      </c>
      <c r="J84" s="498">
        <v>2870</v>
      </c>
      <c r="K84" s="498">
        <v>11676.5</v>
      </c>
      <c r="L84" s="498">
        <v>3040</v>
      </c>
      <c r="M84" s="498">
        <v>5026.04</v>
      </c>
      <c r="N84" s="457">
        <v>22612.54</v>
      </c>
      <c r="O84" s="498">
        <v>77387.460000000006</v>
      </c>
    </row>
    <row r="85" spans="1:15" x14ac:dyDescent="0.25">
      <c r="A85" s="286"/>
      <c r="B85" s="281"/>
      <c r="C85" s="492">
        <v>1</v>
      </c>
      <c r="D85" s="281"/>
      <c r="E85" s="859"/>
      <c r="F85" s="860"/>
      <c r="G85" s="695">
        <v>100000</v>
      </c>
      <c r="H85" s="495">
        <v>0</v>
      </c>
      <c r="I85" s="494">
        <v>100000</v>
      </c>
      <c r="J85" s="494">
        <v>2870</v>
      </c>
      <c r="K85" s="494">
        <v>11676.5</v>
      </c>
      <c r="L85" s="494">
        <v>3040</v>
      </c>
      <c r="M85" s="494">
        <v>5026.04</v>
      </c>
      <c r="N85" s="463">
        <v>22612.54</v>
      </c>
      <c r="O85" s="494">
        <v>77387.460000000006</v>
      </c>
    </row>
    <row r="86" spans="1:15" x14ac:dyDescent="0.25">
      <c r="A86" s="286"/>
      <c r="B86" s="281"/>
      <c r="C86" s="282"/>
      <c r="D86" s="492"/>
      <c r="E86" s="859"/>
      <c r="F86" s="860"/>
      <c r="G86" s="695"/>
      <c r="H86" s="495"/>
      <c r="I86" s="494"/>
      <c r="J86" s="494"/>
      <c r="K86" s="494"/>
      <c r="L86" s="494"/>
      <c r="M86" s="494"/>
      <c r="N86" s="494"/>
      <c r="O86" s="494"/>
    </row>
    <row r="87" spans="1:15" x14ac:dyDescent="0.25">
      <c r="A87" s="490" t="s">
        <v>1398</v>
      </c>
      <c r="B87" s="491"/>
      <c r="C87" s="492"/>
      <c r="D87" s="492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5" ht="30" x14ac:dyDescent="0.25">
      <c r="A88" s="496" t="s">
        <v>1399</v>
      </c>
      <c r="B88" s="497" t="s">
        <v>807</v>
      </c>
      <c r="C88" s="282" t="s">
        <v>1400</v>
      </c>
      <c r="D88" s="282" t="s">
        <v>1281</v>
      </c>
      <c r="E88" s="855">
        <v>45444</v>
      </c>
      <c r="F88" s="855">
        <v>45627</v>
      </c>
      <c r="G88" s="626">
        <v>120000</v>
      </c>
      <c r="H88" s="487">
        <v>0</v>
      </c>
      <c r="I88" s="498">
        <v>120000</v>
      </c>
      <c r="J88" s="498">
        <v>3444</v>
      </c>
      <c r="K88" s="498">
        <v>16809.87</v>
      </c>
      <c r="L88" s="498">
        <v>3648</v>
      </c>
      <c r="M88" s="498">
        <v>4169.3999999999996</v>
      </c>
      <c r="N88" s="457">
        <v>28071.27</v>
      </c>
      <c r="O88" s="457">
        <f>+I88-N88</f>
        <v>91928.73</v>
      </c>
    </row>
    <row r="89" spans="1:15" x14ac:dyDescent="0.25">
      <c r="A89" s="466" t="s">
        <v>813</v>
      </c>
      <c r="B89" s="491"/>
      <c r="C89" s="492">
        <v>1</v>
      </c>
      <c r="D89" s="492"/>
      <c r="E89" s="859"/>
      <c r="F89" s="860"/>
      <c r="G89" s="695">
        <f>SUM(G88)</f>
        <v>120000</v>
      </c>
      <c r="H89" s="696">
        <f t="shared" ref="H89:N89" si="22">SUM(H88)</f>
        <v>0</v>
      </c>
      <c r="I89" s="695">
        <f t="shared" si="22"/>
        <v>120000</v>
      </c>
      <c r="J89" s="695">
        <f t="shared" si="22"/>
        <v>3444</v>
      </c>
      <c r="K89" s="695">
        <f t="shared" si="22"/>
        <v>16809.87</v>
      </c>
      <c r="L89" s="695">
        <f t="shared" si="22"/>
        <v>3648</v>
      </c>
      <c r="M89" s="695">
        <f>SUM(M88)</f>
        <v>4169.3999999999996</v>
      </c>
      <c r="N89" s="695">
        <f t="shared" si="22"/>
        <v>28071.27</v>
      </c>
      <c r="O89" s="695">
        <f>SUM(O88)</f>
        <v>91928.73</v>
      </c>
    </row>
    <row r="90" spans="1:15" ht="28.5" customHeight="1" x14ac:dyDescent="0.25">
      <c r="A90" s="1014" t="s">
        <v>978</v>
      </c>
      <c r="B90" s="1015"/>
      <c r="C90" s="492"/>
      <c r="D90" s="465"/>
      <c r="E90" s="1016"/>
      <c r="F90" s="860"/>
      <c r="G90" s="695"/>
      <c r="H90" s="696"/>
      <c r="I90" s="697"/>
      <c r="J90" s="697"/>
      <c r="K90" s="697"/>
      <c r="L90" s="698"/>
      <c r="M90" s="697"/>
      <c r="N90" s="697"/>
      <c r="O90" s="697"/>
    </row>
    <row r="91" spans="1:15" ht="16.5" customHeight="1" x14ac:dyDescent="0.25">
      <c r="A91" s="1017" t="s">
        <v>1045</v>
      </c>
      <c r="B91" s="1018" t="s">
        <v>806</v>
      </c>
      <c r="C91" s="282" t="s">
        <v>78</v>
      </c>
      <c r="D91" s="281" t="s">
        <v>1063</v>
      </c>
      <c r="E91" s="855">
        <v>45413</v>
      </c>
      <c r="F91" s="855">
        <v>45597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628">
        <v>2128</v>
      </c>
      <c r="M91" s="468">
        <v>25</v>
      </c>
      <c r="N91" s="468">
        <f t="shared" ref="N91:N96" si="23">+J91+K91+L91+M91</f>
        <v>9530.48</v>
      </c>
      <c r="O91" s="468">
        <f t="shared" ref="O91:O96" si="24">+I91-N91</f>
        <v>60469.520000000004</v>
      </c>
    </row>
    <row r="92" spans="1:15" ht="16.5" customHeight="1" x14ac:dyDescent="0.25">
      <c r="A92" s="286" t="s">
        <v>611</v>
      </c>
      <c r="B92" s="281" t="s">
        <v>807</v>
      </c>
      <c r="C92" s="282" t="s">
        <v>918</v>
      </c>
      <c r="D92" s="281" t="s">
        <v>1063</v>
      </c>
      <c r="E92" s="855">
        <v>45413</v>
      </c>
      <c r="F92" s="855">
        <v>45597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628">
        <v>2128</v>
      </c>
      <c r="M92" s="468">
        <v>25</v>
      </c>
      <c r="N92" s="468">
        <f t="shared" si="23"/>
        <v>9530.48</v>
      </c>
      <c r="O92" s="468">
        <f t="shared" si="24"/>
        <v>60469.520000000004</v>
      </c>
    </row>
    <row r="93" spans="1:15" ht="16.5" customHeight="1" x14ac:dyDescent="0.25">
      <c r="A93" s="286" t="s">
        <v>610</v>
      </c>
      <c r="B93" s="281" t="s">
        <v>806</v>
      </c>
      <c r="C93" s="282" t="s">
        <v>918</v>
      </c>
      <c r="D93" s="281" t="s">
        <v>1063</v>
      </c>
      <c r="E93" s="855">
        <v>45413</v>
      </c>
      <c r="F93" s="855">
        <v>45597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628">
        <v>2128</v>
      </c>
      <c r="M93" s="468">
        <v>25</v>
      </c>
      <c r="N93" s="468">
        <f t="shared" si="23"/>
        <v>9530.48</v>
      </c>
      <c r="O93" s="468">
        <f t="shared" si="24"/>
        <v>60469.520000000004</v>
      </c>
    </row>
    <row r="94" spans="1:15" ht="16.5" customHeight="1" x14ac:dyDescent="0.25">
      <c r="A94" s="286" t="s">
        <v>1292</v>
      </c>
      <c r="B94" s="281" t="s">
        <v>806</v>
      </c>
      <c r="C94" s="282" t="s">
        <v>918</v>
      </c>
      <c r="D94" s="281" t="s">
        <v>1063</v>
      </c>
      <c r="E94" s="855">
        <v>45383</v>
      </c>
      <c r="F94" s="855">
        <v>45566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628">
        <v>1976</v>
      </c>
      <c r="M94" s="468">
        <v>25</v>
      </c>
      <c r="N94" s="468">
        <f t="shared" si="23"/>
        <v>8294.08</v>
      </c>
      <c r="O94" s="468">
        <f t="shared" si="24"/>
        <v>56705.919999999998</v>
      </c>
    </row>
    <row r="95" spans="1:15" ht="16.5" customHeight="1" x14ac:dyDescent="0.25">
      <c r="A95" s="286" t="s">
        <v>1295</v>
      </c>
      <c r="B95" s="281" t="s">
        <v>1296</v>
      </c>
      <c r="C95" s="282" t="s">
        <v>918</v>
      </c>
      <c r="D95" s="281" t="s">
        <v>1063</v>
      </c>
      <c r="E95" s="855">
        <v>45383</v>
      </c>
      <c r="F95" s="855">
        <v>45566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628">
        <v>1976</v>
      </c>
      <c r="M95" s="468">
        <v>25</v>
      </c>
      <c r="N95" s="468">
        <f t="shared" si="23"/>
        <v>8294.08</v>
      </c>
      <c r="O95" s="468">
        <f t="shared" si="24"/>
        <v>56705.919999999998</v>
      </c>
    </row>
    <row r="96" spans="1:15" ht="16.5" customHeight="1" x14ac:dyDescent="0.25">
      <c r="A96" s="286" t="s">
        <v>1293</v>
      </c>
      <c r="B96" s="281" t="s">
        <v>807</v>
      </c>
      <c r="C96" s="282" t="s">
        <v>1294</v>
      </c>
      <c r="D96" s="281" t="s">
        <v>1063</v>
      </c>
      <c r="E96" s="855">
        <v>45383</v>
      </c>
      <c r="F96" s="855">
        <v>45566</v>
      </c>
      <c r="G96" s="626">
        <v>55000</v>
      </c>
      <c r="H96" s="627">
        <v>0</v>
      </c>
      <c r="I96" s="468">
        <v>55000</v>
      </c>
      <c r="J96" s="468">
        <v>1578.5</v>
      </c>
      <c r="K96" s="468">
        <v>2559.6799999999998</v>
      </c>
      <c r="L96" s="628">
        <v>1672</v>
      </c>
      <c r="M96" s="468">
        <v>25</v>
      </c>
      <c r="N96" s="468">
        <f t="shared" si="23"/>
        <v>5835.18</v>
      </c>
      <c r="O96" s="468">
        <f t="shared" si="24"/>
        <v>49164.82</v>
      </c>
    </row>
    <row r="97" spans="1:19" x14ac:dyDescent="0.25">
      <c r="A97" s="466" t="s">
        <v>813</v>
      </c>
      <c r="B97" s="465"/>
      <c r="C97" s="492">
        <v>6</v>
      </c>
      <c r="D97" s="465"/>
      <c r="E97" s="1016"/>
      <c r="F97" s="860"/>
      <c r="G97" s="695">
        <f>SUM(G91:G96)</f>
        <v>395000</v>
      </c>
      <c r="H97" s="696">
        <f t="shared" ref="H97" si="25">SUM(H96)</f>
        <v>0</v>
      </c>
      <c r="I97" s="695">
        <f t="shared" ref="I97:N97" si="26">SUM(I91:I96)</f>
        <v>395000</v>
      </c>
      <c r="J97" s="695">
        <f t="shared" si="26"/>
        <v>11336.5</v>
      </c>
      <c r="K97" s="695">
        <f t="shared" si="26"/>
        <v>27520.28</v>
      </c>
      <c r="L97" s="695">
        <f t="shared" si="26"/>
        <v>12008</v>
      </c>
      <c r="M97" s="695">
        <f>SUM(M91:M96)</f>
        <v>150</v>
      </c>
      <c r="N97" s="695">
        <f t="shared" si="26"/>
        <v>51014.78</v>
      </c>
      <c r="O97" s="695">
        <f>SUM(O91:O96)</f>
        <v>343985.22</v>
      </c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ht="33" customHeight="1" x14ac:dyDescent="0.25">
      <c r="A99" s="1014" t="s">
        <v>825</v>
      </c>
      <c r="B99" s="1015"/>
      <c r="C99" s="492"/>
      <c r="D99" s="465"/>
      <c r="E99" s="1019"/>
      <c r="F99" s="857"/>
      <c r="G99" s="695"/>
      <c r="H99" s="696"/>
      <c r="I99" s="697"/>
      <c r="J99" s="697"/>
      <c r="K99" s="697"/>
      <c r="L99" s="698"/>
      <c r="M99" s="697"/>
      <c r="N99" s="697"/>
      <c r="O99" s="697"/>
    </row>
    <row r="100" spans="1:19" ht="18.75" customHeight="1" x14ac:dyDescent="0.25">
      <c r="A100" s="496" t="s">
        <v>608</v>
      </c>
      <c r="B100" s="497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487">
        <v>0</v>
      </c>
      <c r="I100" s="457">
        <v>70000</v>
      </c>
      <c r="J100" s="457">
        <v>2009</v>
      </c>
      <c r="K100" s="457">
        <v>5368.48</v>
      </c>
      <c r="L100" s="489">
        <v>2128</v>
      </c>
      <c r="M100" s="457">
        <v>525</v>
      </c>
      <c r="N100" s="457">
        <f>+J100+K100+L100+M100</f>
        <v>10030.48</v>
      </c>
      <c r="O100" s="457">
        <f>+I100-N100</f>
        <v>59969.520000000004</v>
      </c>
    </row>
    <row r="101" spans="1:19" x14ac:dyDescent="0.25">
      <c r="A101" s="466" t="s">
        <v>813</v>
      </c>
      <c r="B101" s="465"/>
      <c r="C101" s="492">
        <v>1</v>
      </c>
      <c r="D101" s="465"/>
      <c r="E101" s="1016"/>
      <c r="F101" s="860"/>
      <c r="G101" s="695">
        <f>SUM(G100)</f>
        <v>70000</v>
      </c>
      <c r="H101" s="696">
        <f t="shared" ref="H101:O101" si="27">SUM(H100)</f>
        <v>0</v>
      </c>
      <c r="I101" s="695">
        <f t="shared" si="27"/>
        <v>70000</v>
      </c>
      <c r="J101" s="695">
        <f t="shared" si="27"/>
        <v>2009</v>
      </c>
      <c r="K101" s="695">
        <f t="shared" si="27"/>
        <v>5368.48</v>
      </c>
      <c r="L101" s="695">
        <f t="shared" si="27"/>
        <v>2128</v>
      </c>
      <c r="M101" s="695">
        <f>SUM(M100)</f>
        <v>525</v>
      </c>
      <c r="N101" s="695">
        <f>SUM(N100)</f>
        <v>10030.48</v>
      </c>
      <c r="O101" s="695">
        <f t="shared" si="27"/>
        <v>59969.520000000004</v>
      </c>
    </row>
    <row r="102" spans="1:19" x14ac:dyDescent="0.25">
      <c r="A102" s="490"/>
      <c r="B102" s="491"/>
      <c r="C102" s="492"/>
      <c r="D102" s="465"/>
      <c r="E102" s="859"/>
      <c r="F102" s="860"/>
      <c r="G102" s="695"/>
      <c r="H102" s="495"/>
      <c r="I102" s="494"/>
      <c r="J102" s="494"/>
      <c r="K102" s="494"/>
      <c r="L102" s="494"/>
      <c r="M102" s="494"/>
      <c r="N102" s="494"/>
      <c r="O102" s="494"/>
    </row>
    <row r="103" spans="1:19" x14ac:dyDescent="0.25">
      <c r="A103" s="490"/>
      <c r="B103" s="491"/>
      <c r="C103" s="492"/>
      <c r="D103" s="465"/>
      <c r="E103" s="856"/>
      <c r="F103" s="857"/>
      <c r="G103" s="695"/>
      <c r="H103" s="495"/>
      <c r="I103" s="463"/>
      <c r="J103" s="463"/>
      <c r="K103" s="463"/>
      <c r="L103" s="522"/>
      <c r="M103" s="463"/>
      <c r="N103" s="463"/>
      <c r="O103" s="463"/>
    </row>
    <row r="104" spans="1:19" x14ac:dyDescent="0.25">
      <c r="A104" s="490" t="s">
        <v>827</v>
      </c>
      <c r="B104" s="491"/>
      <c r="C104" s="492"/>
      <c r="D104" s="465"/>
      <c r="E104" s="710"/>
      <c r="F104" s="711"/>
      <c r="G104" s="695"/>
      <c r="H104" s="495"/>
      <c r="I104" s="463"/>
      <c r="J104" s="463"/>
      <c r="K104" s="463"/>
      <c r="L104" s="522"/>
      <c r="M104" s="463"/>
      <c r="N104" s="463"/>
      <c r="O104" s="463"/>
    </row>
    <row r="105" spans="1:19" ht="15" customHeight="1" x14ac:dyDescent="0.25">
      <c r="A105" s="286" t="s">
        <v>1042</v>
      </c>
      <c r="B105" s="281" t="s">
        <v>806</v>
      </c>
      <c r="C105" s="282" t="s">
        <v>1423</v>
      </c>
      <c r="D105" s="281" t="s">
        <v>1063</v>
      </c>
      <c r="E105" s="855">
        <v>45413</v>
      </c>
      <c r="F105" s="855">
        <v>45597</v>
      </c>
      <c r="G105" s="626">
        <v>120000</v>
      </c>
      <c r="H105" s="627">
        <v>0</v>
      </c>
      <c r="I105" s="468">
        <v>120000</v>
      </c>
      <c r="J105" s="468">
        <v>3444</v>
      </c>
      <c r="K105" s="468">
        <v>16809.87</v>
      </c>
      <c r="L105" s="468">
        <v>3648</v>
      </c>
      <c r="M105" s="468">
        <v>25</v>
      </c>
      <c r="N105" s="468">
        <f t="shared" ref="N105" si="28">+J105+K105+L105+M105</f>
        <v>23926.87</v>
      </c>
      <c r="O105" s="468">
        <f t="shared" ref="O105" si="29">+I105-N105</f>
        <v>96073.13</v>
      </c>
    </row>
    <row r="106" spans="1:19" ht="15" customHeight="1" x14ac:dyDescent="0.25">
      <c r="A106" s="286" t="s">
        <v>947</v>
      </c>
      <c r="B106" s="281" t="s">
        <v>806</v>
      </c>
      <c r="C106" s="282" t="s">
        <v>489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468">
        <v>2128</v>
      </c>
      <c r="M106" s="468">
        <v>1740.46</v>
      </c>
      <c r="N106" s="457">
        <f>+J106+K106+L106+M106</f>
        <v>10902.84</v>
      </c>
      <c r="O106" s="468">
        <f>+I106-N106</f>
        <v>59097.16</v>
      </c>
    </row>
    <row r="107" spans="1:19" ht="15" customHeight="1" x14ac:dyDescent="0.25">
      <c r="A107" s="286" t="s">
        <v>1031</v>
      </c>
      <c r="B107" s="281" t="s">
        <v>807</v>
      </c>
      <c r="C107" s="282" t="s">
        <v>1032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ref="N107:N126" si="30">+J107+K107+L107+M107</f>
        <v>9530.48</v>
      </c>
      <c r="O107" s="468">
        <f t="shared" ref="O107:O117" si="31">+I107-N107</f>
        <v>60469.520000000004</v>
      </c>
    </row>
    <row r="108" spans="1:19" ht="15" customHeight="1" x14ac:dyDescent="0.25">
      <c r="A108" s="286" t="s">
        <v>1162</v>
      </c>
      <c r="B108" s="281" t="s">
        <v>806</v>
      </c>
      <c r="C108" s="282" t="s">
        <v>1163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1041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5025.38</v>
      </c>
      <c r="L109" s="468">
        <v>2128</v>
      </c>
      <c r="M109" s="468">
        <v>1740.46</v>
      </c>
      <c r="N109" s="457">
        <f t="shared" si="30"/>
        <v>10902.84</v>
      </c>
      <c r="O109" s="468">
        <f t="shared" si="31"/>
        <v>59097.16</v>
      </c>
    </row>
    <row r="110" spans="1:19" ht="15" customHeight="1" x14ac:dyDescent="0.25">
      <c r="A110" s="286" t="s">
        <v>1043</v>
      </c>
      <c r="B110" s="281" t="s">
        <v>806</v>
      </c>
      <c r="C110" s="282" t="s">
        <v>1044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4682.29</v>
      </c>
      <c r="L110" s="468">
        <v>2128</v>
      </c>
      <c r="M110" s="468">
        <v>3455.92</v>
      </c>
      <c r="N110" s="457">
        <f t="shared" si="30"/>
        <v>12275.210000000001</v>
      </c>
      <c r="O110" s="468">
        <f t="shared" si="31"/>
        <v>57724.79</v>
      </c>
    </row>
    <row r="111" spans="1:19" ht="15" customHeight="1" x14ac:dyDescent="0.25">
      <c r="A111" s="286" t="s">
        <v>961</v>
      </c>
      <c r="B111" s="680" t="s">
        <v>807</v>
      </c>
      <c r="C111" s="282" t="s">
        <v>515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861">
        <v>5025.38</v>
      </c>
      <c r="L111" s="468">
        <v>2128</v>
      </c>
      <c r="M111" s="468">
        <v>1740.46</v>
      </c>
      <c r="N111" s="457">
        <f t="shared" si="30"/>
        <v>10902.84</v>
      </c>
      <c r="O111" s="468">
        <f t="shared" si="31"/>
        <v>59097.16</v>
      </c>
      <c r="P111" s="862"/>
      <c r="Q111" s="862"/>
      <c r="R111" s="862"/>
      <c r="S111" s="862"/>
    </row>
    <row r="112" spans="1:19" ht="15" customHeight="1" x14ac:dyDescent="0.25">
      <c r="A112" s="286" t="s">
        <v>1087</v>
      </c>
      <c r="B112" s="680" t="s">
        <v>807</v>
      </c>
      <c r="C112" s="282" t="s">
        <v>78</v>
      </c>
      <c r="D112" s="281" t="s">
        <v>1063</v>
      </c>
      <c r="E112" s="855">
        <v>45505</v>
      </c>
      <c r="F112" s="855">
        <v>45689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468">
        <v>2128</v>
      </c>
      <c r="M112" s="468">
        <v>25</v>
      </c>
      <c r="N112" s="457">
        <f t="shared" si="30"/>
        <v>9530.48</v>
      </c>
      <c r="O112" s="468">
        <f t="shared" si="31"/>
        <v>60469.520000000004</v>
      </c>
      <c r="P112" s="862"/>
      <c r="Q112" s="862"/>
      <c r="R112" s="862"/>
      <c r="S112" s="862"/>
    </row>
    <row r="113" spans="1:15" ht="15.75" customHeight="1" x14ac:dyDescent="0.25">
      <c r="A113" s="286" t="s">
        <v>920</v>
      </c>
      <c r="B113" s="281" t="s">
        <v>807</v>
      </c>
      <c r="C113" s="282" t="s">
        <v>78</v>
      </c>
      <c r="D113" s="281" t="s">
        <v>1063</v>
      </c>
      <c r="E113" s="855">
        <v>45413</v>
      </c>
      <c r="F113" s="855">
        <v>45597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628">
        <v>2128</v>
      </c>
      <c r="M113" s="468">
        <v>25</v>
      </c>
      <c r="N113" s="457">
        <f t="shared" si="30"/>
        <v>9530.48</v>
      </c>
      <c r="O113" s="468">
        <f t="shared" si="31"/>
        <v>60469.520000000004</v>
      </c>
    </row>
    <row r="114" spans="1:15" ht="15" customHeight="1" x14ac:dyDescent="0.25">
      <c r="A114" s="286" t="s">
        <v>725</v>
      </c>
      <c r="B114" s="281" t="s">
        <v>806</v>
      </c>
      <c r="C114" s="282" t="s">
        <v>117</v>
      </c>
      <c r="D114" s="281" t="s">
        <v>1063</v>
      </c>
      <c r="E114" s="855">
        <v>45413</v>
      </c>
      <c r="F114" s="855">
        <v>45597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468">
        <v>2128</v>
      </c>
      <c r="M114" s="468">
        <v>25</v>
      </c>
      <c r="N114" s="457">
        <f t="shared" si="30"/>
        <v>9530.48</v>
      </c>
      <c r="O114" s="468">
        <f t="shared" si="31"/>
        <v>60469.520000000004</v>
      </c>
    </row>
    <row r="115" spans="1:15" ht="15" customHeight="1" x14ac:dyDescent="0.25">
      <c r="A115" s="286" t="s">
        <v>919</v>
      </c>
      <c r="B115" s="281" t="s">
        <v>807</v>
      </c>
      <c r="C115" s="282" t="s">
        <v>117</v>
      </c>
      <c r="D115" s="281" t="s">
        <v>1063</v>
      </c>
      <c r="E115" s="855">
        <v>45413</v>
      </c>
      <c r="F115" s="855">
        <v>45597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468">
        <v>2128</v>
      </c>
      <c r="M115" s="468">
        <v>25</v>
      </c>
      <c r="N115" s="457">
        <f t="shared" si="30"/>
        <v>9530.48</v>
      </c>
      <c r="O115" s="468">
        <f t="shared" si="31"/>
        <v>60469.520000000004</v>
      </c>
    </row>
    <row r="116" spans="1:15" ht="13.5" customHeight="1" x14ac:dyDescent="0.25">
      <c r="A116" s="286" t="s">
        <v>574</v>
      </c>
      <c r="B116" s="281" t="s">
        <v>806</v>
      </c>
      <c r="C116" s="282" t="s">
        <v>918</v>
      </c>
      <c r="D116" s="281" t="s">
        <v>1063</v>
      </c>
      <c r="E116" s="855">
        <v>45413</v>
      </c>
      <c r="F116" s="855">
        <v>45597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468">
        <v>2128</v>
      </c>
      <c r="M116" s="468">
        <v>25</v>
      </c>
      <c r="N116" s="457">
        <f t="shared" si="30"/>
        <v>9530.48</v>
      </c>
      <c r="O116" s="468">
        <f t="shared" si="31"/>
        <v>60469.520000000004</v>
      </c>
    </row>
    <row r="117" spans="1:15" ht="15" customHeight="1" x14ac:dyDescent="0.25">
      <c r="A117" s="286" t="s">
        <v>1298</v>
      </c>
      <c r="B117" s="281" t="s">
        <v>807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1"/>
        <v>56705.919999999998</v>
      </c>
    </row>
    <row r="118" spans="1:15" ht="15" customHeight="1" x14ac:dyDescent="0.25">
      <c r="A118" s="286" t="s">
        <v>1304</v>
      </c>
      <c r="B118" s="281" t="s">
        <v>806</v>
      </c>
      <c r="C118" s="282" t="s">
        <v>417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>+I118-N118</f>
        <v>56705.919999999998</v>
      </c>
    </row>
    <row r="119" spans="1:15" ht="15" customHeight="1" x14ac:dyDescent="0.25">
      <c r="A119" s="286" t="s">
        <v>1305</v>
      </c>
      <c r="B119" s="281" t="s">
        <v>806</v>
      </c>
      <c r="C119" s="282" t="s">
        <v>417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ref="O119:O134" si="32">+I119-N119</f>
        <v>56705.919999999998</v>
      </c>
    </row>
    <row r="120" spans="1:15" ht="15" customHeight="1" x14ac:dyDescent="0.25">
      <c r="A120" s="286" t="s">
        <v>1306</v>
      </c>
      <c r="B120" s="281" t="s">
        <v>1296</v>
      </c>
      <c r="C120" s="282" t="s">
        <v>417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5" customHeight="1" x14ac:dyDescent="0.25">
      <c r="A121" s="286" t="s">
        <v>1307</v>
      </c>
      <c r="B121" s="281" t="s">
        <v>807</v>
      </c>
      <c r="C121" s="282" t="s">
        <v>417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5" customHeight="1" x14ac:dyDescent="0.25">
      <c r="A122" s="286" t="s">
        <v>1308</v>
      </c>
      <c r="B122" s="281" t="s">
        <v>806</v>
      </c>
      <c r="C122" s="282" t="s">
        <v>417</v>
      </c>
      <c r="D122" s="281" t="s">
        <v>1063</v>
      </c>
      <c r="E122" s="855">
        <v>45383</v>
      </c>
      <c r="F122" s="855">
        <v>45566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 t="shared" si="30"/>
        <v>8294.08</v>
      </c>
      <c r="O122" s="468">
        <f t="shared" si="32"/>
        <v>56705.919999999998</v>
      </c>
    </row>
    <row r="123" spans="1:15" ht="15" customHeight="1" x14ac:dyDescent="0.25">
      <c r="A123" s="286" t="s">
        <v>1310</v>
      </c>
      <c r="B123" s="281" t="s">
        <v>1296</v>
      </c>
      <c r="C123" s="282" t="s">
        <v>918</v>
      </c>
      <c r="D123" s="281" t="s">
        <v>1063</v>
      </c>
      <c r="E123" s="855">
        <v>45383</v>
      </c>
      <c r="F123" s="855">
        <v>45566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57">
        <f t="shared" si="30"/>
        <v>8294.08</v>
      </c>
      <c r="O123" s="468">
        <f t="shared" si="32"/>
        <v>56705.919999999998</v>
      </c>
    </row>
    <row r="124" spans="1:15" ht="15" customHeight="1" x14ac:dyDescent="0.25">
      <c r="A124" s="286" t="s">
        <v>1311</v>
      </c>
      <c r="B124" s="281" t="s">
        <v>806</v>
      </c>
      <c r="C124" s="282" t="s">
        <v>918</v>
      </c>
      <c r="D124" s="281" t="s">
        <v>1063</v>
      </c>
      <c r="E124" s="855">
        <v>45383</v>
      </c>
      <c r="F124" s="855">
        <v>45566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57">
        <f t="shared" si="30"/>
        <v>8294.08</v>
      </c>
      <c r="O124" s="468">
        <f t="shared" si="32"/>
        <v>56705.919999999998</v>
      </c>
    </row>
    <row r="125" spans="1:15" ht="15" customHeight="1" x14ac:dyDescent="0.25">
      <c r="A125" s="286" t="s">
        <v>1312</v>
      </c>
      <c r="B125" s="281" t="s">
        <v>807</v>
      </c>
      <c r="C125" s="282" t="s">
        <v>918</v>
      </c>
      <c r="D125" s="281" t="s">
        <v>1063</v>
      </c>
      <c r="E125" s="855">
        <v>45383</v>
      </c>
      <c r="F125" s="855">
        <v>45566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468">
        <v>25</v>
      </c>
      <c r="N125" s="457">
        <f t="shared" si="30"/>
        <v>8294.08</v>
      </c>
      <c r="O125" s="468">
        <f t="shared" si="32"/>
        <v>56705.919999999998</v>
      </c>
    </row>
    <row r="126" spans="1:15" ht="16.5" customHeight="1" x14ac:dyDescent="0.25">
      <c r="A126" s="286" t="s">
        <v>1313</v>
      </c>
      <c r="B126" s="281" t="s">
        <v>807</v>
      </c>
      <c r="C126" s="282" t="s">
        <v>918</v>
      </c>
      <c r="D126" s="281" t="s">
        <v>1063</v>
      </c>
      <c r="E126" s="855">
        <v>45383</v>
      </c>
      <c r="F126" s="855">
        <v>45566</v>
      </c>
      <c r="G126" s="626">
        <v>65000</v>
      </c>
      <c r="H126" s="627">
        <v>0</v>
      </c>
      <c r="I126" s="468">
        <v>65000</v>
      </c>
      <c r="J126" s="468">
        <v>1865.5</v>
      </c>
      <c r="K126" s="468">
        <v>4427.58</v>
      </c>
      <c r="L126" s="468">
        <v>1976</v>
      </c>
      <c r="M126" s="468">
        <v>25</v>
      </c>
      <c r="N126" s="457">
        <f t="shared" si="30"/>
        <v>8294.08</v>
      </c>
      <c r="O126" s="468">
        <f t="shared" si="32"/>
        <v>56705.919999999998</v>
      </c>
    </row>
    <row r="127" spans="1:15" ht="16.5" customHeight="1" x14ac:dyDescent="0.25">
      <c r="A127" s="286" t="s">
        <v>1362</v>
      </c>
      <c r="B127" s="281" t="s">
        <v>806</v>
      </c>
      <c r="C127" s="282" t="s">
        <v>823</v>
      </c>
      <c r="D127" s="281" t="s">
        <v>1063</v>
      </c>
      <c r="E127" s="855">
        <v>45413</v>
      </c>
      <c r="F127" s="855">
        <v>45597</v>
      </c>
      <c r="G127" s="626">
        <v>65000</v>
      </c>
      <c r="H127" s="627">
        <v>0</v>
      </c>
      <c r="I127" s="468">
        <v>65000</v>
      </c>
      <c r="J127" s="468">
        <v>1865.5</v>
      </c>
      <c r="K127" s="468">
        <v>4427.58</v>
      </c>
      <c r="L127" s="468">
        <v>1976</v>
      </c>
      <c r="M127" s="468">
        <v>25</v>
      </c>
      <c r="N127" s="457">
        <f>+J127+K127+L127+M127</f>
        <v>8294.08</v>
      </c>
      <c r="O127" s="468">
        <f>+I127-N127</f>
        <v>56705.919999999998</v>
      </c>
    </row>
    <row r="128" spans="1:15" x14ac:dyDescent="0.25">
      <c r="A128" s="286" t="s">
        <v>1401</v>
      </c>
      <c r="B128" s="281" t="s">
        <v>807</v>
      </c>
      <c r="C128" s="280" t="s">
        <v>417</v>
      </c>
      <c r="D128" s="281" t="s">
        <v>1063</v>
      </c>
      <c r="E128" s="855">
        <v>44348</v>
      </c>
      <c r="F128" s="855">
        <v>45627</v>
      </c>
      <c r="G128" s="626">
        <v>65000</v>
      </c>
      <c r="H128" s="627">
        <v>0</v>
      </c>
      <c r="I128" s="468">
        <v>65000</v>
      </c>
      <c r="J128" s="468">
        <v>1865.5</v>
      </c>
      <c r="K128" s="468">
        <v>4427.58</v>
      </c>
      <c r="L128" s="468">
        <v>1976</v>
      </c>
      <c r="M128" s="468">
        <v>25</v>
      </c>
      <c r="N128" s="468">
        <f t="shared" ref="N128" si="33">+J128+K128+L128+M128</f>
        <v>8294.08</v>
      </c>
      <c r="O128" s="468">
        <f t="shared" ref="O128" si="34">+I128-N128</f>
        <v>56705.919999999998</v>
      </c>
    </row>
    <row r="129" spans="1:16" ht="16.5" customHeight="1" x14ac:dyDescent="0.25">
      <c r="A129" s="286" t="s">
        <v>1363</v>
      </c>
      <c r="B129" s="281" t="s">
        <v>806</v>
      </c>
      <c r="C129" s="282" t="s">
        <v>918</v>
      </c>
      <c r="D129" s="281" t="s">
        <v>1063</v>
      </c>
      <c r="E129" s="855">
        <v>45413</v>
      </c>
      <c r="F129" s="855">
        <v>45597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68">
        <f>+J129+K129+L129+M129</f>
        <v>8294.08</v>
      </c>
      <c r="O129" s="468">
        <f>+I129-N129</f>
        <v>56705.919999999998</v>
      </c>
    </row>
    <row r="130" spans="1:16" x14ac:dyDescent="0.25">
      <c r="A130" s="286" t="s">
        <v>1409</v>
      </c>
      <c r="B130" s="281" t="s">
        <v>807</v>
      </c>
      <c r="C130" s="282" t="s">
        <v>918</v>
      </c>
      <c r="D130" s="281" t="s">
        <v>1063</v>
      </c>
      <c r="E130" s="855">
        <v>45474</v>
      </c>
      <c r="F130" s="855">
        <v>45658</v>
      </c>
      <c r="G130" s="626">
        <v>65000</v>
      </c>
      <c r="H130" s="627">
        <v>0</v>
      </c>
      <c r="I130" s="468">
        <v>65000</v>
      </c>
      <c r="J130" s="468">
        <v>1865.5</v>
      </c>
      <c r="K130" s="468">
        <v>4427.58</v>
      </c>
      <c r="L130" s="468">
        <v>1976</v>
      </c>
      <c r="M130" s="468">
        <v>25</v>
      </c>
      <c r="N130" s="468">
        <f t="shared" ref="N130" si="35">+J130+K130+L130+M130</f>
        <v>8294.08</v>
      </c>
      <c r="O130" s="468">
        <f t="shared" ref="O130" si="36">+I130-N130</f>
        <v>56705.919999999998</v>
      </c>
    </row>
    <row r="131" spans="1:16" ht="26.25" customHeight="1" x14ac:dyDescent="0.25">
      <c r="A131" s="286" t="s">
        <v>1410</v>
      </c>
      <c r="B131" s="281" t="s">
        <v>806</v>
      </c>
      <c r="C131" s="1040" t="s">
        <v>1357</v>
      </c>
      <c r="D131" s="281" t="s">
        <v>1063</v>
      </c>
      <c r="E131" s="855">
        <v>45413</v>
      </c>
      <c r="F131" s="855">
        <v>45597</v>
      </c>
      <c r="G131" s="626">
        <v>125000</v>
      </c>
      <c r="H131" s="627">
        <v>0</v>
      </c>
      <c r="I131" s="468">
        <v>125000</v>
      </c>
      <c r="J131" s="1038">
        <v>3587.5</v>
      </c>
      <c r="K131" s="1037">
        <v>17985.990000000002</v>
      </c>
      <c r="L131" s="1038">
        <v>3800</v>
      </c>
      <c r="M131" s="1038">
        <v>25</v>
      </c>
      <c r="N131" s="1038">
        <v>25398.49</v>
      </c>
      <c r="O131" s="1038">
        <v>99601.51</v>
      </c>
    </row>
    <row r="132" spans="1:16" ht="15" customHeight="1" x14ac:dyDescent="0.25">
      <c r="A132" s="286" t="s">
        <v>948</v>
      </c>
      <c r="B132" s="281" t="s">
        <v>806</v>
      </c>
      <c r="C132" s="282" t="s">
        <v>529</v>
      </c>
      <c r="D132" s="281" t="s">
        <v>1063</v>
      </c>
      <c r="E132" s="855">
        <v>45413</v>
      </c>
      <c r="F132" s="855">
        <v>45597</v>
      </c>
      <c r="G132" s="626">
        <v>45000</v>
      </c>
      <c r="H132" s="627">
        <v>0</v>
      </c>
      <c r="I132" s="468">
        <v>45000</v>
      </c>
      <c r="J132" s="468">
        <v>1291.5</v>
      </c>
      <c r="K132" s="468">
        <v>1148.33</v>
      </c>
      <c r="L132" s="468">
        <v>1368</v>
      </c>
      <c r="M132" s="468">
        <v>25</v>
      </c>
      <c r="N132" s="457">
        <f t="shared" ref="N132:N136" si="37">+J132+K132+L132+M132</f>
        <v>3832.83</v>
      </c>
      <c r="O132" s="468">
        <f t="shared" si="32"/>
        <v>41167.17</v>
      </c>
    </row>
    <row r="133" spans="1:16" x14ac:dyDescent="0.25">
      <c r="A133" s="286" t="s">
        <v>726</v>
      </c>
      <c r="B133" s="281" t="s">
        <v>806</v>
      </c>
      <c r="C133" s="280" t="s">
        <v>449</v>
      </c>
      <c r="D133" s="281" t="s">
        <v>1063</v>
      </c>
      <c r="E133" s="855">
        <v>45413</v>
      </c>
      <c r="F133" s="855">
        <v>45597</v>
      </c>
      <c r="G133" s="626">
        <v>45000</v>
      </c>
      <c r="H133" s="627">
        <v>0</v>
      </c>
      <c r="I133" s="468">
        <v>45000</v>
      </c>
      <c r="J133" s="468">
        <v>1291.5</v>
      </c>
      <c r="K133" s="468">
        <v>891.01</v>
      </c>
      <c r="L133" s="468">
        <v>1368</v>
      </c>
      <c r="M133" s="468">
        <v>1740.46</v>
      </c>
      <c r="N133" s="457">
        <f t="shared" si="37"/>
        <v>5290.97</v>
      </c>
      <c r="O133" s="468">
        <f t="shared" si="32"/>
        <v>39709.03</v>
      </c>
    </row>
    <row r="134" spans="1:16" ht="15" customHeight="1" x14ac:dyDescent="0.25">
      <c r="A134" s="286" t="s">
        <v>1299</v>
      </c>
      <c r="B134" s="281" t="s">
        <v>1296</v>
      </c>
      <c r="C134" s="282" t="s">
        <v>1358</v>
      </c>
      <c r="D134" s="281" t="s">
        <v>1063</v>
      </c>
      <c r="E134" s="855">
        <v>45383</v>
      </c>
      <c r="F134" s="855">
        <v>45566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468">
        <v>1322.4</v>
      </c>
      <c r="M134" s="468">
        <v>25</v>
      </c>
      <c r="N134" s="457">
        <f t="shared" si="37"/>
        <v>3532.4700000000003</v>
      </c>
      <c r="O134" s="468">
        <f t="shared" si="32"/>
        <v>39967.53</v>
      </c>
    </row>
    <row r="135" spans="1:16" ht="15" customHeight="1" x14ac:dyDescent="0.25">
      <c r="A135" s="286" t="s">
        <v>1301</v>
      </c>
      <c r="B135" s="281" t="s">
        <v>1296</v>
      </c>
      <c r="C135" s="282" t="s">
        <v>1358</v>
      </c>
      <c r="D135" s="281" t="s">
        <v>1063</v>
      </c>
      <c r="E135" s="855">
        <v>45383</v>
      </c>
      <c r="F135" s="855">
        <v>45566</v>
      </c>
      <c r="G135" s="626">
        <v>43500</v>
      </c>
      <c r="H135" s="627">
        <v>0</v>
      </c>
      <c r="I135" s="468">
        <v>43500</v>
      </c>
      <c r="J135" s="468">
        <v>1248.45</v>
      </c>
      <c r="K135" s="468">
        <v>936.62</v>
      </c>
      <c r="L135" s="468">
        <v>1322.4</v>
      </c>
      <c r="M135" s="468">
        <v>25</v>
      </c>
      <c r="N135" s="457">
        <f t="shared" si="37"/>
        <v>3532.4700000000003</v>
      </c>
      <c r="O135" s="468">
        <f>+I135-N135</f>
        <v>39967.53</v>
      </c>
    </row>
    <row r="136" spans="1:16" ht="15" customHeight="1" x14ac:dyDescent="0.25">
      <c r="A136" s="286" t="s">
        <v>1302</v>
      </c>
      <c r="B136" s="281" t="s">
        <v>1296</v>
      </c>
      <c r="C136" s="282" t="s">
        <v>1359</v>
      </c>
      <c r="D136" s="281" t="s">
        <v>1063</v>
      </c>
      <c r="E136" s="855">
        <v>45383</v>
      </c>
      <c r="F136" s="855">
        <v>45566</v>
      </c>
      <c r="G136" s="626">
        <v>43500</v>
      </c>
      <c r="H136" s="627">
        <v>0</v>
      </c>
      <c r="I136" s="468">
        <v>43500</v>
      </c>
      <c r="J136" s="468">
        <v>1248.45</v>
      </c>
      <c r="K136" s="468">
        <v>936.62</v>
      </c>
      <c r="L136" s="468">
        <v>1322.4</v>
      </c>
      <c r="M136" s="468">
        <v>25</v>
      </c>
      <c r="N136" s="457">
        <f t="shared" si="37"/>
        <v>3532.4700000000003</v>
      </c>
      <c r="O136" s="468">
        <f>+I136-N136</f>
        <v>39967.53</v>
      </c>
    </row>
    <row r="137" spans="1:16" x14ac:dyDescent="0.25">
      <c r="A137" s="490" t="s">
        <v>813</v>
      </c>
      <c r="B137" s="491"/>
      <c r="C137" s="492">
        <v>32</v>
      </c>
      <c r="D137" s="570"/>
      <c r="E137" s="570"/>
      <c r="F137" s="570"/>
      <c r="G137" s="695">
        <f>SUM(G105:G136)</f>
        <v>2145500</v>
      </c>
      <c r="H137" s="696">
        <v>0</v>
      </c>
      <c r="I137" s="695">
        <f t="shared" ref="I137:O137" si="38">SUM(I105:I136)</f>
        <v>2145500</v>
      </c>
      <c r="J137" s="695">
        <f t="shared" si="38"/>
        <v>61575.849999999991</v>
      </c>
      <c r="K137" s="695">
        <f t="shared" si="38"/>
        <v>158968.96999999994</v>
      </c>
      <c r="L137" s="695">
        <f t="shared" si="38"/>
        <v>65223.200000000004</v>
      </c>
      <c r="M137" s="695">
        <f t="shared" si="38"/>
        <v>11092.759999999998</v>
      </c>
      <c r="N137" s="695">
        <f t="shared" si="38"/>
        <v>296860.77999999974</v>
      </c>
      <c r="O137" s="695">
        <f t="shared" si="38"/>
        <v>1848639.2199999997</v>
      </c>
    </row>
    <row r="138" spans="1:16" x14ac:dyDescent="0.25">
      <c r="A138" s="490"/>
      <c r="B138" s="491"/>
      <c r="C138" s="492"/>
      <c r="D138" s="281"/>
      <c r="E138" s="281"/>
      <c r="F138" s="281"/>
      <c r="G138" s="695"/>
      <c r="H138" s="495"/>
      <c r="I138" s="494"/>
      <c r="J138" s="494"/>
      <c r="K138" s="494"/>
      <c r="L138" s="494"/>
      <c r="M138" s="494"/>
      <c r="N138" s="494"/>
      <c r="O138" s="494"/>
    </row>
    <row r="139" spans="1:16" ht="23.25" customHeight="1" x14ac:dyDescent="0.25">
      <c r="A139" s="1052" t="s">
        <v>865</v>
      </c>
      <c r="B139" s="1053"/>
      <c r="C139" s="1054">
        <f>+C16+C20+C26+C31+C36+C40+C44+C50+C55+C65+C72+C76+C81+C89+C97+C101+C137+C85</f>
        <v>71</v>
      </c>
      <c r="D139" s="1054"/>
      <c r="E139" s="1054"/>
      <c r="F139" s="1054"/>
      <c r="G139" s="1055">
        <f>+G16+G20+G26+G31+G36+G40+G44+G50+G55+G65+G72+G76+G81+G85+G89+G97+G101+G137</f>
        <v>5750500</v>
      </c>
      <c r="H139" s="1056">
        <v>0</v>
      </c>
      <c r="I139" s="1055">
        <f t="shared" ref="I139:O139" si="39">+I16+I20+I26+I31+I36+I40+I44+I50+I55+I65+I72+I76+I81+I85+I89+I97+I101+I137</f>
        <v>5750500</v>
      </c>
      <c r="J139" s="1055">
        <f t="shared" si="39"/>
        <v>165039.34999999998</v>
      </c>
      <c r="K139" s="1055">
        <f t="shared" si="39"/>
        <v>576412.86</v>
      </c>
      <c r="L139" s="1055">
        <f t="shared" si="39"/>
        <v>174815.2</v>
      </c>
      <c r="M139" s="1055">
        <f t="shared" si="39"/>
        <v>63956.600000000006</v>
      </c>
      <c r="N139" s="1055">
        <f t="shared" si="39"/>
        <v>980223.90999999968</v>
      </c>
      <c r="O139" s="1055">
        <f t="shared" si="39"/>
        <v>4770276.09</v>
      </c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L140" s="259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660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660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660"/>
      <c r="M151" s="660"/>
      <c r="N151" s="660"/>
      <c r="O151" s="660"/>
      <c r="P151" s="259"/>
    </row>
    <row r="152" spans="1:16" x14ac:dyDescent="0.25">
      <c r="A152" s="537"/>
      <c r="B152" s="537"/>
      <c r="C152" s="537"/>
      <c r="D152" s="692"/>
      <c r="E152" s="692"/>
      <c r="F152" s="692"/>
      <c r="G152" s="537"/>
      <c r="H152" s="537"/>
      <c r="I152" s="537"/>
      <c r="J152" s="537"/>
      <c r="K152" s="537"/>
      <c r="L152" s="537"/>
      <c r="M152" s="537"/>
      <c r="N152" s="537"/>
      <c r="O152" s="537"/>
      <c r="P152" s="537"/>
    </row>
    <row r="153" spans="1:16" x14ac:dyDescent="0.25">
      <c r="A153" s="537"/>
      <c r="B153" s="537"/>
      <c r="C153" s="537"/>
      <c r="D153" s="692"/>
      <c r="E153" s="692"/>
      <c r="F153" s="692"/>
      <c r="G153" s="537"/>
      <c r="H153" s="537"/>
      <c r="I153" s="537"/>
      <c r="J153" s="537"/>
      <c r="K153" s="537"/>
      <c r="L153" s="537"/>
      <c r="M153" s="537"/>
      <c r="N153" s="537"/>
      <c r="O153" s="537"/>
      <c r="P153" s="537"/>
    </row>
    <row r="154" spans="1:16" x14ac:dyDescent="0.25">
      <c r="A154" s="537"/>
      <c r="B154" s="537"/>
      <c r="C154" s="537"/>
      <c r="D154" s="537"/>
      <c r="E154" s="537"/>
      <c r="F154" s="537"/>
      <c r="G154" s="537"/>
      <c r="H154" s="537"/>
      <c r="I154" s="537"/>
      <c r="J154" s="537"/>
      <c r="K154" s="537"/>
      <c r="L154" s="537"/>
      <c r="M154" s="537"/>
      <c r="N154" s="537"/>
      <c r="O154" s="537"/>
      <c r="P154" s="537"/>
    </row>
    <row r="155" spans="1:16" x14ac:dyDescent="0.25">
      <c r="A155" s="542" t="s">
        <v>1373</v>
      </c>
      <c r="B155" s="542"/>
      <c r="C155" s="542"/>
      <c r="D155" s="691"/>
      <c r="E155" s="691"/>
      <c r="F155" s="691"/>
      <c r="G155" s="866"/>
      <c r="H155" s="674" t="s">
        <v>1377</v>
      </c>
      <c r="J155" s="674"/>
      <c r="K155" s="674"/>
      <c r="L155" s="674"/>
      <c r="M155" s="674"/>
      <c r="O155" s="674"/>
      <c r="P155" s="544"/>
    </row>
    <row r="156" spans="1:16" ht="25.5" customHeight="1" x14ac:dyDescent="0.25">
      <c r="A156" s="546" t="s">
        <v>935</v>
      </c>
      <c r="B156" s="546"/>
      <c r="C156" s="546"/>
      <c r="D156" s="538"/>
      <c r="E156" s="538"/>
      <c r="F156" s="538"/>
      <c r="G156" s="467"/>
      <c r="H156" s="537"/>
      <c r="I156" s="1708" t="s">
        <v>1375</v>
      </c>
      <c r="J156" s="1708"/>
      <c r="K156" s="1708"/>
      <c r="L156" s="1708"/>
      <c r="M156" s="1708"/>
      <c r="N156" s="1708"/>
      <c r="O156" s="1708"/>
      <c r="P156" s="539"/>
    </row>
    <row r="157" spans="1:16" x14ac:dyDescent="0.25">
      <c r="A157" s="542" t="s">
        <v>1231</v>
      </c>
      <c r="B157" s="542"/>
      <c r="C157" s="542"/>
      <c r="D157" s="537"/>
      <c r="F157" s="1062"/>
      <c r="G157" s="1062"/>
      <c r="H157" s="1062"/>
      <c r="I157" s="1692" t="s">
        <v>1224</v>
      </c>
      <c r="J157" s="1692"/>
      <c r="K157" s="1692"/>
      <c r="L157" s="1692"/>
      <c r="M157" s="1692"/>
      <c r="N157" s="1692"/>
      <c r="O157" s="1692"/>
      <c r="P157" s="537"/>
    </row>
    <row r="158" spans="1:16" x14ac:dyDescent="0.25">
      <c r="A158" s="546"/>
      <c r="B158" s="546"/>
      <c r="C158" s="546"/>
      <c r="D158" s="547"/>
      <c r="E158" s="547"/>
      <c r="F158" s="547"/>
      <c r="G158" s="482"/>
      <c r="H158" s="541"/>
      <c r="I158" s="540"/>
      <c r="J158" s="537"/>
      <c r="K158" s="673" t="s">
        <v>1374</v>
      </c>
      <c r="L158" s="673"/>
      <c r="M158" s="673"/>
      <c r="N158" s="673"/>
      <c r="O158" s="673"/>
      <c r="P158" s="673"/>
    </row>
    <row r="159" spans="1:16" ht="15.75" x14ac:dyDescent="0.25">
      <c r="A159" s="267"/>
      <c r="B159" s="267"/>
      <c r="C159" s="267"/>
      <c r="D159" s="268"/>
      <c r="E159" s="268"/>
      <c r="F159" s="268"/>
      <c r="G159" s="205"/>
      <c r="H159" s="269"/>
      <c r="I159" s="268"/>
      <c r="J159" s="268"/>
      <c r="K159" s="268"/>
      <c r="L159" s="268"/>
      <c r="M159" s="268"/>
      <c r="N159" s="271"/>
      <c r="O159" s="271"/>
      <c r="P159" s="259"/>
    </row>
    <row r="160" spans="1:16" s="259" customFormat="1" ht="14.25" customHeight="1" x14ac:dyDescent="0.25">
      <c r="D160" s="668"/>
      <c r="E160" s="668"/>
      <c r="F160" s="668"/>
      <c r="G160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6:O156"/>
    <mergeCell ref="I157:O157"/>
    <mergeCell ref="L11:L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6" max="14" man="1"/>
  </rowBreaks>
  <colBreaks count="1" manualBreakCount="1">
    <brk id="15" max="159" man="1"/>
  </colBreaks>
  <drawing r:id="rId2"/>
</worksheet>
</file>

<file path=xl/worksheets/sheet2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3662B7-9794-4861-A6A9-9DE64CE74583}">
  <sheetPr>
    <pageSetUpPr fitToPage="1"/>
  </sheetPr>
  <dimension ref="B1:O66"/>
  <sheetViews>
    <sheetView topLeftCell="A23" zoomScaleNormal="100" workbookViewId="0">
      <selection activeCell="J4" sqref="J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51" t="s">
        <v>0</v>
      </c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  <c r="O7" s="1551"/>
    </row>
    <row r="8" spans="2:15" x14ac:dyDescent="0.25">
      <c r="B8" s="1551" t="s">
        <v>1</v>
      </c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  <c r="O8" s="1551"/>
    </row>
    <row r="9" spans="2:15" x14ac:dyDescent="0.25">
      <c r="B9" s="1551" t="s">
        <v>3</v>
      </c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  <c r="O9" s="1551"/>
    </row>
    <row r="10" spans="2:15" x14ac:dyDescent="0.25">
      <c r="B10" s="1551" t="s">
        <v>1429</v>
      </c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  <c r="O10" s="1551"/>
    </row>
    <row r="11" spans="2:15" x14ac:dyDescent="0.25">
      <c r="B11" s="1552" t="s">
        <v>5</v>
      </c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  <c r="O11" s="1552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714" t="s">
        <v>7</v>
      </c>
      <c r="C13" s="1713" t="s">
        <v>937</v>
      </c>
      <c r="D13" s="1713" t="s">
        <v>8</v>
      </c>
      <c r="E13" s="1713" t="s">
        <v>10</v>
      </c>
      <c r="F13" s="1713" t="s">
        <v>11</v>
      </c>
      <c r="G13" s="1047" t="s">
        <v>12</v>
      </c>
      <c r="H13" s="1713" t="s">
        <v>13</v>
      </c>
      <c r="I13" s="1713" t="s">
        <v>14</v>
      </c>
      <c r="J13" s="1713" t="s">
        <v>15</v>
      </c>
      <c r="K13" s="1713" t="s">
        <v>16</v>
      </c>
      <c r="L13" s="1713" t="s">
        <v>17</v>
      </c>
      <c r="M13" s="1713" t="s">
        <v>18</v>
      </c>
      <c r="N13" s="1713" t="s">
        <v>19</v>
      </c>
      <c r="O13" s="1713" t="s">
        <v>20</v>
      </c>
    </row>
    <row r="14" spans="2:15" x14ac:dyDescent="0.25">
      <c r="B14" s="1715"/>
      <c r="C14" s="1713"/>
      <c r="D14" s="1713"/>
      <c r="E14" s="1713"/>
      <c r="F14" s="1713"/>
      <c r="G14" s="1047" t="s">
        <v>21</v>
      </c>
      <c r="H14" s="1713"/>
      <c r="I14" s="1713"/>
      <c r="J14" s="1713"/>
      <c r="K14" s="1713"/>
      <c r="L14" s="1713"/>
      <c r="M14" s="1713"/>
      <c r="N14" s="1713"/>
      <c r="O14" s="1713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90" t="s">
        <v>1269</v>
      </c>
      <c r="C50" s="1690"/>
      <c r="D50" s="1690"/>
      <c r="E50" s="753"/>
      <c r="F50" s="753"/>
      <c r="G50" s="754"/>
      <c r="H50" s="755"/>
      <c r="J50" s="1691" t="s">
        <v>852</v>
      </c>
      <c r="K50" s="1691"/>
      <c r="L50" s="1691"/>
      <c r="M50" s="1691"/>
      <c r="N50" s="1691"/>
      <c r="O50" s="1691"/>
    </row>
    <row r="51" spans="2:15" s="259" customFormat="1" ht="19.5" customHeight="1" x14ac:dyDescent="0.25">
      <c r="B51" s="1628" t="s">
        <v>1270</v>
      </c>
      <c r="C51" s="1628"/>
      <c r="D51" s="1628"/>
      <c r="E51" s="753"/>
      <c r="F51" s="753"/>
      <c r="G51" s="754"/>
      <c r="H51" s="755"/>
      <c r="J51" s="1692" t="s">
        <v>1224</v>
      </c>
      <c r="K51" s="1692"/>
      <c r="L51" s="1692"/>
      <c r="M51" s="1692"/>
      <c r="N51" s="1692"/>
      <c r="O51" s="1692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629"/>
      <c r="K63" s="1629"/>
      <c r="L63" s="1629"/>
      <c r="M63" s="1629"/>
      <c r="N63" s="1629"/>
      <c r="O63" s="1629"/>
    </row>
    <row r="64" spans="2:15" ht="15.75" x14ac:dyDescent="0.25">
      <c r="B64" s="267"/>
      <c r="C64" s="267"/>
      <c r="D64" s="267"/>
      <c r="E64" s="268"/>
      <c r="F64" s="268"/>
      <c r="G64" s="269"/>
      <c r="H64" s="1549"/>
      <c r="I64" s="1549"/>
      <c r="J64" s="1549"/>
      <c r="K64" s="1549"/>
      <c r="L64" s="1549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D9212-3408-4F77-A5CC-7E6DE467DB00}">
  <sheetPr>
    <pageSetUpPr fitToPage="1"/>
  </sheetPr>
  <dimension ref="A6:L83"/>
  <sheetViews>
    <sheetView showGridLines="0" zoomScale="118" zoomScaleNormal="118" zoomScaleSheetLayoutView="100" workbookViewId="0">
      <selection activeCell="B16" sqref="B1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93" t="s">
        <v>0</v>
      </c>
      <c r="B6" s="1693"/>
      <c r="C6" s="1693"/>
      <c r="D6" s="1693"/>
      <c r="E6" s="1693"/>
      <c r="F6" s="1693"/>
      <c r="G6" s="1693"/>
      <c r="H6" s="1693"/>
      <c r="I6" s="1693"/>
      <c r="J6" s="1693"/>
      <c r="K6" s="1693"/>
      <c r="L6" s="1693"/>
    </row>
    <row r="7" spans="1:12" x14ac:dyDescent="0.25">
      <c r="A7" s="1693" t="s">
        <v>1</v>
      </c>
      <c r="B7" s="1693"/>
      <c r="C7" s="1693"/>
      <c r="D7" s="1693"/>
      <c r="E7" s="1693"/>
      <c r="F7" s="1693"/>
      <c r="G7" s="1693"/>
      <c r="H7" s="1693"/>
      <c r="I7" s="1693"/>
      <c r="J7" s="1693"/>
      <c r="K7" s="1693"/>
      <c r="L7" s="1693"/>
    </row>
    <row r="8" spans="1:12" x14ac:dyDescent="0.25">
      <c r="A8" s="1693" t="s">
        <v>3</v>
      </c>
      <c r="B8" s="1693"/>
      <c r="C8" s="1693"/>
      <c r="D8" s="1693"/>
      <c r="E8" s="1693"/>
      <c r="F8" s="1693"/>
      <c r="G8" s="1693"/>
      <c r="H8" s="1693"/>
      <c r="I8" s="1693"/>
      <c r="J8" s="1693"/>
      <c r="K8" s="1693"/>
      <c r="L8" s="1693"/>
    </row>
    <row r="9" spans="1:12" x14ac:dyDescent="0.25">
      <c r="A9" s="1693" t="s">
        <v>1430</v>
      </c>
      <c r="B9" s="1693"/>
      <c r="C9" s="1693"/>
      <c r="D9" s="1693"/>
      <c r="E9" s="1693"/>
      <c r="F9" s="1693"/>
      <c r="G9" s="1693"/>
      <c r="H9" s="1693"/>
      <c r="I9" s="1693"/>
      <c r="J9" s="1693"/>
      <c r="K9" s="1693"/>
      <c r="L9" s="1693"/>
    </row>
    <row r="10" spans="1:12" x14ac:dyDescent="0.25">
      <c r="A10" s="1694" t="s">
        <v>886</v>
      </c>
      <c r="B10" s="1694"/>
      <c r="C10" s="1694"/>
      <c r="D10" s="1694"/>
      <c r="E10" s="1694"/>
      <c r="F10" s="1694"/>
      <c r="G10" s="1694"/>
      <c r="H10" s="1694"/>
      <c r="I10" s="1694"/>
      <c r="J10" s="1694"/>
      <c r="K10" s="1694"/>
      <c r="L10" s="1694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717" t="s">
        <v>7</v>
      </c>
      <c r="B12" s="1717" t="s">
        <v>802</v>
      </c>
      <c r="C12" s="1718" t="s">
        <v>9</v>
      </c>
      <c r="D12" s="1046" t="s">
        <v>12</v>
      </c>
      <c r="E12" s="1719" t="s">
        <v>13</v>
      </c>
      <c r="F12" s="1716" t="s">
        <v>14</v>
      </c>
      <c r="G12" s="1716" t="s">
        <v>15</v>
      </c>
      <c r="H12" s="1716" t="s">
        <v>16</v>
      </c>
      <c r="I12" s="1716" t="s">
        <v>17</v>
      </c>
      <c r="J12" s="1716" t="s">
        <v>18</v>
      </c>
      <c r="K12" s="1716" t="s">
        <v>19</v>
      </c>
      <c r="L12" s="1716" t="s">
        <v>20</v>
      </c>
    </row>
    <row r="13" spans="1:12" ht="16.5" customHeight="1" x14ac:dyDescent="0.25">
      <c r="A13" s="1717"/>
      <c r="B13" s="1717"/>
      <c r="C13" s="1718"/>
      <c r="D13" s="1046" t="s">
        <v>21</v>
      </c>
      <c r="E13" s="1719"/>
      <c r="F13" s="1716"/>
      <c r="G13" s="1716"/>
      <c r="H13" s="1716"/>
      <c r="I13" s="1716"/>
      <c r="J13" s="1716"/>
      <c r="K13" s="1716"/>
      <c r="L13" s="1716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1204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9"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898"/>
      <c r="G25" s="898"/>
      <c r="H25" s="898"/>
      <c r="I25" s="898"/>
      <c r="J25" s="898"/>
      <c r="K25" s="898"/>
      <c r="L25" s="898"/>
    </row>
    <row r="26" spans="1:12" s="5" customFormat="1" ht="15.75" customHeight="1" x14ac:dyDescent="0.25">
      <c r="A26" s="897" t="s">
        <v>1132</v>
      </c>
      <c r="B26" s="897"/>
      <c r="C26" s="941"/>
      <c r="D26" s="898"/>
      <c r="E26" s="899"/>
      <c r="F26" s="898"/>
      <c r="G26" s="898"/>
      <c r="H26" s="898"/>
      <c r="I26" s="898"/>
      <c r="J26" s="898"/>
      <c r="K26" s="898"/>
      <c r="L26" s="898"/>
    </row>
    <row r="27" spans="1:12" s="5" customFormat="1" ht="15.75" customHeight="1" x14ac:dyDescent="0.25">
      <c r="A27" s="902" t="s">
        <v>484</v>
      </c>
      <c r="B27" s="1085" t="s">
        <v>807</v>
      </c>
      <c r="C27" s="942" t="s">
        <v>1204</v>
      </c>
      <c r="D27" s="891">
        <v>17500</v>
      </c>
      <c r="E27" s="894">
        <v>0</v>
      </c>
      <c r="F27" s="891">
        <v>17500</v>
      </c>
      <c r="G27" s="891">
        <v>502.25</v>
      </c>
      <c r="H27" s="891">
        <v>2469.87</v>
      </c>
      <c r="I27" s="891">
        <v>532</v>
      </c>
      <c r="J27" s="894">
        <v>0</v>
      </c>
      <c r="K27" s="891">
        <v>3504.12</v>
      </c>
      <c r="L27" s="891">
        <v>13995.88</v>
      </c>
    </row>
    <row r="28" spans="1:12" s="5" customFormat="1" ht="15.75" customHeight="1" x14ac:dyDescent="0.25">
      <c r="A28" s="897"/>
      <c r="B28" s="897"/>
      <c r="C28" s="941">
        <v>1</v>
      </c>
      <c r="D28" s="898">
        <v>17500</v>
      </c>
      <c r="E28" s="899">
        <v>0</v>
      </c>
      <c r="F28" s="898">
        <v>17500</v>
      </c>
      <c r="G28" s="898">
        <v>502.25</v>
      </c>
      <c r="H28" s="898">
        <v>2469.87</v>
      </c>
      <c r="I28" s="898">
        <v>532</v>
      </c>
      <c r="J28" s="899">
        <v>0</v>
      </c>
      <c r="K28" s="898">
        <v>3504.12</v>
      </c>
      <c r="L28" s="898">
        <v>13995.88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6">
        <f>+G31+H31+I31+J31</f>
        <v>1301.53</v>
      </c>
      <c r="L31" s="891">
        <f>+F31-K31</f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f t="shared" ref="D32:K32" si="3">+D31</f>
        <v>6500</v>
      </c>
      <c r="E32" s="899">
        <v>0</v>
      </c>
      <c r="F32" s="898">
        <f t="shared" si="3"/>
        <v>6500</v>
      </c>
      <c r="G32" s="898">
        <f t="shared" si="3"/>
        <v>186.55</v>
      </c>
      <c r="H32" s="898">
        <f t="shared" si="3"/>
        <v>917.38</v>
      </c>
      <c r="I32" s="898">
        <f t="shared" si="3"/>
        <v>197.6</v>
      </c>
      <c r="J32" s="899">
        <v>0</v>
      </c>
      <c r="K32" s="898">
        <f t="shared" si="3"/>
        <v>1301.53</v>
      </c>
      <c r="L32" s="898">
        <f>+F32-K32</f>
        <v>5198.47</v>
      </c>
    </row>
    <row r="33" spans="1:12" ht="15.75" customHeight="1" x14ac:dyDescent="0.25">
      <c r="A33" s="897"/>
      <c r="B33" s="897"/>
      <c r="C33" s="941"/>
      <c r="D33" s="906"/>
      <c r="E33" s="907"/>
      <c r="F33" s="906"/>
      <c r="G33" s="900"/>
      <c r="H33" s="900"/>
      <c r="I33" s="900"/>
      <c r="J33" s="899"/>
      <c r="K33" s="898"/>
      <c r="L33" s="898"/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6">
        <f>+G35+H35+I35+J35</f>
        <v>1001.18</v>
      </c>
      <c r="L35" s="891">
        <f>+F35-K35</f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f t="shared" ref="D36:K36" si="4">+D35</f>
        <v>5000</v>
      </c>
      <c r="E36" s="899">
        <v>0</v>
      </c>
      <c r="F36" s="898">
        <f t="shared" si="4"/>
        <v>5000</v>
      </c>
      <c r="G36" s="898">
        <f t="shared" si="4"/>
        <v>143.5</v>
      </c>
      <c r="H36" s="898">
        <f t="shared" si="4"/>
        <v>705.68</v>
      </c>
      <c r="I36" s="898">
        <f t="shared" si="4"/>
        <v>152</v>
      </c>
      <c r="J36" s="899">
        <v>0</v>
      </c>
      <c r="K36" s="898">
        <f t="shared" si="4"/>
        <v>1001.18</v>
      </c>
      <c r="L36" s="898">
        <f>+F36-K36</f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08" t="s">
        <v>1412</v>
      </c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890" t="s">
        <v>369</v>
      </c>
      <c r="B39" s="903" t="s">
        <v>806</v>
      </c>
      <c r="C39" s="944" t="s">
        <v>1435</v>
      </c>
      <c r="D39" s="904">
        <v>11500</v>
      </c>
      <c r="E39" s="932">
        <v>0</v>
      </c>
      <c r="F39" s="933">
        <v>11500</v>
      </c>
      <c r="G39" s="933">
        <v>330.05</v>
      </c>
      <c r="H39" s="933">
        <v>1623.06</v>
      </c>
      <c r="I39" s="933">
        <v>349.6</v>
      </c>
      <c r="J39" s="932">
        <v>0</v>
      </c>
      <c r="K39" s="1086">
        <f>+G39+H39+I39+J39</f>
        <v>2302.71</v>
      </c>
      <c r="L39" s="904">
        <f>+F39-K39</f>
        <v>9197.2900000000009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f t="shared" ref="D40" si="5">+D39</f>
        <v>11500</v>
      </c>
      <c r="E40" s="899">
        <v>0</v>
      </c>
      <c r="F40" s="898">
        <f t="shared" ref="F40:I40" si="6">+F39</f>
        <v>11500</v>
      </c>
      <c r="G40" s="898">
        <f t="shared" si="6"/>
        <v>330.05</v>
      </c>
      <c r="H40" s="898">
        <f t="shared" si="6"/>
        <v>1623.06</v>
      </c>
      <c r="I40" s="898">
        <f t="shared" si="6"/>
        <v>349.6</v>
      </c>
      <c r="J40" s="899">
        <v>0</v>
      </c>
      <c r="K40" s="898">
        <f t="shared" ref="K40" si="7">+K39</f>
        <v>2302.71</v>
      </c>
      <c r="L40" s="898">
        <f>+F40-K40</f>
        <v>9197.2900000000009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40000</v>
      </c>
      <c r="E43" s="894">
        <v>0</v>
      </c>
      <c r="F43" s="895">
        <v>40000</v>
      </c>
      <c r="G43" s="895">
        <v>1148</v>
      </c>
      <c r="H43" s="895">
        <v>9409</v>
      </c>
      <c r="I43" s="895">
        <v>1216</v>
      </c>
      <c r="J43" s="894">
        <v>0</v>
      </c>
      <c r="K43" s="896">
        <f>+G43+H43+I43+J43</f>
        <v>11773</v>
      </c>
      <c r="L43" s="891">
        <f>+F43-K43</f>
        <v>28227</v>
      </c>
    </row>
    <row r="44" spans="1:12" ht="15.75" customHeight="1" x14ac:dyDescent="0.25">
      <c r="A44" s="890" t="s">
        <v>409</v>
      </c>
      <c r="B44" s="903" t="s">
        <v>806</v>
      </c>
      <c r="C44" s="944" t="s">
        <v>529</v>
      </c>
      <c r="D44" s="904">
        <v>11500</v>
      </c>
      <c r="E44" s="932">
        <v>0</v>
      </c>
      <c r="F44" s="933">
        <v>11500</v>
      </c>
      <c r="G44" s="933">
        <v>330.05</v>
      </c>
      <c r="H44" s="933">
        <v>1623.06</v>
      </c>
      <c r="I44" s="933">
        <v>349.6</v>
      </c>
      <c r="J44" s="932">
        <v>0</v>
      </c>
      <c r="K44" s="1086">
        <f>+G44+H44+I44+J44</f>
        <v>2302.71</v>
      </c>
      <c r="L44" s="904">
        <f>+F44-K44</f>
        <v>9197.2900000000009</v>
      </c>
    </row>
    <row r="45" spans="1:12" ht="15.75" customHeight="1" x14ac:dyDescent="0.25">
      <c r="A45" s="897" t="s">
        <v>813</v>
      </c>
      <c r="B45" s="897"/>
      <c r="C45" s="941">
        <v>2</v>
      </c>
      <c r="D45" s="898">
        <f>SUM(D43:D44)</f>
        <v>51500</v>
      </c>
      <c r="E45" s="899">
        <v>0</v>
      </c>
      <c r="F45" s="898">
        <f t="shared" ref="F45:L45" si="8">SUM(F43:F44)</f>
        <v>51500</v>
      </c>
      <c r="G45" s="898">
        <f t="shared" si="8"/>
        <v>1478.05</v>
      </c>
      <c r="H45" s="898">
        <f t="shared" si="8"/>
        <v>11032.06</v>
      </c>
      <c r="I45" s="898">
        <f t="shared" si="8"/>
        <v>1565.6</v>
      </c>
      <c r="J45" s="899">
        <v>0</v>
      </c>
      <c r="K45" s="898">
        <f t="shared" si="8"/>
        <v>14075.71</v>
      </c>
      <c r="L45" s="898">
        <f t="shared" si="8"/>
        <v>37424.29</v>
      </c>
    </row>
    <row r="46" spans="1:12" ht="15.75" customHeight="1" x14ac:dyDescent="0.25">
      <c r="A46" s="897"/>
      <c r="B46" s="897"/>
      <c r="C46" s="941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897" t="s">
        <v>1413</v>
      </c>
      <c r="B47" s="903"/>
      <c r="C47" s="946"/>
      <c r="D47" s="906"/>
      <c r="E47" s="907"/>
      <c r="F47" s="906"/>
      <c r="G47" s="900"/>
      <c r="H47" s="900"/>
      <c r="I47" s="900"/>
      <c r="J47" s="899"/>
      <c r="K47" s="898"/>
      <c r="L47" s="898"/>
    </row>
    <row r="48" spans="1:12" ht="15.75" customHeight="1" x14ac:dyDescent="0.25">
      <c r="A48" s="890" t="s">
        <v>1414</v>
      </c>
      <c r="B48" s="903" t="s">
        <v>806</v>
      </c>
      <c r="C48" s="939" t="s">
        <v>1436</v>
      </c>
      <c r="D48" s="904">
        <v>11500</v>
      </c>
      <c r="E48" s="932">
        <v>0</v>
      </c>
      <c r="F48" s="933">
        <v>11500</v>
      </c>
      <c r="G48" s="933">
        <v>330.05</v>
      </c>
      <c r="H48" s="933">
        <v>1623.06</v>
      </c>
      <c r="I48" s="933">
        <v>349.6</v>
      </c>
      <c r="J48" s="932">
        <v>0</v>
      </c>
      <c r="K48" s="1086">
        <f>+G48+H48+I48+J48</f>
        <v>2302.71</v>
      </c>
      <c r="L48" s="904">
        <f>+F48-K48</f>
        <v>9197.2900000000009</v>
      </c>
    </row>
    <row r="49" spans="1:12" ht="15.75" customHeight="1" x14ac:dyDescent="0.25">
      <c r="A49" s="897" t="s">
        <v>813</v>
      </c>
      <c r="B49" s="897"/>
      <c r="C49" s="941">
        <v>1</v>
      </c>
      <c r="D49" s="898">
        <f t="shared" ref="D49" si="9">+D48</f>
        <v>11500</v>
      </c>
      <c r="E49" s="899">
        <v>0</v>
      </c>
      <c r="F49" s="898">
        <f t="shared" ref="F49:I49" si="10">+F48</f>
        <v>11500</v>
      </c>
      <c r="G49" s="898">
        <f t="shared" si="10"/>
        <v>330.05</v>
      </c>
      <c r="H49" s="898">
        <f t="shared" si="10"/>
        <v>1623.06</v>
      </c>
      <c r="I49" s="898">
        <f t="shared" si="10"/>
        <v>349.6</v>
      </c>
      <c r="J49" s="899">
        <v>0</v>
      </c>
      <c r="K49" s="898">
        <f t="shared" ref="K49" si="11">+K48</f>
        <v>2302.71</v>
      </c>
      <c r="L49" s="898">
        <f>+F49-K49</f>
        <v>9197.2900000000009</v>
      </c>
    </row>
    <row r="50" spans="1:12" ht="15.75" customHeight="1" x14ac:dyDescent="0.25">
      <c r="A50" s="897"/>
      <c r="B50" s="897"/>
      <c r="C50" s="941"/>
      <c r="D50" s="898"/>
      <c r="E50" s="899"/>
      <c r="F50" s="898"/>
      <c r="G50" s="898"/>
      <c r="H50" s="898"/>
      <c r="I50" s="898"/>
      <c r="J50" s="899"/>
      <c r="K50" s="898"/>
      <c r="L50" s="898"/>
    </row>
    <row r="51" spans="1:12" ht="15.75" customHeight="1" x14ac:dyDescent="0.25">
      <c r="A51" s="897" t="s">
        <v>1012</v>
      </c>
      <c r="B51" s="903"/>
      <c r="C51" s="946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902" t="s">
        <v>134</v>
      </c>
      <c r="B52" s="903" t="s">
        <v>807</v>
      </c>
      <c r="C52" s="947" t="s">
        <v>1206</v>
      </c>
      <c r="D52" s="891">
        <v>40000</v>
      </c>
      <c r="E52" s="894">
        <v>0</v>
      </c>
      <c r="F52" s="895">
        <v>40000</v>
      </c>
      <c r="G52" s="895">
        <v>1148</v>
      </c>
      <c r="H52" s="895">
        <v>9409</v>
      </c>
      <c r="I52" s="895">
        <v>1216</v>
      </c>
      <c r="J52" s="894">
        <v>0</v>
      </c>
      <c r="K52" s="896">
        <f>+G52+H52+I52+J52</f>
        <v>11773</v>
      </c>
      <c r="L52" s="891">
        <f>+F52-K52</f>
        <v>28227</v>
      </c>
    </row>
    <row r="53" spans="1:12" ht="15.75" customHeight="1" x14ac:dyDescent="0.25">
      <c r="A53" s="897" t="s">
        <v>813</v>
      </c>
      <c r="B53" s="897"/>
      <c r="C53" s="941">
        <v>1</v>
      </c>
      <c r="D53" s="898">
        <f t="shared" ref="D53:K53" si="12">+D52</f>
        <v>40000</v>
      </c>
      <c r="E53" s="899">
        <v>0</v>
      </c>
      <c r="F53" s="898">
        <f t="shared" si="12"/>
        <v>40000</v>
      </c>
      <c r="G53" s="898">
        <f t="shared" si="12"/>
        <v>1148</v>
      </c>
      <c r="H53" s="898">
        <f t="shared" si="12"/>
        <v>9409</v>
      </c>
      <c r="I53" s="898">
        <f t="shared" si="12"/>
        <v>1216</v>
      </c>
      <c r="J53" s="899">
        <v>0</v>
      </c>
      <c r="K53" s="898">
        <f t="shared" si="12"/>
        <v>11773</v>
      </c>
      <c r="L53" s="898">
        <f>+F53-K53</f>
        <v>28227</v>
      </c>
    </row>
    <row r="54" spans="1:12" ht="15.75" customHeight="1" x14ac:dyDescent="0.25">
      <c r="A54" s="897"/>
      <c r="B54" s="897"/>
      <c r="C54" s="941"/>
      <c r="D54" s="906"/>
      <c r="E54" s="907"/>
      <c r="F54" s="906"/>
      <c r="G54" s="900"/>
      <c r="H54" s="900"/>
      <c r="I54" s="900"/>
      <c r="J54" s="899"/>
      <c r="K54" s="898"/>
      <c r="L54" s="898"/>
    </row>
    <row r="55" spans="1:12" ht="15.75" customHeight="1" x14ac:dyDescent="0.25">
      <c r="A55" s="897"/>
      <c r="B55" s="897"/>
      <c r="C55" s="941"/>
      <c r="D55" s="906"/>
      <c r="E55" s="907"/>
      <c r="F55" s="906"/>
      <c r="G55" s="900"/>
      <c r="H55" s="900"/>
      <c r="I55" s="900"/>
      <c r="J55" s="899"/>
      <c r="K55" s="898"/>
      <c r="L55" s="898"/>
    </row>
    <row r="56" spans="1:12" ht="22.5" customHeight="1" x14ac:dyDescent="0.25">
      <c r="A56" s="1061" t="s">
        <v>865</v>
      </c>
      <c r="B56" s="1041"/>
      <c r="C56" s="1042">
        <f>+C53+C49+C45+C40+C36+C28+C24+C20+C16+C32</f>
        <v>11</v>
      </c>
      <c r="D56" s="1077">
        <f>+D16+D20+D24+D32+D36+D40+D45+D49+D53+D27</f>
        <v>218000</v>
      </c>
      <c r="E56" s="1045">
        <v>0</v>
      </c>
      <c r="F56" s="1077">
        <f t="shared" ref="F56:L56" si="13">+F16+F20+F24+F32+F36+F40+F45+F49+F53+F27</f>
        <v>218000</v>
      </c>
      <c r="G56" s="1077">
        <f t="shared" si="13"/>
        <v>6256.6</v>
      </c>
      <c r="H56" s="1077">
        <f t="shared" si="13"/>
        <v>40127.730000000003</v>
      </c>
      <c r="I56" s="1077">
        <f t="shared" si="13"/>
        <v>6627.2</v>
      </c>
      <c r="J56" s="1045">
        <v>0</v>
      </c>
      <c r="K56" s="1077">
        <f t="shared" si="13"/>
        <v>53011.53</v>
      </c>
      <c r="L56" s="1077">
        <f t="shared" si="13"/>
        <v>164988.47000000003</v>
      </c>
    </row>
    <row r="69" spans="1:11" ht="38.25" customHeight="1" x14ac:dyDescent="0.25">
      <c r="A69" s="916"/>
      <c r="B69" s="916"/>
      <c r="C69" s="917"/>
      <c r="D69" s="918"/>
      <c r="E69" s="919"/>
      <c r="F69" s="1696" t="s">
        <v>1372</v>
      </c>
      <c r="G69" s="1696"/>
      <c r="H69" s="1696"/>
      <c r="I69" s="1696"/>
      <c r="J69" s="1696"/>
      <c r="K69" s="1696"/>
    </row>
    <row r="70" spans="1:11" x14ac:dyDescent="0.25">
      <c r="A70" s="1083" t="s">
        <v>1238</v>
      </c>
      <c r="B70" s="1083"/>
      <c r="C70" s="921"/>
      <c r="D70" s="915"/>
      <c r="E70" s="915"/>
      <c r="F70" s="1702" t="s">
        <v>1222</v>
      </c>
      <c r="G70" s="1702"/>
      <c r="H70" s="1702"/>
      <c r="I70" s="1702"/>
      <c r="J70" s="1702"/>
      <c r="K70" s="1702"/>
    </row>
    <row r="71" spans="1:11" x14ac:dyDescent="0.25">
      <c r="A71" s="916" t="s">
        <v>1239</v>
      </c>
      <c r="B71" s="916"/>
      <c r="C71" s="915"/>
      <c r="D71" s="915"/>
      <c r="E71" s="923"/>
      <c r="F71" s="1701" t="s">
        <v>1224</v>
      </c>
      <c r="G71" s="1701"/>
      <c r="H71" s="1701"/>
      <c r="I71" s="1701"/>
      <c r="J71" s="1701"/>
      <c r="K71" s="1701"/>
    </row>
    <row r="81" spans="4:12" x14ac:dyDescent="0.25">
      <c r="D81" s="924"/>
      <c r="E81" s="923"/>
      <c r="F81" s="915"/>
      <c r="G81" s="1698"/>
      <c r="H81" s="1698"/>
      <c r="I81" s="1698"/>
      <c r="J81" s="1698"/>
      <c r="K81" s="1698"/>
      <c r="L81" s="1698"/>
    </row>
    <row r="82" spans="4:12" x14ac:dyDescent="0.25">
      <c r="D82" s="925"/>
      <c r="E82" s="1694"/>
      <c r="F82" s="1694"/>
      <c r="G82" s="1694"/>
      <c r="H82" s="1694"/>
      <c r="I82" s="1694"/>
      <c r="J82" s="926"/>
      <c r="K82" s="926"/>
      <c r="L82" s="886"/>
    </row>
    <row r="83" spans="4:12" x14ac:dyDescent="0.25">
      <c r="D83" s="927" t="s">
        <v>641</v>
      </c>
      <c r="E83" s="927"/>
      <c r="F83" s="927"/>
      <c r="G83" s="927"/>
      <c r="H83" s="927"/>
      <c r="I83" s="927"/>
      <c r="J83" s="927"/>
      <c r="K83" s="927"/>
      <c r="L83" s="927"/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69:K69"/>
    <mergeCell ref="F70:K70"/>
    <mergeCell ref="F71:K71"/>
    <mergeCell ref="G81:L81"/>
    <mergeCell ref="E82:I82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186C57-CF19-4EA4-952A-A76FE9A8F387}">
  <sheetPr>
    <pageSetUpPr fitToPage="1"/>
  </sheetPr>
  <dimension ref="B6:M39"/>
  <sheetViews>
    <sheetView showGridLines="0" topLeftCell="B1" zoomScale="118" zoomScaleNormal="118" workbookViewId="0">
      <selection activeCell="B8" sqref="B8:M8"/>
    </sheetView>
  </sheetViews>
  <sheetFormatPr baseColWidth="10" defaultRowHeight="15" x14ac:dyDescent="0.25"/>
  <cols>
    <col min="1" max="1" width="1.42578125" customWidth="1"/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556" t="s">
        <v>0</v>
      </c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2:13" x14ac:dyDescent="0.25">
      <c r="B7" s="1556" t="s">
        <v>1</v>
      </c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2:13" x14ac:dyDescent="0.25">
      <c r="B8" s="1556" t="s">
        <v>3</v>
      </c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2:13" x14ac:dyDescent="0.25">
      <c r="B9" s="1556" t="s">
        <v>1431</v>
      </c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2:13" x14ac:dyDescent="0.25">
      <c r="B10" s="1557" t="s">
        <v>1197</v>
      </c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  <c r="M10" s="1557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712" t="s">
        <v>7</v>
      </c>
      <c r="C12" s="1709" t="s">
        <v>802</v>
      </c>
      <c r="D12" s="1709" t="s">
        <v>9</v>
      </c>
      <c r="E12" s="1067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2:13" ht="15" customHeight="1" x14ac:dyDescent="0.25">
      <c r="B13" s="1712"/>
      <c r="C13" s="1709"/>
      <c r="D13" s="1709"/>
      <c r="E13" s="1067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682" t="s">
        <v>1255</v>
      </c>
      <c r="H34" s="1682"/>
      <c r="I34" s="1682"/>
      <c r="J34" s="1682"/>
      <c r="K34" s="1682"/>
      <c r="L34" s="1682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627" t="s">
        <v>852</v>
      </c>
      <c r="H35" s="1627"/>
      <c r="I35" s="1627"/>
      <c r="J35" s="1627"/>
      <c r="K35" s="1627"/>
      <c r="L35" s="1627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628" t="s">
        <v>1257</v>
      </c>
      <c r="H36" s="1628"/>
      <c r="I36" s="1628"/>
      <c r="J36" s="1628"/>
      <c r="K36" s="1628"/>
      <c r="L36" s="1628"/>
      <c r="M36" s="537"/>
    </row>
    <row r="37" spans="2:13" x14ac:dyDescent="0.25">
      <c r="B37" s="546"/>
      <c r="C37" s="546"/>
      <c r="D37" s="547"/>
      <c r="E37" s="541"/>
      <c r="F37" s="540"/>
      <c r="G37" s="537"/>
      <c r="H37" s="1629"/>
      <c r="I37" s="1629"/>
      <c r="J37" s="1629"/>
      <c r="K37" s="1629"/>
      <c r="L37" s="1629"/>
      <c r="M37" s="1629"/>
    </row>
    <row r="38" spans="2:13" ht="15.75" x14ac:dyDescent="0.25">
      <c r="B38" s="267"/>
      <c r="C38" s="267"/>
      <c r="D38" s="268"/>
      <c r="E38" s="269"/>
      <c r="F38" s="1549"/>
      <c r="G38" s="1549"/>
      <c r="H38" s="1549"/>
      <c r="I38" s="1549"/>
      <c r="J38" s="1549"/>
      <c r="K38" s="271"/>
      <c r="L38" s="271"/>
      <c r="M38" s="259"/>
    </row>
    <row r="39" spans="2:13" x14ac:dyDescent="0.25">
      <c r="E39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4:L34"/>
    <mergeCell ref="G35:L35"/>
    <mergeCell ref="G36:L36"/>
    <mergeCell ref="H37:M37"/>
    <mergeCell ref="F38:J38"/>
  </mergeCells>
  <pageMargins left="0.63" right="0.7" top="0.75" bottom="0.75" header="0.3" footer="0.3"/>
  <pageSetup paperSize="3" scale="89" orientation="landscape" r:id="rId1"/>
  <drawing r:id="rId2"/>
</worksheet>
</file>

<file path=xl/worksheets/sheet2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88AD2-F33E-4071-8FCB-4ECD2D38EF78}">
  <sheetPr>
    <pageSetUpPr fitToPage="1"/>
  </sheetPr>
  <dimension ref="B6:M36"/>
  <sheetViews>
    <sheetView showGridLines="0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56" t="s">
        <v>0</v>
      </c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2:13" x14ac:dyDescent="0.25">
      <c r="B7" s="1556" t="s">
        <v>1</v>
      </c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2:13" x14ac:dyDescent="0.25">
      <c r="B8" s="1556" t="s">
        <v>3</v>
      </c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2:13" x14ac:dyDescent="0.25">
      <c r="B9" s="1556" t="s">
        <v>1432</v>
      </c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2:13" x14ac:dyDescent="0.25">
      <c r="B10" s="1557" t="s">
        <v>1197</v>
      </c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  <c r="M10" s="1557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712" t="s">
        <v>7</v>
      </c>
      <c r="C12" s="1709" t="s">
        <v>802</v>
      </c>
      <c r="D12" s="1709" t="s">
        <v>9</v>
      </c>
      <c r="E12" s="1067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2:13" ht="15" customHeight="1" x14ac:dyDescent="0.25">
      <c r="B13" s="1712"/>
      <c r="C13" s="1709"/>
      <c r="D13" s="1709"/>
      <c r="E13" s="1067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82" t="s">
        <v>1255</v>
      </c>
      <c r="H31" s="1682"/>
      <c r="I31" s="1682"/>
      <c r="J31" s="1682"/>
      <c r="K31" s="1682"/>
      <c r="L31" s="1682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627" t="s">
        <v>852</v>
      </c>
      <c r="H32" s="1627"/>
      <c r="I32" s="1627"/>
      <c r="J32" s="1627"/>
      <c r="K32" s="1627"/>
      <c r="L32" s="1627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628" t="s">
        <v>1257</v>
      </c>
      <c r="H33" s="1628"/>
      <c r="I33" s="1628"/>
      <c r="J33" s="1628"/>
      <c r="K33" s="1628"/>
      <c r="L33" s="1628"/>
      <c r="M33" s="537"/>
    </row>
    <row r="34" spans="2:13" x14ac:dyDescent="0.25">
      <c r="B34" s="546"/>
      <c r="C34" s="546"/>
      <c r="D34" s="547"/>
      <c r="E34" s="541"/>
      <c r="F34" s="540"/>
      <c r="G34" s="537"/>
      <c r="H34" s="1629"/>
      <c r="I34" s="1629"/>
      <c r="J34" s="1629"/>
      <c r="K34" s="1629"/>
      <c r="L34" s="1629"/>
      <c r="M34" s="1629"/>
    </row>
    <row r="35" spans="2:13" ht="15.75" x14ac:dyDescent="0.25">
      <c r="B35" s="267"/>
      <c r="C35" s="267"/>
      <c r="D35" s="268"/>
      <c r="E35" s="269"/>
      <c r="F35" s="1549"/>
      <c r="G35" s="1549"/>
      <c r="H35" s="1549"/>
      <c r="I35" s="1549"/>
      <c r="J35" s="1549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24F763-6975-473E-A757-C2ECAB6E9C55}">
  <dimension ref="A1:O265"/>
  <sheetViews>
    <sheetView showGridLines="0" topLeftCell="A180" zoomScale="82" zoomScaleNormal="82" workbookViewId="0">
      <selection activeCell="F89" sqref="F89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1:15" ht="24" customHeight="1" x14ac:dyDescent="0.25"/>
    <row r="2" spans="1:15" ht="15.75" x14ac:dyDescent="0.25">
      <c r="B2" s="853"/>
      <c r="C2" s="851"/>
      <c r="D2" s="853"/>
      <c r="E2" s="853"/>
      <c r="F2" s="867"/>
      <c r="G2" s="868"/>
      <c r="H2" s="867"/>
      <c r="I2" s="867"/>
      <c r="J2" s="1089"/>
      <c r="K2" s="867"/>
      <c r="L2" s="1089"/>
      <c r="M2" s="867"/>
      <c r="N2" s="867"/>
    </row>
    <row r="3" spans="1:15" ht="15.75" x14ac:dyDescent="0.25">
      <c r="B3" s="853"/>
      <c r="C3" s="851"/>
      <c r="D3" s="853"/>
      <c r="E3" s="853"/>
      <c r="F3" s="867"/>
      <c r="G3" s="868"/>
      <c r="H3" s="867"/>
      <c r="I3" s="867"/>
      <c r="J3" s="1089"/>
      <c r="K3" s="867"/>
      <c r="L3" s="1089"/>
      <c r="M3" s="867"/>
      <c r="N3" s="867"/>
    </row>
    <row r="4" spans="1:15" ht="15.75" x14ac:dyDescent="0.25">
      <c r="B4" s="869"/>
      <c r="C4" s="851"/>
      <c r="D4" s="853"/>
      <c r="E4" s="853"/>
      <c r="F4" s="867"/>
      <c r="G4" s="868"/>
      <c r="H4" s="867"/>
      <c r="I4" s="867"/>
      <c r="J4" s="1089"/>
      <c r="K4" s="867"/>
      <c r="L4" s="1089"/>
      <c r="M4" s="867"/>
      <c r="N4" s="867"/>
    </row>
    <row r="5" spans="1:15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1089"/>
      <c r="K5" s="867"/>
      <c r="L5" s="1089"/>
      <c r="M5" s="867"/>
      <c r="N5" s="867"/>
    </row>
    <row r="6" spans="1:15" ht="15.75" x14ac:dyDescent="0.25">
      <c r="B6" s="1685" t="s">
        <v>0</v>
      </c>
      <c r="C6" s="1685"/>
      <c r="D6" s="1685"/>
      <c r="E6" s="1685"/>
      <c r="F6" s="1685"/>
      <c r="G6" s="1685"/>
      <c r="H6" s="1685"/>
      <c r="I6" s="1685"/>
      <c r="J6" s="1685"/>
      <c r="K6" s="1685"/>
      <c r="L6" s="1685"/>
      <c r="M6" s="1685"/>
      <c r="N6" s="1685"/>
    </row>
    <row r="7" spans="1:15" ht="15.75" x14ac:dyDescent="0.25">
      <c r="A7" s="1685" t="s">
        <v>1450</v>
      </c>
      <c r="B7" s="1685"/>
      <c r="C7" s="1685"/>
      <c r="D7" s="1685"/>
      <c r="E7" s="1685"/>
      <c r="F7" s="1685"/>
      <c r="G7" s="1685"/>
      <c r="H7" s="1685"/>
      <c r="I7" s="1685"/>
      <c r="J7" s="1685"/>
      <c r="K7" s="1685"/>
      <c r="L7" s="1685"/>
      <c r="M7" s="1685"/>
      <c r="N7" s="1685"/>
      <c r="O7" s="1685"/>
    </row>
    <row r="8" spans="1:15" ht="15.75" x14ac:dyDescent="0.25">
      <c r="B8" s="1685" t="s">
        <v>3</v>
      </c>
      <c r="C8" s="1685"/>
      <c r="D8" s="1685"/>
      <c r="E8" s="1685"/>
      <c r="F8" s="1685"/>
      <c r="G8" s="1685"/>
      <c r="H8" s="1685"/>
      <c r="I8" s="1685"/>
      <c r="J8" s="1685"/>
      <c r="K8" s="1685"/>
      <c r="L8" s="1685"/>
      <c r="M8" s="1685"/>
      <c r="N8" s="1685"/>
    </row>
    <row r="9" spans="1:15" ht="15.75" x14ac:dyDescent="0.25">
      <c r="B9" s="1685" t="s">
        <v>1451</v>
      </c>
      <c r="C9" s="1685"/>
      <c r="D9" s="1685"/>
      <c r="E9" s="1685"/>
      <c r="F9" s="1685"/>
      <c r="G9" s="1685"/>
      <c r="H9" s="1685"/>
      <c r="I9" s="1685"/>
      <c r="J9" s="1685"/>
      <c r="K9" s="1685"/>
      <c r="L9" s="1685"/>
      <c r="M9" s="1685"/>
      <c r="N9" s="1685"/>
    </row>
    <row r="10" spans="1:15" ht="15.75" x14ac:dyDescent="0.25">
      <c r="B10" s="1706" t="s">
        <v>404</v>
      </c>
      <c r="C10" s="1706"/>
      <c r="D10" s="1706"/>
      <c r="E10" s="1706"/>
      <c r="F10" s="1706"/>
      <c r="G10" s="1706"/>
      <c r="H10" s="1706"/>
      <c r="I10" s="1706"/>
      <c r="J10" s="1706"/>
      <c r="K10" s="1706"/>
      <c r="L10" s="1706"/>
      <c r="M10" s="1706"/>
      <c r="N10" s="1706"/>
    </row>
    <row r="11" spans="1:15" ht="15.75" x14ac:dyDescent="0.25">
      <c r="B11" s="851"/>
      <c r="C11" s="851"/>
      <c r="D11" s="851"/>
      <c r="E11" s="851"/>
      <c r="F11" s="851"/>
      <c r="G11" s="851"/>
      <c r="H11" s="851"/>
      <c r="I11" s="851"/>
      <c r="J11" s="1090"/>
      <c r="K11" s="851"/>
      <c r="L11" s="1090"/>
      <c r="M11" s="851"/>
      <c r="N11" s="851"/>
    </row>
    <row r="12" spans="1:15" ht="15.75" x14ac:dyDescent="0.25">
      <c r="B12" s="1707" t="s">
        <v>7</v>
      </c>
      <c r="C12" s="1707" t="s">
        <v>802</v>
      </c>
      <c r="D12" s="1707" t="s">
        <v>9</v>
      </c>
      <c r="E12" s="1707" t="s">
        <v>11</v>
      </c>
      <c r="F12" s="1057" t="s">
        <v>12</v>
      </c>
      <c r="G12" s="1704" t="s">
        <v>13</v>
      </c>
      <c r="H12" s="1705" t="s">
        <v>14</v>
      </c>
      <c r="I12" s="1705" t="s">
        <v>15</v>
      </c>
      <c r="J12" s="1705" t="s">
        <v>16</v>
      </c>
      <c r="K12" s="1705" t="s">
        <v>17</v>
      </c>
      <c r="L12" s="1705" t="s">
        <v>18</v>
      </c>
      <c r="M12" s="1705" t="s">
        <v>19</v>
      </c>
      <c r="N12" s="1705" t="s">
        <v>20</v>
      </c>
    </row>
    <row r="13" spans="1:15" ht="15.75" x14ac:dyDescent="0.25">
      <c r="B13" s="1707"/>
      <c r="C13" s="1707"/>
      <c r="D13" s="1707"/>
      <c r="E13" s="1707"/>
      <c r="F13" s="1057" t="s">
        <v>21</v>
      </c>
      <c r="G13" s="1704"/>
      <c r="H13" s="1705"/>
      <c r="I13" s="1705"/>
      <c r="J13" s="1705"/>
      <c r="K13" s="1705"/>
      <c r="L13" s="1705"/>
      <c r="M13" s="1705"/>
      <c r="N13" s="1705"/>
    </row>
    <row r="14" spans="1:15" ht="18.75" x14ac:dyDescent="0.3">
      <c r="B14" s="949" t="s">
        <v>1140</v>
      </c>
      <c r="C14" s="950"/>
      <c r="D14" s="949"/>
      <c r="E14" s="949"/>
      <c r="F14" s="951"/>
      <c r="G14" s="952"/>
      <c r="H14" s="953"/>
      <c r="I14" s="953"/>
      <c r="J14" s="951"/>
      <c r="K14" s="953"/>
      <c r="L14" s="951"/>
      <c r="M14" s="953"/>
      <c r="N14" s="953"/>
    </row>
    <row r="15" spans="1:15" ht="18.75" x14ac:dyDescent="0.3">
      <c r="B15" s="955" t="s">
        <v>507</v>
      </c>
      <c r="C15" s="950" t="s">
        <v>806</v>
      </c>
      <c r="D15" s="955" t="s">
        <v>142</v>
      </c>
      <c r="E15" s="955" t="s">
        <v>1065</v>
      </c>
      <c r="F15" s="956">
        <v>260000</v>
      </c>
      <c r="G15" s="952">
        <v>0</v>
      </c>
      <c r="H15" s="957">
        <v>260000</v>
      </c>
      <c r="I15" s="953">
        <v>7462</v>
      </c>
      <c r="J15" s="951">
        <v>50246.58</v>
      </c>
      <c r="K15" s="953">
        <v>5883.16</v>
      </c>
      <c r="L15" s="951">
        <v>4169.3999999999996</v>
      </c>
      <c r="M15" s="953">
        <f>+I15+J15+K15+L15</f>
        <v>67761.14</v>
      </c>
      <c r="N15" s="953">
        <f>+H15-M15</f>
        <v>192238.86</v>
      </c>
    </row>
    <row r="16" spans="1:15" ht="18.75" x14ac:dyDescent="0.3">
      <c r="B16" s="958" t="s">
        <v>747</v>
      </c>
      <c r="C16" s="950" t="s">
        <v>806</v>
      </c>
      <c r="D16" s="959" t="s">
        <v>30</v>
      </c>
      <c r="E16" s="955" t="s">
        <v>1065</v>
      </c>
      <c r="F16" s="951">
        <v>210000</v>
      </c>
      <c r="G16" s="952">
        <v>0</v>
      </c>
      <c r="H16" s="953">
        <v>210000</v>
      </c>
      <c r="I16" s="953">
        <v>6027</v>
      </c>
      <c r="J16" s="951">
        <v>38105.33</v>
      </c>
      <c r="K16" s="953">
        <v>5883.16</v>
      </c>
      <c r="L16" s="951">
        <v>4169.3999999999996</v>
      </c>
      <c r="M16" s="953">
        <f>+I16+J16+K16+L16</f>
        <v>54184.890000000007</v>
      </c>
      <c r="N16" s="953">
        <f>+H16-M16</f>
        <v>155815.10999999999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130000</v>
      </c>
      <c r="G17" s="952">
        <v>0</v>
      </c>
      <c r="H17" s="953">
        <v>130000</v>
      </c>
      <c r="I17" s="953">
        <v>3731</v>
      </c>
      <c r="J17" s="951">
        <v>18304.39</v>
      </c>
      <c r="K17" s="953">
        <v>3952</v>
      </c>
      <c r="L17" s="951">
        <v>5722.05</v>
      </c>
      <c r="M17" s="953">
        <v>31709.439999999999</v>
      </c>
      <c r="N17" s="953">
        <f>+H17-M17</f>
        <v>98290.559999999998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1">
        <v>1148.33</v>
      </c>
      <c r="K18" s="953">
        <v>1368</v>
      </c>
      <c r="L18" s="951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4</v>
      </c>
      <c r="E19" s="962"/>
      <c r="F19" s="963">
        <f>SUM(F15:F18)</f>
        <v>645000</v>
      </c>
      <c r="G19" s="964">
        <f t="shared" ref="G19:N19" si="0">SUM(G15:G18)</f>
        <v>0</v>
      </c>
      <c r="H19" s="965">
        <f t="shared" si="0"/>
        <v>645000</v>
      </c>
      <c r="I19" s="965">
        <f t="shared" si="0"/>
        <v>18511.5</v>
      </c>
      <c r="J19" s="963">
        <f t="shared" si="0"/>
        <v>107804.63</v>
      </c>
      <c r="K19" s="965">
        <f t="shared" si="0"/>
        <v>17086.32</v>
      </c>
      <c r="L19" s="963">
        <f t="shared" si="0"/>
        <v>14085.849999999999</v>
      </c>
      <c r="M19" s="965">
        <f t="shared" si="0"/>
        <v>157488.29999999999</v>
      </c>
      <c r="N19" s="965">
        <f t="shared" si="0"/>
        <v>487511.69999999995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1"/>
      <c r="K20" s="953"/>
      <c r="L20" s="951"/>
      <c r="M20" s="953"/>
      <c r="N20" s="953"/>
    </row>
    <row r="21" spans="2:14" ht="18.75" x14ac:dyDescent="0.3">
      <c r="B21" s="961" t="s">
        <v>1434</v>
      </c>
      <c r="C21" s="950"/>
      <c r="D21" s="967"/>
      <c r="E21" s="967"/>
      <c r="F21" s="951"/>
      <c r="G21" s="952"/>
      <c r="H21" s="953"/>
      <c r="I21" s="953"/>
      <c r="J21" s="951"/>
      <c r="K21" s="953"/>
      <c r="L21" s="951"/>
      <c r="M21" s="953"/>
      <c r="N21" s="953"/>
    </row>
    <row r="22" spans="2:14" ht="35.25" customHeight="1" x14ac:dyDescent="0.3">
      <c r="B22" s="958" t="s">
        <v>61</v>
      </c>
      <c r="C22" s="950" t="s">
        <v>806</v>
      </c>
      <c r="D22" s="980" t="s">
        <v>1403</v>
      </c>
      <c r="E22" s="960" t="s">
        <v>1069</v>
      </c>
      <c r="F22" s="951">
        <v>95000</v>
      </c>
      <c r="G22" s="952">
        <v>0</v>
      </c>
      <c r="H22" s="951">
        <v>95000</v>
      </c>
      <c r="I22" s="953">
        <v>2726.5</v>
      </c>
      <c r="J22" s="951">
        <v>10500.38</v>
      </c>
      <c r="K22" s="953">
        <v>2888</v>
      </c>
      <c r="L22" s="951">
        <v>6740.46</v>
      </c>
      <c r="M22" s="953">
        <f>+I22+J22+K22+L22</f>
        <v>22855.34</v>
      </c>
      <c r="N22" s="953">
        <f>+H22-M22</f>
        <v>72144.66</v>
      </c>
    </row>
    <row r="23" spans="2:14" ht="18.75" x14ac:dyDescent="0.3">
      <c r="B23" s="955" t="s">
        <v>756</v>
      </c>
      <c r="C23" s="968" t="s">
        <v>807</v>
      </c>
      <c r="D23" s="960" t="s">
        <v>276</v>
      </c>
      <c r="E23" s="960" t="s">
        <v>307</v>
      </c>
      <c r="F23" s="951">
        <v>43500</v>
      </c>
      <c r="G23" s="974">
        <v>0</v>
      </c>
      <c r="H23" s="951">
        <v>43500</v>
      </c>
      <c r="I23" s="951">
        <v>1248.45</v>
      </c>
      <c r="J23" s="974">
        <v>936.62</v>
      </c>
      <c r="K23" s="951">
        <v>1322.4</v>
      </c>
      <c r="L23" s="951">
        <v>25</v>
      </c>
      <c r="M23" s="953">
        <f>+I23+J23+K23+L23</f>
        <v>3532.4700000000003</v>
      </c>
      <c r="N23" s="953">
        <f>+H23-M23</f>
        <v>39967.53</v>
      </c>
    </row>
    <row r="24" spans="2:14" ht="18.75" x14ac:dyDescent="0.3">
      <c r="B24" s="955" t="s">
        <v>962</v>
      </c>
      <c r="C24" s="968" t="s">
        <v>806</v>
      </c>
      <c r="D24" s="960" t="s">
        <v>276</v>
      </c>
      <c r="E24" s="960" t="s">
        <v>307</v>
      </c>
      <c r="F24" s="951">
        <v>37500</v>
      </c>
      <c r="G24" s="974">
        <v>0</v>
      </c>
      <c r="H24" s="951">
        <v>37500</v>
      </c>
      <c r="I24" s="951">
        <v>1076.25</v>
      </c>
      <c r="J24" s="974">
        <v>89.81</v>
      </c>
      <c r="K24" s="951">
        <v>1140</v>
      </c>
      <c r="L24" s="951">
        <v>25</v>
      </c>
      <c r="M24" s="951">
        <f t="shared" ref="M24" si="1">+I24+J24+K24+L24</f>
        <v>2331.06</v>
      </c>
      <c r="N24" s="951">
        <f t="shared" ref="N24" si="2">+H24-M24</f>
        <v>35168.94</v>
      </c>
    </row>
    <row r="25" spans="2:14" ht="18.75" x14ac:dyDescent="0.3">
      <c r="B25" s="961" t="s">
        <v>752</v>
      </c>
      <c r="C25" s="950"/>
      <c r="D25" s="962">
        <v>3</v>
      </c>
      <c r="E25" s="962"/>
      <c r="F25" s="963">
        <f>SUM(F22:F24)</f>
        <v>176000</v>
      </c>
      <c r="G25" s="1071">
        <v>0</v>
      </c>
      <c r="H25" s="963">
        <f t="shared" ref="H25:N25" si="3">SUM(H22:H24)</f>
        <v>176000</v>
      </c>
      <c r="I25" s="963">
        <f>SUM(I22:I24)</f>
        <v>5051.2</v>
      </c>
      <c r="J25" s="963">
        <f t="shared" si="3"/>
        <v>11526.81</v>
      </c>
      <c r="K25" s="963">
        <f t="shared" si="3"/>
        <v>5350.4</v>
      </c>
      <c r="L25" s="963">
        <f t="shared" si="3"/>
        <v>6790.46</v>
      </c>
      <c r="M25" s="963">
        <f t="shared" si="3"/>
        <v>28718.870000000003</v>
      </c>
      <c r="N25" s="963">
        <f t="shared" si="3"/>
        <v>147281.13</v>
      </c>
    </row>
    <row r="26" spans="2:14" ht="18.75" x14ac:dyDescent="0.3">
      <c r="B26" s="961"/>
      <c r="C26" s="950"/>
      <c r="D26" s="967"/>
      <c r="E26" s="967"/>
      <c r="F26" s="963"/>
      <c r="G26" s="952"/>
      <c r="H26" s="965"/>
      <c r="I26" s="965"/>
      <c r="J26" s="963"/>
      <c r="K26" s="965"/>
      <c r="L26" s="963"/>
      <c r="M26" s="965"/>
      <c r="N26" s="965"/>
    </row>
    <row r="27" spans="2:14" ht="18.75" x14ac:dyDescent="0.3">
      <c r="B27" s="961" t="s">
        <v>753</v>
      </c>
      <c r="C27" s="950"/>
      <c r="D27" s="960"/>
      <c r="E27" s="960"/>
      <c r="F27" s="951"/>
      <c r="G27" s="952"/>
      <c r="H27" s="953"/>
      <c r="I27" s="953"/>
      <c r="J27" s="951"/>
      <c r="K27" s="953"/>
      <c r="L27" s="951"/>
      <c r="M27" s="953"/>
      <c r="N27" s="953"/>
    </row>
    <row r="28" spans="2:14" ht="18.75" x14ac:dyDescent="0.3">
      <c r="B28" s="958" t="s">
        <v>224</v>
      </c>
      <c r="C28" s="950" t="s">
        <v>806</v>
      </c>
      <c r="D28" s="960" t="s">
        <v>248</v>
      </c>
      <c r="E28" s="960" t="s">
        <v>307</v>
      </c>
      <c r="F28" s="951">
        <v>43500</v>
      </c>
      <c r="G28" s="952">
        <v>0</v>
      </c>
      <c r="H28" s="953">
        <v>43500</v>
      </c>
      <c r="I28" s="953">
        <v>1248.45</v>
      </c>
      <c r="J28" s="974">
        <v>936.62</v>
      </c>
      <c r="K28" s="953">
        <v>1322.4</v>
      </c>
      <c r="L28" s="951">
        <v>1296.7</v>
      </c>
      <c r="M28" s="953">
        <f>+I28+J28+K28+L28</f>
        <v>4804.17</v>
      </c>
      <c r="N28" s="953">
        <f>+H28-M28</f>
        <v>38695.83</v>
      </c>
    </row>
    <row r="29" spans="2:14" ht="18.75" x14ac:dyDescent="0.3">
      <c r="B29" s="961" t="s">
        <v>749</v>
      </c>
      <c r="C29" s="950"/>
      <c r="D29" s="962">
        <v>1</v>
      </c>
      <c r="E29" s="962"/>
      <c r="F29" s="963">
        <f t="shared" ref="F29:N29" si="4">SUM(F28:F28)</f>
        <v>43500</v>
      </c>
      <c r="G29" s="964">
        <f t="shared" si="4"/>
        <v>0</v>
      </c>
      <c r="H29" s="965">
        <f t="shared" si="4"/>
        <v>43500</v>
      </c>
      <c r="I29" s="965">
        <f t="shared" si="4"/>
        <v>1248.45</v>
      </c>
      <c r="J29" s="963">
        <f t="shared" si="4"/>
        <v>936.62</v>
      </c>
      <c r="K29" s="965">
        <f t="shared" si="4"/>
        <v>1322.4</v>
      </c>
      <c r="L29" s="963">
        <f t="shared" si="4"/>
        <v>1296.7</v>
      </c>
      <c r="M29" s="965">
        <f t="shared" si="4"/>
        <v>4804.17</v>
      </c>
      <c r="N29" s="965">
        <f t="shared" si="4"/>
        <v>38695.83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1"/>
      <c r="K30" s="953"/>
      <c r="L30" s="951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3"/>
      <c r="K31" s="965"/>
      <c r="L31" s="963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1">
        <v>30812.9</v>
      </c>
      <c r="K32" s="953">
        <v>5624</v>
      </c>
      <c r="L32" s="951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74">
        <v>679.3</v>
      </c>
      <c r="K33" s="953">
        <v>1322.4</v>
      </c>
      <c r="L33" s="951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74">
        <v>936.62</v>
      </c>
      <c r="K34" s="953">
        <v>1322.4</v>
      </c>
      <c r="L34" s="951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74">
        <v>89.81</v>
      </c>
      <c r="K35" s="953">
        <v>1140</v>
      </c>
      <c r="L35" s="951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74">
        <v>936.62</v>
      </c>
      <c r="K36" s="953">
        <v>1322.4</v>
      </c>
      <c r="L36" s="951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5" t="s">
        <v>1143</v>
      </c>
      <c r="C37" s="950" t="s">
        <v>807</v>
      </c>
      <c r="D37" s="960" t="s">
        <v>276</v>
      </c>
      <c r="E37" s="960" t="s">
        <v>307</v>
      </c>
      <c r="F37" s="951">
        <v>43500</v>
      </c>
      <c r="G37" s="974">
        <v>0</v>
      </c>
      <c r="H37" s="951">
        <v>43500</v>
      </c>
      <c r="I37" s="951">
        <v>1248.45</v>
      </c>
      <c r="J37" s="974">
        <v>936.62</v>
      </c>
      <c r="K37" s="951">
        <v>1322.4</v>
      </c>
      <c r="L37" s="951">
        <v>25</v>
      </c>
      <c r="M37" s="951">
        <f>+I37+J37+K37+L37</f>
        <v>3532.4700000000003</v>
      </c>
      <c r="N37" s="951">
        <f>+H37-M37</f>
        <v>39967.53</v>
      </c>
    </row>
    <row r="38" spans="2:14" ht="18.75" x14ac:dyDescent="0.3">
      <c r="B38" s="955" t="s">
        <v>1437</v>
      </c>
      <c r="C38" s="950" t="s">
        <v>807</v>
      </c>
      <c r="D38" s="960" t="s">
        <v>276</v>
      </c>
      <c r="E38" s="960" t="s">
        <v>307</v>
      </c>
      <c r="F38" s="951">
        <v>43500</v>
      </c>
      <c r="G38" s="974">
        <v>0</v>
      </c>
      <c r="H38" s="951">
        <v>43500</v>
      </c>
      <c r="I38" s="951">
        <v>1248.45</v>
      </c>
      <c r="J38" s="974">
        <v>936.62</v>
      </c>
      <c r="K38" s="951">
        <v>1322.4</v>
      </c>
      <c r="L38" s="951">
        <v>25</v>
      </c>
      <c r="M38" s="951">
        <f>+I38+J38+K38+L38</f>
        <v>3532.4700000000003</v>
      </c>
      <c r="N38" s="951">
        <f>+H38-M38</f>
        <v>39967.53</v>
      </c>
    </row>
    <row r="39" spans="2:14" ht="18.75" x14ac:dyDescent="0.3">
      <c r="B39" s="955" t="s">
        <v>1323</v>
      </c>
      <c r="C39" s="950" t="s">
        <v>807</v>
      </c>
      <c r="D39" s="960" t="s">
        <v>337</v>
      </c>
      <c r="E39" s="960" t="s">
        <v>321</v>
      </c>
      <c r="F39" s="951">
        <v>55000</v>
      </c>
      <c r="G39" s="974">
        <v>0</v>
      </c>
      <c r="H39" s="951">
        <v>55000</v>
      </c>
      <c r="I39" s="951">
        <v>1578.5</v>
      </c>
      <c r="J39" s="951">
        <v>2559.6799999999998</v>
      </c>
      <c r="K39" s="951">
        <v>1672</v>
      </c>
      <c r="L39" s="951">
        <v>25</v>
      </c>
      <c r="M39" s="951">
        <f t="shared" ref="M39" si="5">+I39+J39+K39+L39</f>
        <v>5835.18</v>
      </c>
      <c r="N39" s="951">
        <f t="shared" ref="N39" si="6">+H39-M39</f>
        <v>49164.82</v>
      </c>
    </row>
    <row r="40" spans="2:14" ht="18.75" x14ac:dyDescent="0.3">
      <c r="B40" s="958" t="s">
        <v>1347</v>
      </c>
      <c r="C40" s="950" t="s">
        <v>807</v>
      </c>
      <c r="D40" s="977" t="s">
        <v>327</v>
      </c>
      <c r="E40" s="960" t="s">
        <v>321</v>
      </c>
      <c r="F40" s="951">
        <v>43500</v>
      </c>
      <c r="G40" s="952">
        <v>0</v>
      </c>
      <c r="H40" s="953">
        <v>43500</v>
      </c>
      <c r="I40" s="953">
        <v>1248.45</v>
      </c>
      <c r="J40" s="974">
        <v>936.62</v>
      </c>
      <c r="K40" s="953">
        <v>1322.4</v>
      </c>
      <c r="L40" s="951">
        <v>25</v>
      </c>
      <c r="M40" s="953">
        <f>+I40+J40+K40+L40</f>
        <v>3532.4700000000003</v>
      </c>
      <c r="N40" s="953">
        <f>+H40-M40</f>
        <v>39967.53</v>
      </c>
    </row>
    <row r="41" spans="2:14" ht="18.75" x14ac:dyDescent="0.3">
      <c r="B41" s="961" t="s">
        <v>749</v>
      </c>
      <c r="C41" s="950"/>
      <c r="D41" s="962">
        <v>9</v>
      </c>
      <c r="E41" s="962"/>
      <c r="F41" s="963">
        <f>SUM(F32:F40)</f>
        <v>538500</v>
      </c>
      <c r="G41" s="1071">
        <v>0</v>
      </c>
      <c r="H41" s="963">
        <f t="shared" ref="H41:N41" si="7">SUM(H32:H40)</f>
        <v>538500</v>
      </c>
      <c r="I41" s="963">
        <f t="shared" si="7"/>
        <v>15454.950000000003</v>
      </c>
      <c r="J41" s="963">
        <f t="shared" si="7"/>
        <v>38824.790000000008</v>
      </c>
      <c r="K41" s="963">
        <f t="shared" si="7"/>
        <v>16370.399999999998</v>
      </c>
      <c r="L41" s="963">
        <f t="shared" si="7"/>
        <v>7186.84</v>
      </c>
      <c r="M41" s="963">
        <f t="shared" si="7"/>
        <v>77836.98000000001</v>
      </c>
      <c r="N41" s="963">
        <f t="shared" si="7"/>
        <v>460663.02</v>
      </c>
    </row>
    <row r="42" spans="2:14" ht="18.75" x14ac:dyDescent="0.3">
      <c r="B42" s="961"/>
      <c r="C42" s="950"/>
      <c r="D42" s="962"/>
      <c r="E42" s="962"/>
      <c r="F42" s="963"/>
      <c r="G42" s="964"/>
      <c r="H42" s="965"/>
      <c r="I42" s="965"/>
      <c r="J42" s="963"/>
      <c r="K42" s="965"/>
      <c r="L42" s="963"/>
      <c r="M42" s="965"/>
      <c r="N42" s="965"/>
    </row>
    <row r="43" spans="2:14" ht="18.75" x14ac:dyDescent="0.3">
      <c r="B43" s="961" t="s">
        <v>1144</v>
      </c>
      <c r="C43" s="950"/>
      <c r="D43" s="962"/>
      <c r="E43" s="962"/>
      <c r="F43" s="963"/>
      <c r="G43" s="964"/>
      <c r="H43" s="965"/>
      <c r="I43" s="965"/>
      <c r="J43" s="963"/>
      <c r="K43" s="965"/>
      <c r="L43" s="963"/>
      <c r="M43" s="965"/>
      <c r="N43" s="965"/>
    </row>
    <row r="44" spans="2:14" ht="18.75" customHeight="1" x14ac:dyDescent="0.3">
      <c r="B44" s="955" t="s">
        <v>924</v>
      </c>
      <c r="C44" s="969" t="s">
        <v>807</v>
      </c>
      <c r="D44" s="970" t="s">
        <v>925</v>
      </c>
      <c r="E44" s="960" t="s">
        <v>1069</v>
      </c>
      <c r="F44" s="951">
        <v>75000</v>
      </c>
      <c r="G44" s="971">
        <v>0</v>
      </c>
      <c r="H44" s="972">
        <v>75000</v>
      </c>
      <c r="I44" s="972">
        <v>2152.5</v>
      </c>
      <c r="J44" s="951">
        <v>6309.38</v>
      </c>
      <c r="K44" s="972">
        <v>2280</v>
      </c>
      <c r="L44" s="951">
        <v>25</v>
      </c>
      <c r="M44" s="953">
        <f>+I44+J44+K44+L44</f>
        <v>10766.880000000001</v>
      </c>
      <c r="N44" s="953">
        <f>+H44-M44</f>
        <v>64233.119999999995</v>
      </c>
    </row>
    <row r="45" spans="2:14" ht="18.75" x14ac:dyDescent="0.3">
      <c r="B45" s="961" t="s">
        <v>749</v>
      </c>
      <c r="C45" s="950"/>
      <c r="D45" s="962">
        <v>1</v>
      </c>
      <c r="E45" s="962"/>
      <c r="F45" s="963">
        <f>SUM(F44)</f>
        <v>75000</v>
      </c>
      <c r="G45" s="964">
        <f>SUM(G44)</f>
        <v>0</v>
      </c>
      <c r="H45" s="965">
        <v>75000</v>
      </c>
      <c r="I45" s="965">
        <f t="shared" ref="I45:N45" si="8">SUM(I44)</f>
        <v>2152.5</v>
      </c>
      <c r="J45" s="963">
        <f t="shared" si="8"/>
        <v>6309.38</v>
      </c>
      <c r="K45" s="965">
        <f t="shared" si="8"/>
        <v>2280</v>
      </c>
      <c r="L45" s="963">
        <f t="shared" si="8"/>
        <v>25</v>
      </c>
      <c r="M45" s="965">
        <f t="shared" si="8"/>
        <v>10766.880000000001</v>
      </c>
      <c r="N45" s="965">
        <f t="shared" si="8"/>
        <v>64233.119999999995</v>
      </c>
    </row>
    <row r="46" spans="2:14" ht="18.75" x14ac:dyDescent="0.3">
      <c r="B46" s="961"/>
      <c r="C46" s="950"/>
      <c r="D46" s="962"/>
      <c r="E46" s="962"/>
      <c r="F46" s="963"/>
      <c r="G46" s="964"/>
      <c r="H46" s="965"/>
      <c r="I46" s="965"/>
      <c r="J46" s="963"/>
      <c r="K46" s="965"/>
      <c r="L46" s="963"/>
      <c r="M46" s="965"/>
      <c r="N46" s="965"/>
    </row>
    <row r="47" spans="2:14" ht="18.75" x14ac:dyDescent="0.3">
      <c r="B47" s="961" t="s">
        <v>644</v>
      </c>
      <c r="C47" s="950"/>
      <c r="D47" s="967"/>
      <c r="E47" s="967"/>
      <c r="F47" s="963"/>
      <c r="G47" s="952"/>
      <c r="H47" s="965"/>
      <c r="I47" s="965"/>
      <c r="J47" s="963"/>
      <c r="K47" s="965"/>
      <c r="L47" s="963"/>
      <c r="M47" s="965"/>
      <c r="N47" s="965"/>
    </row>
    <row r="48" spans="2:14" ht="18.75" x14ac:dyDescent="0.3">
      <c r="B48" s="958" t="s">
        <v>751</v>
      </c>
      <c r="C48" s="950" t="s">
        <v>806</v>
      </c>
      <c r="D48" s="960" t="s">
        <v>120</v>
      </c>
      <c r="E48" s="960" t="s">
        <v>1067</v>
      </c>
      <c r="F48" s="951">
        <v>30000</v>
      </c>
      <c r="G48" s="952">
        <v>0</v>
      </c>
      <c r="H48" s="953">
        <v>30000</v>
      </c>
      <c r="I48" s="953">
        <v>861</v>
      </c>
      <c r="J48" s="974">
        <v>0</v>
      </c>
      <c r="K48" s="953">
        <v>912</v>
      </c>
      <c r="L48" s="951">
        <v>1740.46</v>
      </c>
      <c r="M48" s="953">
        <f>+I48+J48+K48+L48</f>
        <v>3513.46</v>
      </c>
      <c r="N48" s="953">
        <f>+H48-M48</f>
        <v>26486.54</v>
      </c>
    </row>
    <row r="49" spans="2:14" ht="18.75" x14ac:dyDescent="0.3">
      <c r="B49" s="955" t="s">
        <v>1177</v>
      </c>
      <c r="C49" s="950" t="s">
        <v>807</v>
      </c>
      <c r="D49" s="960" t="s">
        <v>125</v>
      </c>
      <c r="E49" s="960" t="s">
        <v>307</v>
      </c>
      <c r="F49" s="951">
        <v>31500</v>
      </c>
      <c r="G49" s="974">
        <v>0</v>
      </c>
      <c r="H49" s="951">
        <v>31500</v>
      </c>
      <c r="I49" s="974">
        <v>904.05</v>
      </c>
      <c r="J49" s="974">
        <v>0</v>
      </c>
      <c r="K49" s="951">
        <v>957.6</v>
      </c>
      <c r="L49" s="951">
        <v>25</v>
      </c>
      <c r="M49" s="953">
        <f>+I49+J49+K49+L49</f>
        <v>1886.65</v>
      </c>
      <c r="N49" s="953">
        <f>+H49-M49</f>
        <v>29613.35</v>
      </c>
    </row>
    <row r="50" spans="2:14" ht="18.75" x14ac:dyDescent="0.3">
      <c r="B50" s="961" t="s">
        <v>749</v>
      </c>
      <c r="C50" s="950"/>
      <c r="D50" s="962">
        <v>2</v>
      </c>
      <c r="E50" s="962"/>
      <c r="F50" s="963">
        <f>SUM(F48:F49)</f>
        <v>61500</v>
      </c>
      <c r="G50" s="964">
        <f t="shared" ref="G50:N50" si="9">SUM(G48:G49)</f>
        <v>0</v>
      </c>
      <c r="H50" s="965">
        <f t="shared" si="9"/>
        <v>61500</v>
      </c>
      <c r="I50" s="965">
        <f t="shared" si="9"/>
        <v>1765.05</v>
      </c>
      <c r="J50" s="1071">
        <f t="shared" si="9"/>
        <v>0</v>
      </c>
      <c r="K50" s="965">
        <f t="shared" si="9"/>
        <v>1869.6</v>
      </c>
      <c r="L50" s="963">
        <f t="shared" si="9"/>
        <v>1765.46</v>
      </c>
      <c r="M50" s="965">
        <f t="shared" si="9"/>
        <v>5400.1100000000006</v>
      </c>
      <c r="N50" s="965">
        <f t="shared" si="9"/>
        <v>56099.89</v>
      </c>
    </row>
    <row r="51" spans="2:14" ht="18.75" x14ac:dyDescent="0.3">
      <c r="B51" s="961"/>
      <c r="C51" s="950"/>
      <c r="D51" s="967"/>
      <c r="E51" s="967"/>
      <c r="F51" s="963"/>
      <c r="G51" s="964"/>
      <c r="H51" s="965"/>
      <c r="I51" s="965"/>
      <c r="J51" s="963"/>
      <c r="K51" s="965"/>
      <c r="L51" s="963"/>
      <c r="M51" s="965"/>
      <c r="N51" s="965"/>
    </row>
    <row r="52" spans="2:14" ht="18.75" x14ac:dyDescent="0.3">
      <c r="B52" s="961" t="s">
        <v>645</v>
      </c>
      <c r="C52" s="950"/>
      <c r="D52" s="967"/>
      <c r="E52" s="967"/>
      <c r="F52" s="963"/>
      <c r="G52" s="964"/>
      <c r="H52" s="965"/>
      <c r="I52" s="965"/>
      <c r="J52" s="963"/>
      <c r="K52" s="965"/>
      <c r="L52" s="963"/>
      <c r="M52" s="965"/>
      <c r="N52" s="965"/>
    </row>
    <row r="53" spans="2:14" ht="18.75" x14ac:dyDescent="0.3">
      <c r="B53" s="958" t="s">
        <v>226</v>
      </c>
      <c r="C53" s="950" t="s">
        <v>806</v>
      </c>
      <c r="D53" s="959" t="s">
        <v>1019</v>
      </c>
      <c r="E53" s="960" t="s">
        <v>307</v>
      </c>
      <c r="F53" s="951">
        <v>35000</v>
      </c>
      <c r="G53" s="952">
        <v>0</v>
      </c>
      <c r="H53" s="953">
        <v>35000</v>
      </c>
      <c r="I53" s="953">
        <v>1004.5</v>
      </c>
      <c r="J53" s="974">
        <v>0</v>
      </c>
      <c r="K53" s="953">
        <v>1064</v>
      </c>
      <c r="L53" s="951">
        <v>25</v>
      </c>
      <c r="M53" s="953">
        <f>+I53+J53+K53+L53</f>
        <v>2093.5</v>
      </c>
      <c r="N53" s="953">
        <f>+H53-M53</f>
        <v>32906.5</v>
      </c>
    </row>
    <row r="54" spans="2:14" ht="18.75" x14ac:dyDescent="0.3">
      <c r="B54" s="961" t="s">
        <v>749</v>
      </c>
      <c r="C54" s="950"/>
      <c r="D54" s="962">
        <v>1</v>
      </c>
      <c r="E54" s="962"/>
      <c r="F54" s="963">
        <f t="shared" ref="F54:N54" si="10">SUM(F53:F53)</f>
        <v>35000</v>
      </c>
      <c r="G54" s="964">
        <f t="shared" si="10"/>
        <v>0</v>
      </c>
      <c r="H54" s="965">
        <f t="shared" si="10"/>
        <v>35000</v>
      </c>
      <c r="I54" s="965">
        <f t="shared" si="10"/>
        <v>1004.5</v>
      </c>
      <c r="J54" s="1071">
        <f t="shared" si="10"/>
        <v>0</v>
      </c>
      <c r="K54" s="965">
        <f t="shared" si="10"/>
        <v>1064</v>
      </c>
      <c r="L54" s="963">
        <f t="shared" si="10"/>
        <v>25</v>
      </c>
      <c r="M54" s="965">
        <f t="shared" si="10"/>
        <v>2093.5</v>
      </c>
      <c r="N54" s="965">
        <f t="shared" si="10"/>
        <v>32906.5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3"/>
      <c r="K55" s="965"/>
      <c r="L55" s="963"/>
      <c r="M55" s="965"/>
      <c r="N55" s="965"/>
    </row>
    <row r="56" spans="2:14" ht="18.75" x14ac:dyDescent="0.3">
      <c r="B56" s="961" t="s">
        <v>1145</v>
      </c>
      <c r="C56" s="950"/>
      <c r="D56" s="967"/>
      <c r="E56" s="967"/>
      <c r="F56" s="963"/>
      <c r="G56" s="952"/>
      <c r="H56" s="965"/>
      <c r="I56" s="965"/>
      <c r="J56" s="963"/>
      <c r="K56" s="965"/>
      <c r="L56" s="963"/>
      <c r="M56" s="965"/>
      <c r="N56" s="965"/>
    </row>
    <row r="57" spans="2:14" ht="18.75" x14ac:dyDescent="0.3">
      <c r="B57" s="958" t="s">
        <v>169</v>
      </c>
      <c r="C57" s="950" t="s">
        <v>807</v>
      </c>
      <c r="D57" s="960" t="s">
        <v>309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74">
        <v>936.62</v>
      </c>
      <c r="K57" s="953">
        <v>1322.4</v>
      </c>
      <c r="L57" s="951">
        <v>1296.7</v>
      </c>
      <c r="M57" s="953">
        <f>+I57+J57+K57+L57</f>
        <v>4804.17</v>
      </c>
      <c r="N57" s="953">
        <f>+H57-M57</f>
        <v>38695.83</v>
      </c>
    </row>
    <row r="58" spans="2:14" ht="18.75" x14ac:dyDescent="0.3">
      <c r="B58" s="958" t="s">
        <v>346</v>
      </c>
      <c r="C58" s="950" t="s">
        <v>806</v>
      </c>
      <c r="D58" s="960" t="s">
        <v>309</v>
      </c>
      <c r="E58" s="960" t="s">
        <v>307</v>
      </c>
      <c r="F58" s="951">
        <v>31500</v>
      </c>
      <c r="G58" s="952">
        <v>0</v>
      </c>
      <c r="H58" s="953">
        <v>31500</v>
      </c>
      <c r="I58" s="953">
        <v>904.05</v>
      </c>
      <c r="J58" s="974">
        <v>0</v>
      </c>
      <c r="K58" s="953">
        <v>957.6</v>
      </c>
      <c r="L58" s="951">
        <v>525</v>
      </c>
      <c r="M58" s="953">
        <f>+I58+J58+K58+L58</f>
        <v>2386.65</v>
      </c>
      <c r="N58" s="953">
        <f>+H58-M58</f>
        <v>29113.35</v>
      </c>
    </row>
    <row r="59" spans="2:14" ht="18.75" x14ac:dyDescent="0.3">
      <c r="B59" s="958" t="s">
        <v>171</v>
      </c>
      <c r="C59" s="950" t="s">
        <v>806</v>
      </c>
      <c r="D59" s="960" t="s">
        <v>309</v>
      </c>
      <c r="E59" s="960" t="s">
        <v>307</v>
      </c>
      <c r="F59" s="951">
        <v>31500</v>
      </c>
      <c r="G59" s="952">
        <v>0</v>
      </c>
      <c r="H59" s="953">
        <v>31500</v>
      </c>
      <c r="I59" s="953">
        <v>904.05</v>
      </c>
      <c r="J59" s="974">
        <v>0</v>
      </c>
      <c r="K59" s="953">
        <v>957.6</v>
      </c>
      <c r="L59" s="951">
        <v>454.5</v>
      </c>
      <c r="M59" s="953">
        <f>+I59+J59+K59+L59</f>
        <v>2316.15</v>
      </c>
      <c r="N59" s="953">
        <f>+H59-M59</f>
        <v>29183.85</v>
      </c>
    </row>
    <row r="60" spans="2:14" ht="18.75" x14ac:dyDescent="0.3">
      <c r="B60" s="961" t="s">
        <v>749</v>
      </c>
      <c r="C60" s="950"/>
      <c r="D60" s="962">
        <v>3</v>
      </c>
      <c r="E60" s="962"/>
      <c r="F60" s="963">
        <f>SUM(F57:F59)</f>
        <v>106500</v>
      </c>
      <c r="G60" s="964">
        <f t="shared" ref="G60:N60" si="11">SUM(G57:G59)</f>
        <v>0</v>
      </c>
      <c r="H60" s="965">
        <f>SUM(H57:H59)</f>
        <v>106500</v>
      </c>
      <c r="I60" s="965">
        <f>SUM(I57:I59)</f>
        <v>3056.55</v>
      </c>
      <c r="J60" s="1071">
        <f>SUM(J57:J59)</f>
        <v>936.62</v>
      </c>
      <c r="K60" s="965">
        <f t="shared" si="11"/>
        <v>3237.6</v>
      </c>
      <c r="L60" s="963">
        <f>SUM(L57:L59)</f>
        <v>2276.1999999999998</v>
      </c>
      <c r="M60" s="965">
        <f t="shared" si="11"/>
        <v>9506.9699999999993</v>
      </c>
      <c r="N60" s="965">
        <f t="shared" si="11"/>
        <v>96993.03</v>
      </c>
    </row>
    <row r="61" spans="2:14" ht="18.75" x14ac:dyDescent="0.3">
      <c r="B61" s="961"/>
      <c r="C61" s="950"/>
      <c r="D61" s="967"/>
      <c r="E61" s="967"/>
      <c r="F61" s="963"/>
      <c r="G61" s="964"/>
      <c r="H61" s="965"/>
      <c r="I61" s="965"/>
      <c r="J61" s="963"/>
      <c r="K61" s="964"/>
      <c r="L61" s="963"/>
      <c r="M61" s="965"/>
      <c r="N61" s="965"/>
    </row>
    <row r="62" spans="2:14" ht="18.75" x14ac:dyDescent="0.3">
      <c r="B62" s="961" t="s">
        <v>1135</v>
      </c>
      <c r="C62" s="950"/>
      <c r="D62" s="967"/>
      <c r="E62" s="967"/>
      <c r="F62" s="963"/>
      <c r="G62" s="964"/>
      <c r="H62" s="965"/>
      <c r="I62" s="965"/>
      <c r="J62" s="963"/>
      <c r="K62" s="965"/>
      <c r="L62" s="963"/>
      <c r="M62" s="965"/>
      <c r="N62" s="965"/>
    </row>
    <row r="63" spans="2:14" ht="18.75" x14ac:dyDescent="0.3">
      <c r="B63" s="955" t="s">
        <v>545</v>
      </c>
      <c r="C63" s="950" t="s">
        <v>806</v>
      </c>
      <c r="D63" s="960" t="s">
        <v>1139</v>
      </c>
      <c r="E63" s="960" t="s">
        <v>307</v>
      </c>
      <c r="F63" s="951">
        <v>43500</v>
      </c>
      <c r="G63" s="952">
        <v>0</v>
      </c>
      <c r="H63" s="953">
        <v>43500</v>
      </c>
      <c r="I63" s="953">
        <v>1248.45</v>
      </c>
      <c r="J63" s="951">
        <v>936.62</v>
      </c>
      <c r="K63" s="953">
        <v>1322.4</v>
      </c>
      <c r="L63" s="951">
        <v>25</v>
      </c>
      <c r="M63" s="953">
        <f t="shared" ref="M63:M71" si="12">+I63+J63+K63+L63</f>
        <v>3532.4700000000003</v>
      </c>
      <c r="N63" s="953">
        <f t="shared" ref="N63:N71" si="13">+H63-M63</f>
        <v>39967.53</v>
      </c>
    </row>
    <row r="64" spans="2:14" ht="18.75" x14ac:dyDescent="0.3">
      <c r="B64" s="958" t="s">
        <v>99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74">
        <v>0</v>
      </c>
      <c r="K64" s="953">
        <v>912</v>
      </c>
      <c r="L64" s="951">
        <v>125</v>
      </c>
      <c r="M64" s="953">
        <f t="shared" si="12"/>
        <v>1898</v>
      </c>
      <c r="N64" s="953">
        <f t="shared" si="13"/>
        <v>28102</v>
      </c>
    </row>
    <row r="65" spans="2:14" ht="18.75" x14ac:dyDescent="0.3">
      <c r="B65" s="958" t="s">
        <v>129</v>
      </c>
      <c r="C65" s="950" t="s">
        <v>806</v>
      </c>
      <c r="D65" s="960" t="s">
        <v>1019</v>
      </c>
      <c r="E65" s="960" t="s">
        <v>1067</v>
      </c>
      <c r="F65" s="951">
        <v>30000</v>
      </c>
      <c r="G65" s="952">
        <v>0</v>
      </c>
      <c r="H65" s="953">
        <v>30000</v>
      </c>
      <c r="I65" s="953">
        <v>861</v>
      </c>
      <c r="J65" s="974">
        <v>0</v>
      </c>
      <c r="K65" s="953">
        <v>912</v>
      </c>
      <c r="L65" s="951">
        <v>4269.3999999999996</v>
      </c>
      <c r="M65" s="953">
        <f t="shared" si="12"/>
        <v>6042.4</v>
      </c>
      <c r="N65" s="953">
        <f t="shared" si="13"/>
        <v>23957.599999999999</v>
      </c>
    </row>
    <row r="66" spans="2:14" ht="18.75" x14ac:dyDescent="0.3">
      <c r="B66" s="958" t="s">
        <v>649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52">
        <v>0</v>
      </c>
      <c r="H66" s="953">
        <v>30000</v>
      </c>
      <c r="I66" s="953">
        <v>861</v>
      </c>
      <c r="J66" s="974">
        <v>0</v>
      </c>
      <c r="K66" s="953">
        <v>912</v>
      </c>
      <c r="L66" s="951">
        <v>25</v>
      </c>
      <c r="M66" s="953">
        <f t="shared" si="12"/>
        <v>1798</v>
      </c>
      <c r="N66" s="953">
        <f t="shared" si="13"/>
        <v>28202</v>
      </c>
    </row>
    <row r="67" spans="2:14" ht="18.75" x14ac:dyDescent="0.3">
      <c r="B67" s="955" t="s">
        <v>1175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1">
        <v>861</v>
      </c>
      <c r="J67" s="974">
        <v>0</v>
      </c>
      <c r="K67" s="951">
        <v>912</v>
      </c>
      <c r="L67" s="951">
        <v>25</v>
      </c>
      <c r="M67" s="953">
        <f t="shared" si="12"/>
        <v>1798</v>
      </c>
      <c r="N67" s="953">
        <f t="shared" si="13"/>
        <v>28202</v>
      </c>
    </row>
    <row r="68" spans="2:14" ht="18.75" x14ac:dyDescent="0.3">
      <c r="B68" s="958" t="s">
        <v>899</v>
      </c>
      <c r="C68" s="950" t="s">
        <v>806</v>
      </c>
      <c r="D68" s="960" t="s">
        <v>92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74">
        <v>0</v>
      </c>
      <c r="K68" s="953">
        <v>912</v>
      </c>
      <c r="L68" s="951">
        <v>2568.4</v>
      </c>
      <c r="M68" s="953">
        <f t="shared" si="12"/>
        <v>4341.3999999999996</v>
      </c>
      <c r="N68" s="953">
        <f t="shared" si="13"/>
        <v>25658.6</v>
      </c>
    </row>
    <row r="69" spans="2:14" ht="18.75" x14ac:dyDescent="0.3">
      <c r="B69" s="958" t="s">
        <v>1146</v>
      </c>
      <c r="C69" s="950" t="s">
        <v>806</v>
      </c>
      <c r="D69" s="960" t="s">
        <v>92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74">
        <v>0</v>
      </c>
      <c r="K69" s="953">
        <v>912</v>
      </c>
      <c r="L69" s="951">
        <v>25</v>
      </c>
      <c r="M69" s="953">
        <f t="shared" si="12"/>
        <v>1798</v>
      </c>
      <c r="N69" s="953">
        <f t="shared" si="13"/>
        <v>28202</v>
      </c>
    </row>
    <row r="70" spans="2:14" ht="18.75" x14ac:dyDescent="0.3">
      <c r="B70" s="958" t="s">
        <v>1317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74">
        <v>0</v>
      </c>
      <c r="K70" s="953">
        <v>912</v>
      </c>
      <c r="L70" s="951">
        <v>25</v>
      </c>
      <c r="M70" s="953">
        <f t="shared" si="12"/>
        <v>1798</v>
      </c>
      <c r="N70" s="953">
        <f t="shared" si="13"/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74">
        <v>0</v>
      </c>
      <c r="K71" s="953">
        <v>912</v>
      </c>
      <c r="L71" s="951">
        <v>25</v>
      </c>
      <c r="M71" s="953">
        <f t="shared" si="12"/>
        <v>1798</v>
      </c>
      <c r="N71" s="953">
        <f t="shared" si="13"/>
        <v>28202</v>
      </c>
    </row>
    <row r="72" spans="2:14" ht="18.75" x14ac:dyDescent="0.3">
      <c r="B72" s="958" t="s">
        <v>1438</v>
      </c>
      <c r="C72" s="950" t="s">
        <v>806</v>
      </c>
      <c r="D72" s="960" t="s">
        <v>1019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74">
        <v>0</v>
      </c>
      <c r="K72" s="953">
        <v>912</v>
      </c>
      <c r="L72" s="951">
        <v>25</v>
      </c>
      <c r="M72" s="953">
        <f t="shared" ref="M72:M73" si="14">+I72+J72+K72+L72</f>
        <v>1798</v>
      </c>
      <c r="N72" s="953">
        <f t="shared" ref="N72:N73" si="15">+H72-M72</f>
        <v>28202</v>
      </c>
    </row>
    <row r="73" spans="2:14" ht="18.75" x14ac:dyDescent="0.3">
      <c r="B73" s="958" t="s">
        <v>1439</v>
      </c>
      <c r="C73" s="950" t="s">
        <v>806</v>
      </c>
      <c r="D73" s="960" t="s">
        <v>268</v>
      </c>
      <c r="E73" s="960" t="s">
        <v>1067</v>
      </c>
      <c r="F73" s="951">
        <v>30000</v>
      </c>
      <c r="G73" s="974">
        <v>0</v>
      </c>
      <c r="H73" s="951">
        <v>30000</v>
      </c>
      <c r="I73" s="953">
        <v>861</v>
      </c>
      <c r="J73" s="974">
        <v>0</v>
      </c>
      <c r="K73" s="953">
        <v>912</v>
      </c>
      <c r="L73" s="951">
        <v>25</v>
      </c>
      <c r="M73" s="953">
        <f t="shared" si="14"/>
        <v>1798</v>
      </c>
      <c r="N73" s="953">
        <f t="shared" si="15"/>
        <v>28202</v>
      </c>
    </row>
    <row r="74" spans="2:14" ht="18.75" x14ac:dyDescent="0.3">
      <c r="B74" s="961" t="s">
        <v>755</v>
      </c>
      <c r="C74" s="950"/>
      <c r="D74" s="962">
        <v>11</v>
      </c>
      <c r="E74" s="962"/>
      <c r="F74" s="963">
        <f>SUM(F63:F73)</f>
        <v>343500</v>
      </c>
      <c r="G74" s="964">
        <f t="shared" ref="G74" si="16">SUM(G71:G73)</f>
        <v>0</v>
      </c>
      <c r="H74" s="963">
        <f t="shared" ref="H74:N74" si="17">SUM(H63:H73)</f>
        <v>343500</v>
      </c>
      <c r="I74" s="963">
        <f t="shared" si="17"/>
        <v>9858.4500000000007</v>
      </c>
      <c r="J74" s="963">
        <f t="shared" si="17"/>
        <v>936.62</v>
      </c>
      <c r="K74" s="963">
        <f t="shared" si="17"/>
        <v>10442.4</v>
      </c>
      <c r="L74" s="963">
        <f t="shared" si="17"/>
        <v>7162.7999999999993</v>
      </c>
      <c r="M74" s="963">
        <f t="shared" si="17"/>
        <v>28400.269999999997</v>
      </c>
      <c r="N74" s="963">
        <f t="shared" si="17"/>
        <v>315099.73</v>
      </c>
    </row>
    <row r="75" spans="2:14" ht="18.75" x14ac:dyDescent="0.3">
      <c r="B75" s="958"/>
      <c r="C75" s="950"/>
      <c r="D75" s="960"/>
      <c r="E75" s="960"/>
      <c r="F75" s="951"/>
      <c r="G75" s="952"/>
      <c r="H75" s="953"/>
      <c r="I75" s="953"/>
      <c r="J75" s="951"/>
      <c r="K75" s="953"/>
      <c r="L75" s="951"/>
      <c r="M75" s="953"/>
      <c r="N75" s="953"/>
    </row>
    <row r="76" spans="2:14" ht="18.75" x14ac:dyDescent="0.3">
      <c r="B76" s="975" t="s">
        <v>1134</v>
      </c>
      <c r="C76" s="950"/>
      <c r="D76" s="967"/>
      <c r="E76" s="967"/>
      <c r="F76" s="963"/>
      <c r="G76" s="964"/>
      <c r="H76" s="965"/>
      <c r="I76" s="965"/>
      <c r="J76" s="963"/>
      <c r="K76" s="965"/>
      <c r="L76" s="963"/>
      <c r="M76" s="965"/>
      <c r="N76" s="965"/>
    </row>
    <row r="77" spans="2:14" ht="18.75" x14ac:dyDescent="0.3">
      <c r="B77" s="955" t="s">
        <v>757</v>
      </c>
      <c r="C77" s="950" t="s">
        <v>807</v>
      </c>
      <c r="D77" s="960" t="s">
        <v>662</v>
      </c>
      <c r="E77" s="960" t="s">
        <v>307</v>
      </c>
      <c r="F77" s="951">
        <v>43500</v>
      </c>
      <c r="G77" s="952">
        <v>0</v>
      </c>
      <c r="H77" s="953">
        <v>43500</v>
      </c>
      <c r="I77" s="953">
        <v>1248.25</v>
      </c>
      <c r="J77" s="974">
        <v>936.32</v>
      </c>
      <c r="K77" s="953">
        <v>1322.4</v>
      </c>
      <c r="L77" s="951">
        <v>1025</v>
      </c>
      <c r="M77" s="953">
        <f t="shared" ref="M77:M87" si="18">+I77+J77+K77+L77</f>
        <v>4531.97</v>
      </c>
      <c r="N77" s="953">
        <f t="shared" ref="N77:N87" si="19">+H77-M77</f>
        <v>38968.03</v>
      </c>
    </row>
    <row r="78" spans="2:14" ht="18.75" x14ac:dyDescent="0.3">
      <c r="B78" s="955" t="s">
        <v>760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74">
        <v>0</v>
      </c>
      <c r="K78" s="953">
        <v>760</v>
      </c>
      <c r="L78" s="951">
        <v>125</v>
      </c>
      <c r="M78" s="953">
        <f t="shared" si="18"/>
        <v>1602.5</v>
      </c>
      <c r="N78" s="953">
        <f t="shared" si="19"/>
        <v>23397.5</v>
      </c>
    </row>
    <row r="79" spans="2:14" ht="18.75" x14ac:dyDescent="0.3">
      <c r="B79" s="955" t="s">
        <v>860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8"/>
        <v>1502.5</v>
      </c>
      <c r="N79" s="953">
        <f t="shared" si="19"/>
        <v>23497.5</v>
      </c>
    </row>
    <row r="80" spans="2:14" ht="18.75" x14ac:dyDescent="0.3">
      <c r="B80" s="955" t="s">
        <v>913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1525</v>
      </c>
      <c r="M80" s="951">
        <f t="shared" si="18"/>
        <v>3002.5</v>
      </c>
      <c r="N80" s="951">
        <f t="shared" si="19"/>
        <v>21997.5</v>
      </c>
    </row>
    <row r="81" spans="2:14" ht="21" customHeight="1" x14ac:dyDescent="0.3">
      <c r="B81" s="955" t="s">
        <v>1176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1">
        <f t="shared" si="18"/>
        <v>1502.5</v>
      </c>
      <c r="N81" s="951">
        <f t="shared" si="19"/>
        <v>23497.5</v>
      </c>
    </row>
    <row r="82" spans="2:14" ht="18.75" x14ac:dyDescent="0.3">
      <c r="B82" s="955" t="s">
        <v>1319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8"/>
        <v>1502.5</v>
      </c>
      <c r="N82" s="951">
        <f t="shared" si="19"/>
        <v>23497.5</v>
      </c>
    </row>
    <row r="83" spans="2:14" ht="18.75" x14ac:dyDescent="0.3">
      <c r="B83" s="955" t="s">
        <v>1320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8"/>
        <v>3502.5</v>
      </c>
      <c r="N83" s="951">
        <f t="shared" si="19"/>
        <v>21497.5</v>
      </c>
    </row>
    <row r="84" spans="2:14" ht="18.75" x14ac:dyDescent="0.3">
      <c r="B84" s="955" t="s">
        <v>1321</v>
      </c>
      <c r="C84" s="968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3025</v>
      </c>
      <c r="M84" s="951">
        <f t="shared" si="18"/>
        <v>4502.5</v>
      </c>
      <c r="N84" s="951">
        <f t="shared" si="19"/>
        <v>20497.5</v>
      </c>
    </row>
    <row r="85" spans="2:14" ht="18.75" x14ac:dyDescent="0.3">
      <c r="B85" s="955" t="s">
        <v>586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74">
        <v>0</v>
      </c>
      <c r="H85" s="951">
        <v>25000</v>
      </c>
      <c r="I85" s="951">
        <v>717.5</v>
      </c>
      <c r="J85" s="974">
        <v>0</v>
      </c>
      <c r="K85" s="951">
        <v>760</v>
      </c>
      <c r="L85" s="951">
        <v>25</v>
      </c>
      <c r="M85" s="951">
        <f t="shared" si="18"/>
        <v>1502.5</v>
      </c>
      <c r="N85" s="951">
        <f t="shared" si="19"/>
        <v>23497.5</v>
      </c>
    </row>
    <row r="86" spans="2:14" ht="18.75" x14ac:dyDescent="0.3">
      <c r="B86" s="955" t="s">
        <v>1075</v>
      </c>
      <c r="C86" s="950" t="s">
        <v>807</v>
      </c>
      <c r="D86" s="960" t="s">
        <v>105</v>
      </c>
      <c r="E86" s="960" t="s">
        <v>1067</v>
      </c>
      <c r="F86" s="951">
        <v>25000</v>
      </c>
      <c r="G86" s="974">
        <v>0</v>
      </c>
      <c r="H86" s="951">
        <v>25000</v>
      </c>
      <c r="I86" s="951">
        <v>717.5</v>
      </c>
      <c r="J86" s="974">
        <v>0</v>
      </c>
      <c r="K86" s="951">
        <v>760</v>
      </c>
      <c r="L86" s="951">
        <v>2025</v>
      </c>
      <c r="M86" s="951">
        <f t="shared" si="18"/>
        <v>3502.5</v>
      </c>
      <c r="N86" s="951">
        <f t="shared" si="19"/>
        <v>21497.5</v>
      </c>
    </row>
    <row r="87" spans="2:14" ht="18.75" x14ac:dyDescent="0.3">
      <c r="B87" s="955" t="s">
        <v>119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3839.91</v>
      </c>
      <c r="M87" s="953">
        <f t="shared" si="18"/>
        <v>5701.5599999999995</v>
      </c>
      <c r="N87" s="953">
        <f t="shared" si="19"/>
        <v>25798.440000000002</v>
      </c>
    </row>
    <row r="88" spans="2:14" ht="18.75" x14ac:dyDescent="0.3">
      <c r="B88" s="958" t="s">
        <v>1335</v>
      </c>
      <c r="C88" s="950" t="s">
        <v>806</v>
      </c>
      <c r="D88" s="960" t="s">
        <v>912</v>
      </c>
      <c r="E88" s="960" t="s">
        <v>1067</v>
      </c>
      <c r="F88" s="951">
        <v>30000</v>
      </c>
      <c r="G88" s="974">
        <v>0</v>
      </c>
      <c r="H88" s="951">
        <v>30000</v>
      </c>
      <c r="I88" s="953">
        <v>861</v>
      </c>
      <c r="J88" s="974">
        <v>0</v>
      </c>
      <c r="K88" s="953">
        <v>912</v>
      </c>
      <c r="L88" s="951">
        <v>25</v>
      </c>
      <c r="M88" s="953">
        <f>+I88+J88+K88+L88</f>
        <v>1798</v>
      </c>
      <c r="N88" s="953">
        <f>+H88-M88</f>
        <v>28202</v>
      </c>
    </row>
    <row r="89" spans="2:14" ht="18.75" x14ac:dyDescent="0.3">
      <c r="B89" s="961" t="s">
        <v>763</v>
      </c>
      <c r="C89" s="950"/>
      <c r="D89" s="962">
        <v>12</v>
      </c>
      <c r="E89" s="962"/>
      <c r="F89" s="963">
        <f>SUM(F77:F88)</f>
        <v>330000</v>
      </c>
      <c r="G89" s="1071">
        <v>0</v>
      </c>
      <c r="H89" s="963">
        <f t="shared" ref="H89:K89" si="20">SUM(H77:H88)</f>
        <v>330000</v>
      </c>
      <c r="I89" s="963">
        <f t="shared" si="20"/>
        <v>9470.7999999999993</v>
      </c>
      <c r="J89" s="963">
        <f t="shared" si="20"/>
        <v>936.32</v>
      </c>
      <c r="K89" s="963">
        <f t="shared" si="20"/>
        <v>10032</v>
      </c>
      <c r="L89" s="963">
        <f>SUM(L77:L88)</f>
        <v>13714.91</v>
      </c>
      <c r="M89" s="963">
        <f>SUM(M77:M88)</f>
        <v>34154.03</v>
      </c>
      <c r="N89" s="963">
        <f>SUM(N77:N88)</f>
        <v>295845.96999999997</v>
      </c>
    </row>
    <row r="90" spans="2:14" ht="18.75" x14ac:dyDescent="0.3">
      <c r="B90" s="958"/>
      <c r="C90" s="950"/>
      <c r="D90" s="967"/>
      <c r="E90" s="967"/>
      <c r="F90" s="951"/>
      <c r="G90" s="952"/>
      <c r="H90" s="953"/>
      <c r="I90" s="953"/>
      <c r="J90" s="951"/>
      <c r="K90" s="953"/>
      <c r="L90" s="951"/>
      <c r="M90" s="953"/>
      <c r="N90" s="953"/>
    </row>
    <row r="91" spans="2:14" ht="18.75" x14ac:dyDescent="0.3">
      <c r="B91" s="961" t="s">
        <v>1126</v>
      </c>
      <c r="C91" s="950"/>
      <c r="D91" s="960"/>
      <c r="E91" s="960"/>
      <c r="F91" s="951"/>
      <c r="G91" s="964"/>
      <c r="H91" s="953"/>
      <c r="I91" s="953"/>
      <c r="J91" s="951"/>
      <c r="K91" s="953"/>
      <c r="L91" s="951"/>
      <c r="M91" s="953"/>
      <c r="N91" s="953"/>
    </row>
    <row r="92" spans="2:14" ht="18.75" x14ac:dyDescent="0.3">
      <c r="B92" s="955" t="s">
        <v>162</v>
      </c>
      <c r="C92" s="950" t="s">
        <v>807</v>
      </c>
      <c r="D92" s="960" t="s">
        <v>711</v>
      </c>
      <c r="E92" s="960" t="s">
        <v>1069</v>
      </c>
      <c r="F92" s="951">
        <v>55000</v>
      </c>
      <c r="G92" s="952">
        <v>0</v>
      </c>
      <c r="H92" s="953">
        <v>55000</v>
      </c>
      <c r="I92" s="953">
        <v>1578.5</v>
      </c>
      <c r="J92" s="951">
        <v>2559.6799999999998</v>
      </c>
      <c r="K92" s="953">
        <v>1672</v>
      </c>
      <c r="L92" s="951">
        <v>25</v>
      </c>
      <c r="M92" s="953">
        <f>+I92+J92+K92+L92</f>
        <v>5835.18</v>
      </c>
      <c r="N92" s="953">
        <f>+H92-M92</f>
        <v>49164.82</v>
      </c>
    </row>
    <row r="93" spans="2:14" ht="18.75" x14ac:dyDescent="0.3">
      <c r="B93" s="960" t="s">
        <v>728</v>
      </c>
      <c r="C93" s="976" t="s">
        <v>807</v>
      </c>
      <c r="D93" s="977" t="s">
        <v>166</v>
      </c>
      <c r="E93" s="977" t="s">
        <v>307</v>
      </c>
      <c r="F93" s="978">
        <v>37500</v>
      </c>
      <c r="G93" s="979">
        <v>0</v>
      </c>
      <c r="H93" s="953">
        <v>37500</v>
      </c>
      <c r="I93" s="953">
        <v>1076.25</v>
      </c>
      <c r="J93" s="974">
        <v>0</v>
      </c>
      <c r="K93" s="953">
        <v>1140</v>
      </c>
      <c r="L93" s="951">
        <v>1740.46</v>
      </c>
      <c r="M93" s="953">
        <f>+I93+J93+K93+L93</f>
        <v>3956.71</v>
      </c>
      <c r="N93" s="953">
        <f>+H93-M93</f>
        <v>33543.29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92500</v>
      </c>
      <c r="G94" s="964">
        <f t="shared" ref="G94:J94" si="21">SUM(G92:G93)</f>
        <v>0</v>
      </c>
      <c r="H94" s="965">
        <f>SUM(H92:H93)</f>
        <v>92500</v>
      </c>
      <c r="I94" s="965">
        <f>SUM(I92:I93)</f>
        <v>2654.75</v>
      </c>
      <c r="J94" s="963">
        <f t="shared" si="21"/>
        <v>2559.6799999999998</v>
      </c>
      <c r="K94" s="965">
        <f>SUM(K92:K93)</f>
        <v>2812</v>
      </c>
      <c r="L94" s="963">
        <f>SUM(L92:L93)</f>
        <v>1765.46</v>
      </c>
      <c r="M94" s="965">
        <f>SUM(M92:M93)</f>
        <v>9791.89</v>
      </c>
      <c r="N94" s="965">
        <f>SUM(N92:N93)</f>
        <v>82708.11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1"/>
      <c r="K95" s="953"/>
      <c r="L95" s="951"/>
      <c r="M95" s="953"/>
      <c r="N95" s="953"/>
    </row>
    <row r="96" spans="2:14" ht="18.75" x14ac:dyDescent="0.3">
      <c r="B96" s="961" t="s">
        <v>1127</v>
      </c>
      <c r="C96" s="950"/>
      <c r="D96" s="960"/>
      <c r="E96" s="960"/>
      <c r="F96" s="951"/>
      <c r="G96" s="952"/>
      <c r="H96" s="953"/>
      <c r="I96" s="953"/>
      <c r="J96" s="951"/>
      <c r="K96" s="953"/>
      <c r="L96" s="951"/>
      <c r="M96" s="953"/>
      <c r="N96" s="953"/>
    </row>
    <row r="97" spans="2:14" ht="18.75" x14ac:dyDescent="0.3">
      <c r="B97" s="955" t="s">
        <v>1077</v>
      </c>
      <c r="C97" s="950" t="s">
        <v>806</v>
      </c>
      <c r="D97" s="960" t="s">
        <v>495</v>
      </c>
      <c r="E97" s="960" t="s">
        <v>1069</v>
      </c>
      <c r="F97" s="951">
        <v>55000</v>
      </c>
      <c r="G97" s="974">
        <v>0</v>
      </c>
      <c r="H97" s="951">
        <v>55000</v>
      </c>
      <c r="I97" s="951">
        <v>1578.5</v>
      </c>
      <c r="J97" s="951">
        <v>2559.6799999999998</v>
      </c>
      <c r="K97" s="951">
        <v>1672</v>
      </c>
      <c r="L97" s="951">
        <v>1296.7</v>
      </c>
      <c r="M97" s="953">
        <f>+I97+J97+K97+L97</f>
        <v>7106.88</v>
      </c>
      <c r="N97" s="953">
        <f>+H97-M97</f>
        <v>47893.120000000003</v>
      </c>
    </row>
    <row r="98" spans="2:14" ht="18.75" x14ac:dyDescent="0.3">
      <c r="B98" s="958" t="s">
        <v>531</v>
      </c>
      <c r="C98" s="950" t="s">
        <v>807</v>
      </c>
      <c r="D98" s="960" t="s">
        <v>166</v>
      </c>
      <c r="E98" s="960" t="s">
        <v>1069</v>
      </c>
      <c r="F98" s="951">
        <v>43500</v>
      </c>
      <c r="G98" s="952">
        <v>0</v>
      </c>
      <c r="H98" s="953">
        <v>43500</v>
      </c>
      <c r="I98" s="953">
        <v>1248.45</v>
      </c>
      <c r="J98" s="951">
        <v>936.62</v>
      </c>
      <c r="K98" s="953">
        <v>1322.4</v>
      </c>
      <c r="L98" s="951">
        <v>25</v>
      </c>
      <c r="M98" s="953">
        <f>+I98+J98+K98+L98</f>
        <v>3532.4700000000003</v>
      </c>
      <c r="N98" s="953">
        <f>+H98-M98</f>
        <v>39967.53</v>
      </c>
    </row>
    <row r="99" spans="2:14" ht="18.75" x14ac:dyDescent="0.3">
      <c r="B99" s="961" t="s">
        <v>749</v>
      </c>
      <c r="C99" s="950"/>
      <c r="D99" s="962">
        <v>2</v>
      </c>
      <c r="E99" s="962"/>
      <c r="F99" s="963">
        <f>SUM(F97:F98)</f>
        <v>98500</v>
      </c>
      <c r="G99" s="964">
        <f>SUM(G98:G98)</f>
        <v>0</v>
      </c>
      <c r="H99" s="965">
        <f t="shared" ref="H99:N99" si="22">SUM(H97:H98)</f>
        <v>98500</v>
      </c>
      <c r="I99" s="965">
        <f t="shared" si="22"/>
        <v>2826.95</v>
      </c>
      <c r="J99" s="963">
        <f t="shared" si="22"/>
        <v>3496.2999999999997</v>
      </c>
      <c r="K99" s="965">
        <f t="shared" si="22"/>
        <v>2994.4</v>
      </c>
      <c r="L99" s="963">
        <f>SUM(L97:L98)</f>
        <v>1321.7</v>
      </c>
      <c r="M99" s="965">
        <f t="shared" si="22"/>
        <v>10639.35</v>
      </c>
      <c r="N99" s="965">
        <f t="shared" si="22"/>
        <v>87860.65</v>
      </c>
    </row>
    <row r="100" spans="2:14" ht="18.75" x14ac:dyDescent="0.3">
      <c r="B100" s="958"/>
      <c r="C100" s="950"/>
      <c r="D100" s="960"/>
      <c r="E100" s="960"/>
      <c r="F100" s="951"/>
      <c r="G100" s="952"/>
      <c r="H100" s="953"/>
      <c r="I100" s="953"/>
      <c r="J100" s="951"/>
      <c r="K100" s="953"/>
      <c r="L100" s="951"/>
      <c r="M100" s="953"/>
      <c r="N100" s="953"/>
    </row>
    <row r="101" spans="2:14" ht="18.75" x14ac:dyDescent="0.3">
      <c r="B101" s="961" t="s">
        <v>839</v>
      </c>
      <c r="C101" s="950"/>
      <c r="D101" s="967"/>
      <c r="E101" s="967"/>
      <c r="F101" s="963"/>
      <c r="G101" s="964"/>
      <c r="H101" s="965"/>
      <c r="I101" s="965"/>
      <c r="J101" s="963"/>
      <c r="K101" s="965"/>
      <c r="L101" s="963"/>
      <c r="M101" s="965"/>
      <c r="N101" s="965"/>
    </row>
    <row r="102" spans="2:14" ht="23.25" customHeight="1" x14ac:dyDescent="0.3">
      <c r="B102" s="955" t="s">
        <v>816</v>
      </c>
      <c r="C102" s="950" t="s">
        <v>807</v>
      </c>
      <c r="D102" s="980" t="s">
        <v>1219</v>
      </c>
      <c r="E102" s="960" t="s">
        <v>1066</v>
      </c>
      <c r="F102" s="951">
        <v>150000</v>
      </c>
      <c r="G102" s="952">
        <v>0</v>
      </c>
      <c r="H102" s="953">
        <v>150000</v>
      </c>
      <c r="I102" s="953">
        <v>4305</v>
      </c>
      <c r="J102" s="951">
        <v>23437.75</v>
      </c>
      <c r="K102" s="953">
        <v>4560</v>
      </c>
      <c r="L102" s="951">
        <v>3912.66</v>
      </c>
      <c r="M102" s="953">
        <f>+I102+J102+K102+L102</f>
        <v>36215.410000000003</v>
      </c>
      <c r="N102" s="953">
        <f>+H102-M102</f>
        <v>113784.59</v>
      </c>
    </row>
    <row r="103" spans="2:14" ht="18.75" x14ac:dyDescent="0.3">
      <c r="B103" s="955" t="s">
        <v>230</v>
      </c>
      <c r="C103" s="968" t="s">
        <v>807</v>
      </c>
      <c r="D103" s="960" t="s">
        <v>604</v>
      </c>
      <c r="E103" s="960" t="s">
        <v>1069</v>
      </c>
      <c r="F103" s="951">
        <v>70000</v>
      </c>
      <c r="G103" s="974">
        <v>0</v>
      </c>
      <c r="H103" s="951">
        <v>70000</v>
      </c>
      <c r="I103" s="951">
        <v>2009</v>
      </c>
      <c r="J103" s="974">
        <v>0</v>
      </c>
      <c r="K103" s="951">
        <v>2128</v>
      </c>
      <c r="L103" s="951">
        <v>25</v>
      </c>
      <c r="M103" s="951">
        <f>+I103+J103+K103+L103</f>
        <v>4162</v>
      </c>
      <c r="N103" s="951">
        <f>+H103-M103</f>
        <v>65838</v>
      </c>
    </row>
    <row r="104" spans="2:14" ht="18.75" x14ac:dyDescent="0.3">
      <c r="B104" s="958" t="s">
        <v>124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52">
        <v>0</v>
      </c>
      <c r="H104" s="953">
        <v>43500</v>
      </c>
      <c r="I104" s="953">
        <v>1248.45</v>
      </c>
      <c r="J104" s="974">
        <v>421.98</v>
      </c>
      <c r="K104" s="953">
        <v>1322.4</v>
      </c>
      <c r="L104" s="951">
        <v>3555.92</v>
      </c>
      <c r="M104" s="953">
        <f>+I104+J104+K104+L104</f>
        <v>6548.75</v>
      </c>
      <c r="N104" s="953">
        <v>36951.25</v>
      </c>
    </row>
    <row r="105" spans="2:14" ht="18.75" x14ac:dyDescent="0.3">
      <c r="B105" s="961" t="s">
        <v>749</v>
      </c>
      <c r="C105" s="950"/>
      <c r="D105" s="962">
        <v>3</v>
      </c>
      <c r="E105" s="962"/>
      <c r="F105" s="963">
        <f>SUM(F102:F104)</f>
        <v>263500</v>
      </c>
      <c r="G105" s="964">
        <f>SUM(G104:G104)</f>
        <v>0</v>
      </c>
      <c r="H105" s="963">
        <f t="shared" ref="H105:M105" si="23">SUM(H102:H104)</f>
        <v>263500</v>
      </c>
      <c r="I105" s="963">
        <f t="shared" si="23"/>
        <v>7562.45</v>
      </c>
      <c r="J105" s="963">
        <f>SUM(J102:J104)</f>
        <v>23859.73</v>
      </c>
      <c r="K105" s="963">
        <f t="shared" si="23"/>
        <v>8010.4</v>
      </c>
      <c r="L105" s="963">
        <f t="shared" si="23"/>
        <v>7493.58</v>
      </c>
      <c r="M105" s="963">
        <f t="shared" si="23"/>
        <v>46926.16</v>
      </c>
      <c r="N105" s="963">
        <f>SUM(N102:N104)</f>
        <v>216573.84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3"/>
      <c r="K106" s="965"/>
      <c r="L106" s="963"/>
      <c r="M106" s="965"/>
      <c r="N106" s="965"/>
    </row>
    <row r="107" spans="2:14" ht="18.75" customHeight="1" x14ac:dyDescent="0.3">
      <c r="B107" s="981" t="s">
        <v>1167</v>
      </c>
      <c r="C107" s="950"/>
      <c r="D107" s="962"/>
      <c r="E107" s="962"/>
      <c r="F107" s="963"/>
      <c r="G107" s="964"/>
      <c r="H107" s="965"/>
      <c r="I107" s="965"/>
      <c r="J107" s="963"/>
      <c r="K107" s="965"/>
      <c r="L107" s="963"/>
      <c r="M107" s="965"/>
      <c r="N107" s="965"/>
    </row>
    <row r="108" spans="2:14" ht="18.75" x14ac:dyDescent="0.3">
      <c r="B108" s="955" t="s">
        <v>1053</v>
      </c>
      <c r="C108" s="950" t="s">
        <v>807</v>
      </c>
      <c r="D108" s="960" t="s">
        <v>276</v>
      </c>
      <c r="E108" s="960" t="s">
        <v>307</v>
      </c>
      <c r="F108" s="951">
        <v>43500</v>
      </c>
      <c r="G108" s="974">
        <v>0</v>
      </c>
      <c r="H108" s="951">
        <v>43500</v>
      </c>
      <c r="I108" s="951">
        <v>1248.45</v>
      </c>
      <c r="J108" s="974">
        <v>936.62</v>
      </c>
      <c r="K108" s="951">
        <v>1322.4</v>
      </c>
      <c r="L108" s="951">
        <v>2025</v>
      </c>
      <c r="M108" s="951">
        <v>5532.47</v>
      </c>
      <c r="N108" s="951">
        <v>37967.53</v>
      </c>
    </row>
    <row r="109" spans="2:14" ht="18.75" x14ac:dyDescent="0.3">
      <c r="B109" s="955" t="s">
        <v>1147</v>
      </c>
      <c r="C109" s="950" t="s">
        <v>807</v>
      </c>
      <c r="D109" s="960" t="s">
        <v>276</v>
      </c>
      <c r="E109" s="960" t="s">
        <v>307</v>
      </c>
      <c r="F109" s="951">
        <v>43500</v>
      </c>
      <c r="G109" s="974">
        <v>0</v>
      </c>
      <c r="H109" s="951">
        <v>43500</v>
      </c>
      <c r="I109" s="951">
        <v>1248.45</v>
      </c>
      <c r="J109" s="974">
        <v>936.62</v>
      </c>
      <c r="K109" s="951">
        <v>1322.4</v>
      </c>
      <c r="L109" s="951">
        <v>25</v>
      </c>
      <c r="M109" s="951">
        <f>+I109+J109+K109+L109</f>
        <v>3532.4700000000003</v>
      </c>
      <c r="N109" s="951">
        <f>+H109-M109</f>
        <v>39967.53</v>
      </c>
    </row>
    <row r="110" spans="2:14" ht="18.75" x14ac:dyDescent="0.3">
      <c r="B110" s="961" t="s">
        <v>749</v>
      </c>
      <c r="C110" s="950"/>
      <c r="D110" s="962">
        <v>2</v>
      </c>
      <c r="E110" s="962"/>
      <c r="F110" s="963">
        <f>SUM(F108:F109)</f>
        <v>87000</v>
      </c>
      <c r="G110" s="1071">
        <v>0</v>
      </c>
      <c r="H110" s="963">
        <f t="shared" ref="H110:M110" si="24">SUM(H108:H109)</f>
        <v>87000</v>
      </c>
      <c r="I110" s="963">
        <f t="shared" si="24"/>
        <v>2496.9</v>
      </c>
      <c r="J110" s="963">
        <f t="shared" si="24"/>
        <v>1873.24</v>
      </c>
      <c r="K110" s="963">
        <f t="shared" si="24"/>
        <v>2644.8</v>
      </c>
      <c r="L110" s="963">
        <f t="shared" si="24"/>
        <v>2050</v>
      </c>
      <c r="M110" s="963">
        <f t="shared" si="24"/>
        <v>9064.94</v>
      </c>
      <c r="N110" s="963">
        <f>SUM(N108:N109)</f>
        <v>77935.06</v>
      </c>
    </row>
    <row r="111" spans="2:14" ht="18.75" x14ac:dyDescent="0.3">
      <c r="B111" s="961"/>
      <c r="C111" s="950"/>
      <c r="D111" s="962"/>
      <c r="E111" s="962"/>
      <c r="F111" s="963"/>
      <c r="G111" s="964"/>
      <c r="H111" s="965"/>
      <c r="I111" s="965"/>
      <c r="J111" s="963"/>
      <c r="K111" s="965"/>
      <c r="L111" s="963"/>
      <c r="M111" s="965"/>
      <c r="N111" s="965"/>
    </row>
    <row r="112" spans="2:14" ht="18.75" x14ac:dyDescent="0.3">
      <c r="B112" s="961" t="s">
        <v>1128</v>
      </c>
      <c r="C112" s="950"/>
      <c r="D112" s="967"/>
      <c r="E112" s="967"/>
      <c r="F112" s="963"/>
      <c r="G112" s="964"/>
      <c r="H112" s="965"/>
      <c r="I112" s="965"/>
      <c r="J112" s="963"/>
      <c r="K112" s="965"/>
      <c r="L112" s="963"/>
      <c r="M112" s="965"/>
      <c r="N112" s="965"/>
    </row>
    <row r="113" spans="2:14" ht="18.75" x14ac:dyDescent="0.3">
      <c r="B113" s="958" t="s">
        <v>47</v>
      </c>
      <c r="C113" s="950" t="s">
        <v>806</v>
      </c>
      <c r="D113" s="960" t="s">
        <v>49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1">
        <v>6972</v>
      </c>
      <c r="K113" s="953">
        <v>2432</v>
      </c>
      <c r="L113" s="951">
        <v>1740.46</v>
      </c>
      <c r="M113" s="953">
        <f>+I113+J113+K113+L113</f>
        <v>13440.46</v>
      </c>
      <c r="N113" s="953">
        <f>+H113-M113</f>
        <v>66559.540000000008</v>
      </c>
    </row>
    <row r="114" spans="2:14" ht="18.75" x14ac:dyDescent="0.3">
      <c r="B114" s="961" t="s">
        <v>749</v>
      </c>
      <c r="C114" s="950"/>
      <c r="D114" s="962">
        <v>1</v>
      </c>
      <c r="E114" s="962"/>
      <c r="F114" s="963">
        <f>SUM(F113:F113)</f>
        <v>80000</v>
      </c>
      <c r="G114" s="952">
        <v>0</v>
      </c>
      <c r="H114" s="965">
        <f t="shared" ref="H114:N114" si="25">SUM(H113:H113)</f>
        <v>80000</v>
      </c>
      <c r="I114" s="965">
        <f t="shared" si="25"/>
        <v>2296</v>
      </c>
      <c r="J114" s="963">
        <f t="shared" si="25"/>
        <v>6972</v>
      </c>
      <c r="K114" s="965">
        <f t="shared" si="25"/>
        <v>2432</v>
      </c>
      <c r="L114" s="963">
        <f t="shared" si="25"/>
        <v>1740.46</v>
      </c>
      <c r="M114" s="965">
        <f t="shared" si="25"/>
        <v>13440.46</v>
      </c>
      <c r="N114" s="965">
        <f t="shared" si="25"/>
        <v>66559.540000000008</v>
      </c>
    </row>
    <row r="115" spans="2:14" ht="18.75" x14ac:dyDescent="0.3">
      <c r="B115" s="961"/>
      <c r="C115" s="950"/>
      <c r="D115" s="967"/>
      <c r="E115" s="967"/>
      <c r="F115" s="963"/>
      <c r="G115" s="964"/>
      <c r="H115" s="965"/>
      <c r="I115" s="965"/>
      <c r="J115" s="963"/>
      <c r="K115" s="965"/>
      <c r="L115" s="963"/>
      <c r="M115" s="965"/>
      <c r="N115" s="965"/>
    </row>
    <row r="116" spans="2:14" ht="15.75" customHeight="1" x14ac:dyDescent="0.3">
      <c r="B116" s="982" t="s">
        <v>1132</v>
      </c>
      <c r="C116" s="950"/>
      <c r="D116" s="967"/>
      <c r="E116" s="967"/>
      <c r="F116" s="963"/>
      <c r="G116" s="964"/>
      <c r="H116" s="965"/>
      <c r="I116" s="965"/>
      <c r="J116" s="963"/>
      <c r="K116" s="965"/>
      <c r="L116" s="963"/>
      <c r="M116" s="965"/>
      <c r="N116" s="965"/>
    </row>
    <row r="117" spans="2:14" ht="18.75" x14ac:dyDescent="0.3">
      <c r="B117" s="958" t="s">
        <v>769</v>
      </c>
      <c r="C117" s="950" t="s">
        <v>806</v>
      </c>
      <c r="D117" s="960" t="s">
        <v>1265</v>
      </c>
      <c r="E117" s="960" t="s">
        <v>1066</v>
      </c>
      <c r="F117" s="951">
        <v>185000</v>
      </c>
      <c r="G117" s="952">
        <v>0</v>
      </c>
      <c r="H117" s="953">
        <v>185000</v>
      </c>
      <c r="I117" s="953">
        <v>5309.5</v>
      </c>
      <c r="J117" s="951">
        <v>32099.49</v>
      </c>
      <c r="K117" s="953">
        <v>5624</v>
      </c>
      <c r="L117" s="951">
        <v>25</v>
      </c>
      <c r="M117" s="953">
        <f>+I117+J117+K117+L117</f>
        <v>43057.990000000005</v>
      </c>
      <c r="N117" s="953">
        <f t="shared" ref="N117:N123" si="26">+H117-M117</f>
        <v>141942.01</v>
      </c>
    </row>
    <row r="118" spans="2:14" ht="18.75" x14ac:dyDescent="0.3">
      <c r="B118" s="958" t="s">
        <v>232</v>
      </c>
      <c r="C118" s="968" t="s">
        <v>807</v>
      </c>
      <c r="D118" s="960" t="s">
        <v>1174</v>
      </c>
      <c r="E118" s="960" t="s">
        <v>1069</v>
      </c>
      <c r="F118" s="951">
        <v>80000</v>
      </c>
      <c r="G118" s="952">
        <v>0</v>
      </c>
      <c r="H118" s="953">
        <v>80000</v>
      </c>
      <c r="I118" s="953">
        <v>2296</v>
      </c>
      <c r="J118" s="951">
        <v>6972</v>
      </c>
      <c r="K118" s="953">
        <v>2432</v>
      </c>
      <c r="L118" s="951">
        <v>5884.86</v>
      </c>
      <c r="M118" s="953">
        <f>+I118+J118+K118+L118</f>
        <v>17584.86</v>
      </c>
      <c r="N118" s="953">
        <f t="shared" si="26"/>
        <v>62415.14</v>
      </c>
    </row>
    <row r="119" spans="2:14" ht="18.75" x14ac:dyDescent="0.3">
      <c r="B119" s="955" t="s">
        <v>65</v>
      </c>
      <c r="C119" s="950" t="s">
        <v>806</v>
      </c>
      <c r="D119" s="960" t="s">
        <v>1174</v>
      </c>
      <c r="E119" s="960" t="s">
        <v>1069</v>
      </c>
      <c r="F119" s="951">
        <v>70000</v>
      </c>
      <c r="G119" s="952">
        <v>0</v>
      </c>
      <c r="H119" s="953">
        <v>70000</v>
      </c>
      <c r="I119" s="953">
        <v>2009</v>
      </c>
      <c r="J119" s="951">
        <v>5368.48</v>
      </c>
      <c r="K119" s="953">
        <v>2128</v>
      </c>
      <c r="L119" s="951">
        <v>13823.93</v>
      </c>
      <c r="M119" s="953">
        <v>23329.41</v>
      </c>
      <c r="N119" s="953">
        <f>+H119-M119</f>
        <v>46670.59</v>
      </c>
    </row>
    <row r="120" spans="2:14" ht="18.75" x14ac:dyDescent="0.3">
      <c r="B120" s="958" t="s">
        <v>843</v>
      </c>
      <c r="C120" s="968" t="s">
        <v>806</v>
      </c>
      <c r="D120" s="960" t="s">
        <v>1199</v>
      </c>
      <c r="E120" s="960" t="s">
        <v>1069</v>
      </c>
      <c r="F120" s="951">
        <v>60000</v>
      </c>
      <c r="G120" s="952">
        <v>0</v>
      </c>
      <c r="H120" s="953">
        <v>60000</v>
      </c>
      <c r="I120" s="953">
        <v>1722</v>
      </c>
      <c r="J120" s="951">
        <v>3486.68</v>
      </c>
      <c r="K120" s="953">
        <v>1824</v>
      </c>
      <c r="L120" s="951">
        <v>25</v>
      </c>
      <c r="M120" s="953">
        <f>+I120+J120+K120+L120</f>
        <v>7057.68</v>
      </c>
      <c r="N120" s="953">
        <f t="shared" si="26"/>
        <v>52942.32</v>
      </c>
    </row>
    <row r="121" spans="2:14" ht="18.75" x14ac:dyDescent="0.3">
      <c r="B121" s="958" t="s">
        <v>484</v>
      </c>
      <c r="C121" s="950" t="s">
        <v>807</v>
      </c>
      <c r="D121" s="977" t="s">
        <v>166</v>
      </c>
      <c r="E121" s="960" t="s">
        <v>307</v>
      </c>
      <c r="F121" s="951">
        <v>37500</v>
      </c>
      <c r="G121" s="974">
        <v>0</v>
      </c>
      <c r="H121" s="953">
        <v>37500</v>
      </c>
      <c r="I121" s="953">
        <v>1076.25</v>
      </c>
      <c r="J121" s="974">
        <v>89.81</v>
      </c>
      <c r="K121" s="953">
        <v>1140</v>
      </c>
      <c r="L121" s="951">
        <v>728</v>
      </c>
      <c r="M121" s="953">
        <f>+I121+J121+K121+L121</f>
        <v>3034.06</v>
      </c>
      <c r="N121" s="953">
        <f t="shared" si="26"/>
        <v>34465.94</v>
      </c>
    </row>
    <row r="122" spans="2:14" ht="18.75" x14ac:dyDescent="0.3">
      <c r="B122" s="958" t="s">
        <v>1338</v>
      </c>
      <c r="C122" s="950" t="s">
        <v>807</v>
      </c>
      <c r="D122" s="977" t="s">
        <v>166</v>
      </c>
      <c r="E122" s="960" t="s">
        <v>321</v>
      </c>
      <c r="F122" s="951">
        <v>31500</v>
      </c>
      <c r="G122" s="974">
        <v>0</v>
      </c>
      <c r="H122" s="953">
        <v>31500</v>
      </c>
      <c r="I122" s="953">
        <v>904.05</v>
      </c>
      <c r="J122" s="974">
        <v>0</v>
      </c>
      <c r="K122" s="953">
        <v>957.6</v>
      </c>
      <c r="L122" s="951">
        <v>25</v>
      </c>
      <c r="M122" s="953">
        <v>1886.65</v>
      </c>
      <c r="N122" s="953">
        <f t="shared" si="26"/>
        <v>29613.35</v>
      </c>
    </row>
    <row r="123" spans="2:14" ht="18.75" x14ac:dyDescent="0.3">
      <c r="B123" s="958" t="s">
        <v>1322</v>
      </c>
      <c r="C123" s="950" t="s">
        <v>1151</v>
      </c>
      <c r="D123" s="977" t="s">
        <v>327</v>
      </c>
      <c r="E123" s="960" t="s">
        <v>321</v>
      </c>
      <c r="F123" s="951">
        <v>43500</v>
      </c>
      <c r="G123" s="974">
        <v>0</v>
      </c>
      <c r="H123" s="953">
        <v>43500</v>
      </c>
      <c r="I123" s="953">
        <v>1248.45</v>
      </c>
      <c r="J123" s="974">
        <v>936.62</v>
      </c>
      <c r="K123" s="953">
        <v>1322.4</v>
      </c>
      <c r="L123" s="951">
        <v>25</v>
      </c>
      <c r="M123" s="953">
        <f>+I123+J123+K123+L123</f>
        <v>3532.4700000000003</v>
      </c>
      <c r="N123" s="953">
        <f t="shared" si="26"/>
        <v>39967.53</v>
      </c>
    </row>
    <row r="124" spans="2:14" ht="18.75" x14ac:dyDescent="0.3">
      <c r="B124" s="961" t="s">
        <v>749</v>
      </c>
      <c r="C124" s="950"/>
      <c r="D124" s="962">
        <v>7</v>
      </c>
      <c r="E124" s="962"/>
      <c r="F124" s="963">
        <f t="shared" ref="F124:L124" si="27">SUM(F117:F123)</f>
        <v>507500</v>
      </c>
      <c r="G124" s="964">
        <f t="shared" si="27"/>
        <v>0</v>
      </c>
      <c r="H124" s="963">
        <f t="shared" si="27"/>
        <v>507500</v>
      </c>
      <c r="I124" s="963">
        <f t="shared" si="27"/>
        <v>14565.25</v>
      </c>
      <c r="J124" s="963">
        <f t="shared" si="27"/>
        <v>48953.08</v>
      </c>
      <c r="K124" s="963">
        <f t="shared" si="27"/>
        <v>15428</v>
      </c>
      <c r="L124" s="963">
        <f t="shared" si="27"/>
        <v>20536.79</v>
      </c>
      <c r="M124" s="963">
        <f>SUM(M117:M123)</f>
        <v>99483.12</v>
      </c>
      <c r="N124" s="963">
        <f>SUM(N117:N123)</f>
        <v>408016.88</v>
      </c>
    </row>
    <row r="125" spans="2:14" ht="18.75" x14ac:dyDescent="0.3">
      <c r="B125" s="961"/>
      <c r="C125" s="950"/>
      <c r="D125" s="967"/>
      <c r="E125" s="967"/>
      <c r="F125" s="963"/>
      <c r="G125" s="964"/>
      <c r="H125" s="965"/>
      <c r="I125" s="965"/>
      <c r="J125" s="963"/>
      <c r="K125" s="965"/>
      <c r="L125" s="963"/>
      <c r="M125" s="965"/>
      <c r="N125" s="965"/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1"/>
      <c r="K126" s="953"/>
      <c r="L126" s="951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3"/>
      <c r="K127" s="965"/>
      <c r="L127" s="963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1">
        <v>1854</v>
      </c>
      <c r="K128" s="953">
        <v>1520</v>
      </c>
      <c r="L128" s="951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74">
        <v>936.62</v>
      </c>
      <c r="K129" s="953">
        <v>1322.4</v>
      </c>
      <c r="L129" s="951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>SUM(F128:F129)</f>
        <v>93500</v>
      </c>
      <c r="G130" s="964">
        <f t="shared" ref="G130:N130" si="28">SUM(G128:G129)</f>
        <v>0</v>
      </c>
      <c r="H130" s="963">
        <f t="shared" si="28"/>
        <v>93500</v>
      </c>
      <c r="I130" s="963">
        <f t="shared" si="28"/>
        <v>2683.45</v>
      </c>
      <c r="J130" s="963">
        <f t="shared" si="28"/>
        <v>2790.62</v>
      </c>
      <c r="K130" s="963">
        <f t="shared" si="28"/>
        <v>2842.4</v>
      </c>
      <c r="L130" s="963">
        <f t="shared" si="28"/>
        <v>2753</v>
      </c>
      <c r="M130" s="963">
        <f t="shared" si="28"/>
        <v>11069.470000000001</v>
      </c>
      <c r="N130" s="963">
        <f t="shared" si="28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1"/>
      <c r="K131" s="963"/>
      <c r="L131" s="951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3"/>
      <c r="K132" s="965"/>
      <c r="L132" s="963"/>
      <c r="M132" s="965"/>
      <c r="N132" s="965"/>
    </row>
    <row r="133" spans="2:14" ht="18.75" x14ac:dyDescent="0.3">
      <c r="B133" s="955" t="s">
        <v>1131</v>
      </c>
      <c r="C133" s="950" t="s">
        <v>806</v>
      </c>
      <c r="D133" s="960" t="s">
        <v>905</v>
      </c>
      <c r="E133" s="960" t="s">
        <v>307</v>
      </c>
      <c r="F133" s="951">
        <v>80000</v>
      </c>
      <c r="G133" s="974">
        <v>0</v>
      </c>
      <c r="H133" s="951">
        <v>80000</v>
      </c>
      <c r="I133" s="951">
        <v>2296</v>
      </c>
      <c r="J133" s="951">
        <v>7400.87</v>
      </c>
      <c r="K133" s="951">
        <v>2432</v>
      </c>
      <c r="L133" s="951">
        <v>828</v>
      </c>
      <c r="M133" s="951">
        <f t="shared" ref="M133:M137" si="29">+I133+J133+K133+L133</f>
        <v>12956.869999999999</v>
      </c>
      <c r="N133" s="951">
        <f t="shared" ref="N133:N137" si="30">+H133-M133</f>
        <v>67043.13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55000</v>
      </c>
      <c r="G134" s="974">
        <v>0</v>
      </c>
      <c r="H134" s="951">
        <v>55000</v>
      </c>
      <c r="I134" s="951">
        <v>1578.5</v>
      </c>
      <c r="J134" s="951">
        <v>2559.6799999999998</v>
      </c>
      <c r="K134" s="951">
        <v>1672</v>
      </c>
      <c r="L134" s="951">
        <v>125</v>
      </c>
      <c r="M134" s="951">
        <v>5935.18</v>
      </c>
      <c r="N134" s="951">
        <f t="shared" si="30"/>
        <v>49064.82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728</v>
      </c>
      <c r="M135" s="951">
        <f t="shared" si="29"/>
        <v>6538.18</v>
      </c>
      <c r="N135" s="951">
        <f t="shared" si="30"/>
        <v>48461.82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74">
        <v>0</v>
      </c>
      <c r="H136" s="951">
        <v>37500</v>
      </c>
      <c r="I136" s="951">
        <v>1076.25</v>
      </c>
      <c r="J136" s="974">
        <v>89.81</v>
      </c>
      <c r="K136" s="951">
        <v>1140</v>
      </c>
      <c r="L136" s="951">
        <v>25</v>
      </c>
      <c r="M136" s="951">
        <f t="shared" si="29"/>
        <v>2331.06</v>
      </c>
      <c r="N136" s="951">
        <f t="shared" si="30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74">
        <v>0</v>
      </c>
      <c r="H137" s="951">
        <v>55000</v>
      </c>
      <c r="I137" s="951">
        <v>1578.5</v>
      </c>
      <c r="J137" s="951">
        <v>2559.6799999999998</v>
      </c>
      <c r="K137" s="951">
        <v>1672</v>
      </c>
      <c r="L137" s="951">
        <v>2291.13</v>
      </c>
      <c r="M137" s="951">
        <f t="shared" si="29"/>
        <v>8101.31</v>
      </c>
      <c r="N137" s="951">
        <f t="shared" si="30"/>
        <v>46898.69</v>
      </c>
    </row>
    <row r="138" spans="2:14" ht="18.75" x14ac:dyDescent="0.3">
      <c r="B138" s="961" t="s">
        <v>749</v>
      </c>
      <c r="C138" s="950"/>
      <c r="D138" s="962">
        <v>5</v>
      </c>
      <c r="E138" s="962"/>
      <c r="F138" s="963">
        <f>SUM(F133:F137)</f>
        <v>282500</v>
      </c>
      <c r="G138" s="964">
        <f>SUM(G137:G137)</f>
        <v>0</v>
      </c>
      <c r="H138" s="963">
        <f t="shared" ref="H138:N138" si="31">SUM(H133:H137)</f>
        <v>282500</v>
      </c>
      <c r="I138" s="963">
        <f t="shared" si="31"/>
        <v>8107.75</v>
      </c>
      <c r="J138" s="963">
        <f t="shared" si="31"/>
        <v>15169.72</v>
      </c>
      <c r="K138" s="963">
        <f t="shared" si="31"/>
        <v>8588</v>
      </c>
      <c r="L138" s="963">
        <f t="shared" si="31"/>
        <v>3997.13</v>
      </c>
      <c r="M138" s="963">
        <f t="shared" si="31"/>
        <v>35862.6</v>
      </c>
      <c r="N138" s="963">
        <f t="shared" si="31"/>
        <v>246637.40000000002</v>
      </c>
    </row>
    <row r="139" spans="2:14" ht="18.75" x14ac:dyDescent="0.3">
      <c r="B139" s="958"/>
      <c r="C139" s="950"/>
      <c r="D139" s="960"/>
      <c r="E139" s="960"/>
      <c r="F139" s="951"/>
      <c r="G139" s="952"/>
      <c r="H139" s="953"/>
      <c r="I139" s="953"/>
      <c r="J139" s="951"/>
      <c r="K139" s="953"/>
      <c r="L139" s="951"/>
      <c r="M139" s="953"/>
      <c r="N139" s="953"/>
    </row>
    <row r="140" spans="2:14" ht="18.75" x14ac:dyDescent="0.3">
      <c r="B140" s="961" t="s">
        <v>787</v>
      </c>
      <c r="C140" s="950"/>
      <c r="D140" s="967"/>
      <c r="E140" s="967"/>
      <c r="F140" s="963"/>
      <c r="G140" s="964"/>
      <c r="H140" s="965"/>
      <c r="I140" s="965"/>
      <c r="J140" s="963"/>
      <c r="K140" s="965"/>
      <c r="L140" s="963"/>
      <c r="M140" s="965"/>
      <c r="N140" s="965"/>
    </row>
    <row r="141" spans="2:14" ht="18.75" x14ac:dyDescent="0.3">
      <c r="B141" s="958" t="s">
        <v>69</v>
      </c>
      <c r="C141" s="950" t="s">
        <v>806</v>
      </c>
      <c r="D141" s="960" t="s">
        <v>1433</v>
      </c>
      <c r="E141" s="960" t="s">
        <v>307</v>
      </c>
      <c r="F141" s="951">
        <v>185000</v>
      </c>
      <c r="G141" s="952">
        <v>0</v>
      </c>
      <c r="H141" s="953">
        <v>185000</v>
      </c>
      <c r="I141" s="953">
        <v>5309.5</v>
      </c>
      <c r="J141" s="951">
        <v>32099.49</v>
      </c>
      <c r="K141" s="953">
        <v>5624</v>
      </c>
      <c r="L141" s="951">
        <v>2568.4</v>
      </c>
      <c r="M141" s="953">
        <f>+I141+J141+K141+L141</f>
        <v>45601.390000000007</v>
      </c>
      <c r="N141" s="953">
        <f>+H141-M141</f>
        <v>139398.60999999999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1">
        <v>1596.68</v>
      </c>
      <c r="K143" s="953">
        <v>1520</v>
      </c>
      <c r="L143" s="951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3</v>
      </c>
      <c r="E144" s="962"/>
      <c r="F144" s="963">
        <f>SUM(F141:F143)</f>
        <v>290000</v>
      </c>
      <c r="G144" s="964">
        <f>SUM(G141:G142)</f>
        <v>0</v>
      </c>
      <c r="H144" s="965">
        <f t="shared" ref="H144:N144" si="32">SUM(H141:H143)</f>
        <v>290000</v>
      </c>
      <c r="I144" s="965">
        <f t="shared" si="32"/>
        <v>8323</v>
      </c>
      <c r="J144" s="963">
        <f t="shared" si="32"/>
        <v>36255.85</v>
      </c>
      <c r="K144" s="965">
        <f t="shared" si="32"/>
        <v>8816</v>
      </c>
      <c r="L144" s="963">
        <f t="shared" si="32"/>
        <v>11235.59</v>
      </c>
      <c r="M144" s="965">
        <f t="shared" si="32"/>
        <v>64630.44</v>
      </c>
      <c r="N144" s="965">
        <f t="shared" si="32"/>
        <v>225369.56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3"/>
      <c r="K145" s="965"/>
      <c r="L145" s="963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3"/>
      <c r="K146" s="965"/>
      <c r="L146" s="963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51">
        <v>7400.87</v>
      </c>
      <c r="K147" s="972">
        <v>2432</v>
      </c>
      <c r="L147" s="951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33">SUM(F147)</f>
        <v>80000</v>
      </c>
      <c r="G148" s="993">
        <f t="shared" si="33"/>
        <v>0</v>
      </c>
      <c r="H148" s="994">
        <f t="shared" si="33"/>
        <v>80000</v>
      </c>
      <c r="I148" s="994">
        <f t="shared" si="33"/>
        <v>2296</v>
      </c>
      <c r="J148" s="963">
        <f t="shared" si="33"/>
        <v>7400.87</v>
      </c>
      <c r="K148" s="994">
        <f t="shared" si="33"/>
        <v>2432</v>
      </c>
      <c r="L148" s="963">
        <f t="shared" si="33"/>
        <v>2097.1999999999998</v>
      </c>
      <c r="M148" s="994">
        <f>SUM(M147)</f>
        <v>14226.07</v>
      </c>
      <c r="N148" s="994">
        <f t="shared" si="33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3"/>
      <c r="K149" s="965"/>
      <c r="L149" s="963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3"/>
      <c r="K150" s="965"/>
      <c r="L150" s="963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74">
        <v>936.62</v>
      </c>
      <c r="K151" s="953">
        <v>1322.4</v>
      </c>
      <c r="L151" s="951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34">SUM(F151:F151)</f>
        <v>43500</v>
      </c>
      <c r="G152" s="964">
        <f t="shared" si="34"/>
        <v>0</v>
      </c>
      <c r="H152" s="965">
        <f t="shared" si="34"/>
        <v>43500</v>
      </c>
      <c r="I152" s="965">
        <f t="shared" si="34"/>
        <v>1248.45</v>
      </c>
      <c r="J152" s="1091">
        <f t="shared" si="34"/>
        <v>936.62</v>
      </c>
      <c r="K152" s="996">
        <f t="shared" si="34"/>
        <v>1322.4</v>
      </c>
      <c r="L152" s="963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1"/>
      <c r="K153" s="953"/>
      <c r="L153" s="951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3"/>
      <c r="K154" s="965"/>
      <c r="L154" s="963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1">
        <v>7400.87</v>
      </c>
      <c r="K155" s="953">
        <v>2432</v>
      </c>
      <c r="L155" s="951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74">
        <v>936.62</v>
      </c>
      <c r="K157" s="953">
        <v>1322.4</v>
      </c>
      <c r="L157" s="951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74">
        <v>936.62</v>
      </c>
      <c r="K158" s="953">
        <v>1322.4</v>
      </c>
      <c r="L158" s="951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35">SUM(G158)</f>
        <v>0</v>
      </c>
      <c r="H159" s="963">
        <f t="shared" ref="H159:M159" si="36">SUM(H155:H158)</f>
        <v>237000</v>
      </c>
      <c r="I159" s="963">
        <f t="shared" si="36"/>
        <v>6801.9</v>
      </c>
      <c r="J159" s="963">
        <f t="shared" si="36"/>
        <v>14642.59</v>
      </c>
      <c r="K159" s="963">
        <f t="shared" si="36"/>
        <v>7204.7999999999993</v>
      </c>
      <c r="L159" s="963">
        <f t="shared" si="36"/>
        <v>4643.3999999999996</v>
      </c>
      <c r="M159" s="963">
        <f t="shared" si="36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1"/>
      <c r="K160" s="953"/>
      <c r="L160" s="951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3"/>
      <c r="K161" s="965"/>
      <c r="L161" s="963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1">
        <v>7400.87</v>
      </c>
      <c r="K162" s="953">
        <v>2432</v>
      </c>
      <c r="L162" s="951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7">SUM(H162:H163)</f>
        <v>150000</v>
      </c>
      <c r="I164" s="963">
        <f t="shared" si="37"/>
        <v>4305</v>
      </c>
      <c r="J164" s="963">
        <f t="shared" si="37"/>
        <v>12769.349999999999</v>
      </c>
      <c r="K164" s="963">
        <f t="shared" si="37"/>
        <v>4560</v>
      </c>
      <c r="L164" s="963">
        <f t="shared" si="37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1"/>
      <c r="K165" s="953"/>
      <c r="L165" s="951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3"/>
      <c r="K166" s="965"/>
      <c r="L166" s="963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1">
        <v>7400.87</v>
      </c>
      <c r="K167" s="953">
        <v>2432</v>
      </c>
      <c r="L167" s="951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74">
        <v>936.62</v>
      </c>
      <c r="K168" s="953">
        <v>1322.4</v>
      </c>
      <c r="L168" s="951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8">SUM(G167:G168)</f>
        <v>0</v>
      </c>
      <c r="H169" s="965">
        <f>SUM(H167:H168)</f>
        <v>123500</v>
      </c>
      <c r="I169" s="965">
        <f t="shared" si="38"/>
        <v>3544.45</v>
      </c>
      <c r="J169" s="963">
        <f t="shared" si="38"/>
        <v>8337.49</v>
      </c>
      <c r="K169" s="965">
        <f t="shared" si="38"/>
        <v>3754.4</v>
      </c>
      <c r="L169" s="963">
        <f t="shared" si="38"/>
        <v>3335.58</v>
      </c>
      <c r="M169" s="965">
        <f>SUM(M167:M168)</f>
        <v>18971.919999999998</v>
      </c>
      <c r="N169" s="965">
        <f t="shared" si="38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3"/>
      <c r="K170" s="965"/>
      <c r="L170" s="963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3"/>
      <c r="K171" s="965"/>
      <c r="L171" s="963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9">+I172+J172+K172+L172</f>
        <v>14697.269999999999</v>
      </c>
      <c r="N172" s="951">
        <f t="shared" ref="N172:N182" si="40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9"/>
        <v>3532.4700000000003</v>
      </c>
      <c r="N173" s="951">
        <f t="shared" si="40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9"/>
        <v>3532.4700000000003</v>
      </c>
      <c r="N174" s="951">
        <f t="shared" si="40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9"/>
        <v>3532.4700000000003</v>
      </c>
      <c r="N175" s="951">
        <f t="shared" si="40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9"/>
        <v>3034.06</v>
      </c>
      <c r="N176" s="951">
        <f t="shared" si="40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9"/>
        <v>7854.75</v>
      </c>
      <c r="N177" s="951">
        <f t="shared" si="40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74">
        <v>89.81</v>
      </c>
      <c r="K178" s="953">
        <v>1140</v>
      </c>
      <c r="L178" s="951">
        <v>25</v>
      </c>
      <c r="M178" s="953">
        <f t="shared" si="39"/>
        <v>2331.06</v>
      </c>
      <c r="N178" s="953">
        <f t="shared" si="40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74">
        <v>936.62</v>
      </c>
      <c r="K179" s="953">
        <v>1322.4</v>
      </c>
      <c r="L179" s="951">
        <v>25</v>
      </c>
      <c r="M179" s="953">
        <f t="shared" si="39"/>
        <v>3532.4700000000003</v>
      </c>
      <c r="N179" s="953">
        <f t="shared" si="40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74">
        <v>936.62</v>
      </c>
      <c r="K180" s="953">
        <v>1322.4</v>
      </c>
      <c r="L180" s="951">
        <v>25</v>
      </c>
      <c r="M180" s="953">
        <f t="shared" si="39"/>
        <v>3532.4700000000003</v>
      </c>
      <c r="N180" s="953">
        <f t="shared" si="40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74">
        <v>89.81</v>
      </c>
      <c r="K181" s="953">
        <v>1140</v>
      </c>
      <c r="L181" s="951">
        <v>25</v>
      </c>
      <c r="M181" s="953">
        <f t="shared" si="39"/>
        <v>2331.06</v>
      </c>
      <c r="N181" s="953">
        <f t="shared" si="40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9"/>
        <v>2331.06</v>
      </c>
      <c r="N182" s="951">
        <f t="shared" si="40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41">SUM(I172:I182)</f>
        <v>14091.7</v>
      </c>
      <c r="J183" s="963">
        <f t="shared" si="41"/>
        <v>12865.19</v>
      </c>
      <c r="K183" s="963">
        <f t="shared" si="41"/>
        <v>14926.4</v>
      </c>
      <c r="L183" s="963">
        <f t="shared" si="41"/>
        <v>8358.32</v>
      </c>
      <c r="M183" s="963">
        <f t="shared" si="41"/>
        <v>50241.61</v>
      </c>
      <c r="N183" s="963">
        <f t="shared" si="41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3"/>
      <c r="K184" s="965"/>
      <c r="L184" s="963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3"/>
      <c r="K185" s="965"/>
      <c r="L185" s="963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1">
        <v>25</v>
      </c>
      <c r="M186" s="1031">
        <f t="shared" ref="M186:M191" si="42">+I186+J186+K186+L186</f>
        <v>23926.87</v>
      </c>
      <c r="N186" s="1031">
        <f t="shared" ref="N186:N219" si="43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42"/>
        <v>23926.87</v>
      </c>
      <c r="N187" s="1032">
        <f t="shared" si="43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42"/>
        <v>10766.880000000001</v>
      </c>
      <c r="N188" s="1032">
        <f t="shared" si="43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42"/>
        <v>12153.869999999999</v>
      </c>
      <c r="N189" s="1032">
        <f t="shared" si="43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42"/>
        <v>9530.48</v>
      </c>
      <c r="N190" s="1032">
        <f t="shared" si="43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42"/>
        <v>15451.01</v>
      </c>
      <c r="N191" s="1032">
        <f t="shared" si="43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43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43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55000</v>
      </c>
      <c r="G194" s="1079">
        <v>0</v>
      </c>
      <c r="H194" s="1080">
        <v>55000</v>
      </c>
      <c r="I194" s="1081">
        <v>1578.5</v>
      </c>
      <c r="J194" s="1074">
        <v>2559.6799999999998</v>
      </c>
      <c r="K194" s="1078">
        <v>1672</v>
      </c>
      <c r="L194" s="1081">
        <v>25</v>
      </c>
      <c r="M194" s="1032">
        <f t="shared" ref="M194:M219" si="44">+I194+J194+K194+L194</f>
        <v>5835.18</v>
      </c>
      <c r="N194" s="1032">
        <f t="shared" si="43"/>
        <v>49164.82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1740.46</v>
      </c>
      <c r="M195" s="1032">
        <f t="shared" si="44"/>
        <v>3956.71</v>
      </c>
      <c r="N195" s="1032">
        <f t="shared" si="43"/>
        <v>33543.29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44"/>
        <v>1886.65</v>
      </c>
      <c r="N196" s="1032">
        <f t="shared" si="43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1">
        <v>25</v>
      </c>
      <c r="M197" s="1031">
        <f t="shared" si="44"/>
        <v>1886.65</v>
      </c>
      <c r="N197" s="1031">
        <f t="shared" si="43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1">
        <v>25</v>
      </c>
      <c r="M198" s="1031">
        <f t="shared" si="44"/>
        <v>1886.65</v>
      </c>
      <c r="N198" s="1031">
        <f t="shared" si="43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44"/>
        <v>1886.65</v>
      </c>
      <c r="N199" s="1031">
        <f t="shared" si="43"/>
        <v>29613.35</v>
      </c>
    </row>
    <row r="200" spans="2:14" ht="18.75" x14ac:dyDescent="0.3">
      <c r="B200" s="1027" t="s">
        <v>1440</v>
      </c>
      <c r="C200" s="950" t="s">
        <v>807</v>
      </c>
      <c r="D200" s="1024" t="s">
        <v>276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v>2331.06</v>
      </c>
      <c r="N200" s="1032">
        <f t="shared" ref="N200" si="45">+H200-M200</f>
        <v>35168.94</v>
      </c>
    </row>
    <row r="201" spans="2:14" ht="18.75" x14ac:dyDescent="0.3">
      <c r="B201" s="1029" t="s">
        <v>1329</v>
      </c>
      <c r="C201" s="950" t="s">
        <v>1330</v>
      </c>
      <c r="D201" s="1024" t="s">
        <v>1325</v>
      </c>
      <c r="E201" s="960" t="s">
        <v>307</v>
      </c>
      <c r="F201" s="951">
        <v>43500</v>
      </c>
      <c r="G201" s="952">
        <v>0</v>
      </c>
      <c r="H201" s="1031">
        <v>43500</v>
      </c>
      <c r="I201" s="953">
        <v>1248.45</v>
      </c>
      <c r="J201" s="1036">
        <v>936.62</v>
      </c>
      <c r="K201" s="953">
        <v>1322.4</v>
      </c>
      <c r="L201" s="951">
        <v>25</v>
      </c>
      <c r="M201" s="1031">
        <f t="shared" si="44"/>
        <v>3532.4700000000003</v>
      </c>
      <c r="N201" s="1031">
        <f t="shared" si="43"/>
        <v>39967.53</v>
      </c>
    </row>
    <row r="202" spans="2:14" ht="18.75" x14ac:dyDescent="0.3">
      <c r="B202" s="1027" t="s">
        <v>1337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44"/>
        <v>2331.06</v>
      </c>
      <c r="N202" s="1032">
        <f t="shared" si="43"/>
        <v>35168.94</v>
      </c>
    </row>
    <row r="203" spans="2:14" ht="18.75" x14ac:dyDescent="0.3">
      <c r="B203" s="1027" t="s">
        <v>1345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44"/>
        <v>2331.06</v>
      </c>
      <c r="N203" s="1032">
        <f t="shared" si="43"/>
        <v>35168.94</v>
      </c>
    </row>
    <row r="204" spans="2:14" ht="18.75" x14ac:dyDescent="0.3">
      <c r="B204" s="1027" t="s">
        <v>1351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44"/>
        <v>2331.06</v>
      </c>
      <c r="N204" s="1032">
        <f t="shared" si="43"/>
        <v>35168.94</v>
      </c>
    </row>
    <row r="205" spans="2:14" ht="18.75" x14ac:dyDescent="0.3">
      <c r="B205" s="1027" t="s">
        <v>1336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44"/>
        <v>2331.06</v>
      </c>
      <c r="N205" s="1032">
        <f t="shared" si="43"/>
        <v>35168.94</v>
      </c>
    </row>
    <row r="206" spans="2:14" ht="18.75" x14ac:dyDescent="0.3">
      <c r="B206" s="1027" t="s">
        <v>1387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44"/>
        <v>2331.06</v>
      </c>
      <c r="N206" s="1032">
        <f t="shared" si="43"/>
        <v>35168.94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6">
        <v>936.62</v>
      </c>
      <c r="K207" s="953">
        <v>1322.4</v>
      </c>
      <c r="L207" s="951">
        <v>25</v>
      </c>
      <c r="M207" s="1031">
        <f t="shared" si="44"/>
        <v>3532.4700000000003</v>
      </c>
      <c r="N207" s="1031">
        <f t="shared" si="43"/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6">
        <v>0</v>
      </c>
      <c r="K208" s="953">
        <v>760</v>
      </c>
      <c r="L208" s="951">
        <v>25</v>
      </c>
      <c r="M208" s="1031">
        <f t="shared" si="44"/>
        <v>1502.5</v>
      </c>
      <c r="N208" s="1031">
        <f t="shared" si="43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6">
        <v>0</v>
      </c>
      <c r="K209" s="953">
        <v>760</v>
      </c>
      <c r="L209" s="951">
        <v>25</v>
      </c>
      <c r="M209" s="1031">
        <f t="shared" si="44"/>
        <v>1502.5</v>
      </c>
      <c r="N209" s="1031">
        <f t="shared" si="43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6">
        <v>0</v>
      </c>
      <c r="K210" s="953">
        <v>760</v>
      </c>
      <c r="L210" s="951">
        <v>25</v>
      </c>
      <c r="M210" s="1031">
        <f t="shared" si="44"/>
        <v>1502.5</v>
      </c>
      <c r="N210" s="1031">
        <f t="shared" si="43"/>
        <v>23497.5</v>
      </c>
    </row>
    <row r="211" spans="2:14" ht="18.75" x14ac:dyDescent="0.3">
      <c r="B211" s="1027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44"/>
        <v>1502.5</v>
      </c>
      <c r="N211" s="1032">
        <f t="shared" si="43"/>
        <v>23497.5</v>
      </c>
    </row>
    <row r="212" spans="2:14" ht="18.75" x14ac:dyDescent="0.3">
      <c r="B212" s="1027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74">
        <v>0</v>
      </c>
      <c r="H212" s="1032">
        <v>25000</v>
      </c>
      <c r="I212" s="951">
        <v>717.5</v>
      </c>
      <c r="J212" s="1036">
        <v>0</v>
      </c>
      <c r="K212" s="951">
        <v>760</v>
      </c>
      <c r="L212" s="951">
        <v>25</v>
      </c>
      <c r="M212" s="1032">
        <f t="shared" si="44"/>
        <v>1502.5</v>
      </c>
      <c r="N212" s="1032">
        <f t="shared" si="43"/>
        <v>23497.5</v>
      </c>
    </row>
    <row r="213" spans="2:14" ht="18.75" x14ac:dyDescent="0.3">
      <c r="B213" s="1024" t="s">
        <v>830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44"/>
        <v>1798</v>
      </c>
      <c r="N213" s="1032">
        <f t="shared" si="43"/>
        <v>28202</v>
      </c>
    </row>
    <row r="214" spans="2:14" ht="18.75" x14ac:dyDescent="0.3">
      <c r="B214" s="1024" t="s">
        <v>1056</v>
      </c>
      <c r="C214" s="950" t="s">
        <v>806</v>
      </c>
      <c r="D214" s="1026" t="s">
        <v>92</v>
      </c>
      <c r="E214" s="960" t="s">
        <v>1067</v>
      </c>
      <c r="F214" s="978">
        <v>30000</v>
      </c>
      <c r="G214" s="979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44"/>
        <v>1798</v>
      </c>
      <c r="N214" s="1032">
        <f t="shared" si="43"/>
        <v>28202</v>
      </c>
    </row>
    <row r="215" spans="2:14" ht="18.75" x14ac:dyDescent="0.3">
      <c r="B215" s="1027" t="s">
        <v>800</v>
      </c>
      <c r="C215" s="950" t="s">
        <v>806</v>
      </c>
      <c r="D215" s="1024" t="s">
        <v>268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f t="shared" si="44"/>
        <v>1798</v>
      </c>
      <c r="N215" s="1032">
        <f t="shared" si="43"/>
        <v>28202</v>
      </c>
    </row>
    <row r="216" spans="2:14" ht="18.75" x14ac:dyDescent="0.3">
      <c r="B216" s="1029" t="s">
        <v>1333</v>
      </c>
      <c r="C216" s="950" t="s">
        <v>1296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6">
        <v>0</v>
      </c>
      <c r="K216" s="953">
        <v>912</v>
      </c>
      <c r="L216" s="951">
        <v>25</v>
      </c>
      <c r="M216" s="1031">
        <f t="shared" si="44"/>
        <v>1798</v>
      </c>
      <c r="N216" s="1031">
        <f t="shared" si="43"/>
        <v>28202</v>
      </c>
    </row>
    <row r="217" spans="2:14" ht="18.75" x14ac:dyDescent="0.3">
      <c r="B217" s="1029" t="s">
        <v>91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6">
        <v>0</v>
      </c>
      <c r="K217" s="953">
        <v>912</v>
      </c>
      <c r="L217" s="951">
        <v>2134</v>
      </c>
      <c r="M217" s="1031">
        <f t="shared" si="44"/>
        <v>3907</v>
      </c>
      <c r="N217" s="1031">
        <f t="shared" si="43"/>
        <v>26093</v>
      </c>
    </row>
    <row r="218" spans="2:14" ht="18.75" x14ac:dyDescent="0.3">
      <c r="B218" s="1029" t="s">
        <v>1346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6">
        <v>0</v>
      </c>
      <c r="K218" s="953">
        <v>912</v>
      </c>
      <c r="L218" s="951">
        <v>25</v>
      </c>
      <c r="M218" s="1031">
        <f t="shared" si="44"/>
        <v>1798</v>
      </c>
      <c r="N218" s="1031">
        <f t="shared" si="43"/>
        <v>28202</v>
      </c>
    </row>
    <row r="219" spans="2:14" ht="18.75" x14ac:dyDescent="0.3">
      <c r="B219" s="1029" t="s">
        <v>1350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6">
        <v>0</v>
      </c>
      <c r="K219" s="953">
        <v>912</v>
      </c>
      <c r="L219" s="951">
        <v>25</v>
      </c>
      <c r="M219" s="1031">
        <f t="shared" si="44"/>
        <v>1798</v>
      </c>
      <c r="N219" s="1031">
        <f t="shared" si="43"/>
        <v>28202</v>
      </c>
    </row>
    <row r="220" spans="2:14" ht="18.75" x14ac:dyDescent="0.3">
      <c r="B220" s="1027" t="s">
        <v>1388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1389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1027" t="s">
        <v>1390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1420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961" t="s">
        <v>749</v>
      </c>
      <c r="C224" s="999"/>
      <c r="D224" s="962">
        <v>38</v>
      </c>
      <c r="E224" s="962"/>
      <c r="F224" s="963">
        <f>SUM(F186:F223)</f>
        <v>1680500</v>
      </c>
      <c r="G224" s="1071">
        <v>0</v>
      </c>
      <c r="H224" s="963">
        <f t="shared" ref="H224:N224" si="46">SUM(H186:H223)</f>
        <v>1680500</v>
      </c>
      <c r="I224" s="963">
        <f t="shared" si="46"/>
        <v>48230.349999999991</v>
      </c>
      <c r="J224" s="963">
        <f t="shared" si="46"/>
        <v>76231.719999999972</v>
      </c>
      <c r="K224" s="963">
        <f t="shared" si="46"/>
        <v>51087.199999999997</v>
      </c>
      <c r="L224" s="963">
        <f t="shared" si="46"/>
        <v>12339.3</v>
      </c>
      <c r="M224" s="963">
        <f t="shared" si="46"/>
        <v>187888.56999999995</v>
      </c>
      <c r="N224" s="963">
        <f t="shared" si="46"/>
        <v>1492611.4299999997</v>
      </c>
    </row>
    <row r="225" spans="2:14" ht="18.75" x14ac:dyDescent="0.3">
      <c r="B225" s="961"/>
      <c r="C225" s="958"/>
      <c r="D225" s="962"/>
      <c r="E225" s="962"/>
      <c r="F225" s="963"/>
      <c r="G225" s="964"/>
      <c r="H225" s="965"/>
      <c r="I225" s="965"/>
      <c r="J225" s="963"/>
      <c r="K225" s="965"/>
      <c r="L225" s="963"/>
      <c r="M225" s="965"/>
      <c r="N225" s="965"/>
    </row>
    <row r="226" spans="2:14" ht="27.75" customHeight="1" x14ac:dyDescent="0.35">
      <c r="B226" s="1115" t="s">
        <v>865</v>
      </c>
      <c r="C226" s="1116"/>
      <c r="D226" s="1115">
        <v>133</v>
      </c>
      <c r="E226" s="1115"/>
      <c r="F226" s="1117">
        <f>+F19+F25+F29+F41+F45+F50+F54+F60+F74+F89+F94+F99+F105+F110+F114+F124+F130+F138+F144+F148+F152+F159+F164+F169+F183+F224</f>
        <v>6955000</v>
      </c>
      <c r="G226" s="1118">
        <v>0</v>
      </c>
      <c r="H226" s="1117">
        <f t="shared" ref="H226:N226" si="47">+H19+H25+H29+H41+H45+H50+H54+H60+H74+H89+H94+H99+H105+H110+H114+H124+H130+H138+H144+H148+H152+H159+H164+H169+H183+H224</f>
        <v>6955000</v>
      </c>
      <c r="I226" s="1117">
        <f t="shared" si="47"/>
        <v>199608.3</v>
      </c>
      <c r="J226" s="1117">
        <f t="shared" si="47"/>
        <v>443325.83999999991</v>
      </c>
      <c r="K226" s="1117">
        <f t="shared" si="47"/>
        <v>208910.31999999995</v>
      </c>
      <c r="L226" s="1117">
        <f t="shared" si="47"/>
        <v>139577.72999999998</v>
      </c>
      <c r="M226" s="1117">
        <f t="shared" si="47"/>
        <v>991422.19</v>
      </c>
      <c r="N226" s="1117">
        <f t="shared" si="47"/>
        <v>5963577.8099999987</v>
      </c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69"/>
      <c r="K227" s="1022"/>
      <c r="L227" s="1093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69"/>
      <c r="K228" s="1022"/>
      <c r="L228" s="1093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1092"/>
      <c r="K229" s="1022"/>
      <c r="L229" s="1093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69"/>
      <c r="K230" s="1022"/>
      <c r="L230" s="1093"/>
      <c r="M230" s="1022"/>
      <c r="N230" s="1022"/>
    </row>
    <row r="231" spans="2:14" ht="15.75" x14ac:dyDescent="0.25">
      <c r="B231" s="853"/>
      <c r="C231" s="871"/>
      <c r="D231" s="853"/>
      <c r="E231" s="271"/>
      <c r="F231" s="869"/>
      <c r="G231" s="853"/>
      <c r="H231" s="853"/>
      <c r="I231" s="853"/>
      <c r="J231" s="869"/>
      <c r="K231" s="1022"/>
      <c r="L231" s="1093"/>
      <c r="M231" s="1022"/>
      <c r="N231" s="1022"/>
    </row>
    <row r="232" spans="2:14" ht="15.75" x14ac:dyDescent="0.25">
      <c r="B232" s="853"/>
      <c r="C232" s="871"/>
      <c r="D232" s="1022"/>
      <c r="E232" s="271"/>
      <c r="F232" s="869"/>
      <c r="G232" s="853"/>
      <c r="H232" s="853"/>
      <c r="I232" s="853"/>
      <c r="J232" s="1092"/>
      <c r="K232" s="1022"/>
      <c r="L232" s="1093"/>
      <c r="M232" s="1022"/>
      <c r="N232" s="1022"/>
    </row>
    <row r="233" spans="2:14" ht="15.75" x14ac:dyDescent="0.25">
      <c r="B233" s="853"/>
      <c r="C233" s="871"/>
      <c r="D233" s="1022"/>
      <c r="F233" s="869"/>
      <c r="G233" s="853"/>
      <c r="H233" s="853"/>
      <c r="I233" s="853"/>
      <c r="J233" s="1093"/>
      <c r="K233" s="1022"/>
      <c r="L233" s="1093"/>
      <c r="M233" s="1022"/>
      <c r="N233" s="1022"/>
    </row>
    <row r="234" spans="2:14" ht="15.75" x14ac:dyDescent="0.25">
      <c r="B234" s="853"/>
      <c r="C234" s="871"/>
      <c r="D234" s="853"/>
      <c r="E234" s="271"/>
      <c r="F234" s="869"/>
      <c r="G234" s="853"/>
      <c r="H234" s="853"/>
      <c r="I234" s="853"/>
      <c r="J234" s="869"/>
      <c r="K234" s="1022"/>
      <c r="L234" s="1093"/>
      <c r="M234" s="1022"/>
      <c r="N234" s="1022"/>
    </row>
    <row r="235" spans="2:14" ht="15.75" x14ac:dyDescent="0.25">
      <c r="B235" s="853"/>
      <c r="C235" s="871"/>
      <c r="D235" s="1022"/>
      <c r="E235" s="853"/>
      <c r="F235" s="869"/>
      <c r="G235" s="853"/>
      <c r="H235" s="853"/>
      <c r="I235" s="853"/>
      <c r="J235" s="869"/>
      <c r="K235" s="1022"/>
      <c r="L235" s="1093"/>
      <c r="M235" s="1022"/>
      <c r="N235" s="1022"/>
    </row>
    <row r="236" spans="2:14" ht="15.75" x14ac:dyDescent="0.25">
      <c r="B236" s="853"/>
      <c r="C236" s="871"/>
      <c r="D236" s="872"/>
      <c r="E236" s="853"/>
      <c r="F236" s="852"/>
      <c r="G236" s="853"/>
      <c r="H236" s="853"/>
      <c r="I236" s="853"/>
      <c r="J236" s="869"/>
      <c r="K236" s="1022"/>
      <c r="L236" s="869"/>
      <c r="M236" s="853"/>
      <c r="N236" s="853"/>
    </row>
    <row r="237" spans="2:14" ht="17.25" customHeight="1" x14ac:dyDescent="0.25">
      <c r="B237" s="853"/>
      <c r="C237" s="871"/>
      <c r="D237" s="872"/>
      <c r="E237" s="853"/>
      <c r="F237" s="852"/>
      <c r="G237" s="853"/>
      <c r="H237" s="853"/>
      <c r="I237" s="853"/>
      <c r="J237" s="869"/>
      <c r="K237" s="853"/>
      <c r="L237" s="869"/>
      <c r="M237" s="1022"/>
      <c r="N237" s="1022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69"/>
      <c r="K238" s="853"/>
      <c r="L238" s="869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69"/>
      <c r="K239" s="853"/>
      <c r="L239" s="869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69"/>
      <c r="K240" s="853"/>
      <c r="L240" s="869"/>
      <c r="M240" s="853"/>
      <c r="N240" s="853"/>
    </row>
    <row r="241" spans="2:15" ht="17.25" customHeight="1" x14ac:dyDescent="0.25">
      <c r="B241" s="853"/>
      <c r="C241" s="871"/>
      <c r="D241" s="853"/>
      <c r="E241" s="853"/>
      <c r="F241" s="852"/>
      <c r="G241" s="853"/>
      <c r="H241" s="853"/>
      <c r="I241" s="853"/>
      <c r="J241" s="869"/>
      <c r="K241" s="853"/>
      <c r="L241" s="869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69"/>
      <c r="K242" s="853"/>
      <c r="L242" s="869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69"/>
      <c r="K243" s="853"/>
      <c r="L243" s="869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69"/>
      <c r="K244" s="853"/>
      <c r="L244" s="869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69"/>
      <c r="K245" s="853"/>
      <c r="L245" s="869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69"/>
      <c r="K246" s="853"/>
      <c r="L246" s="869"/>
      <c r="M246" s="853"/>
      <c r="N246" s="853"/>
    </row>
    <row r="247" spans="2:15" ht="15.75" x14ac:dyDescent="0.25">
      <c r="B247" s="873"/>
      <c r="C247" s="874"/>
      <c r="D247" s="873"/>
      <c r="E247" s="873"/>
      <c r="F247" s="875"/>
      <c r="G247" s="873"/>
      <c r="H247" s="873"/>
      <c r="I247" s="873"/>
      <c r="J247" s="1094"/>
      <c r="K247" s="873"/>
      <c r="L247" s="1094"/>
      <c r="M247" s="873"/>
      <c r="N247" s="873"/>
    </row>
    <row r="248" spans="2:15" ht="15.75" x14ac:dyDescent="0.25">
      <c r="B248" s="873"/>
      <c r="C248" s="871"/>
      <c r="D248" s="873"/>
      <c r="E248" s="873"/>
      <c r="F248" s="875"/>
      <c r="G248" s="873"/>
      <c r="H248" s="873"/>
      <c r="I248" s="873"/>
      <c r="J248" s="1094"/>
      <c r="K248" s="873"/>
      <c r="L248" s="1094"/>
      <c r="M248" s="873"/>
      <c r="N248" s="873"/>
    </row>
    <row r="249" spans="2:15" ht="15.75" x14ac:dyDescent="0.25">
      <c r="B249" s="871"/>
      <c r="C249" s="871"/>
      <c r="D249" s="871"/>
      <c r="E249" s="871"/>
      <c r="F249" s="876"/>
      <c r="G249" s="877"/>
      <c r="H249" s="878"/>
      <c r="I249" s="879"/>
      <c r="J249" s="1095"/>
      <c r="K249" s="880"/>
      <c r="L249" s="1095"/>
      <c r="M249" s="880"/>
      <c r="N249" s="880"/>
    </row>
    <row r="250" spans="2:15" ht="15.75" x14ac:dyDescent="0.25">
      <c r="B250" s="1703" t="s">
        <v>1271</v>
      </c>
      <c r="C250" s="1703"/>
      <c r="D250" s="874"/>
      <c r="E250" s="874"/>
      <c r="F250" s="875"/>
      <c r="G250" s="873"/>
      <c r="H250" s="873"/>
      <c r="I250" s="1683" t="s">
        <v>852</v>
      </c>
      <c r="J250" s="1683"/>
      <c r="K250" s="1683"/>
      <c r="L250" s="1683"/>
      <c r="M250" s="1683"/>
      <c r="N250" s="1683"/>
    </row>
    <row r="251" spans="2:15" ht="15.75" x14ac:dyDescent="0.25">
      <c r="B251" s="930" t="s">
        <v>1376</v>
      </c>
      <c r="C251" s="871"/>
      <c r="D251" s="871"/>
      <c r="E251" s="871"/>
      <c r="F251" s="875"/>
      <c r="G251" s="873"/>
      <c r="I251" s="622"/>
      <c r="J251" s="1684" t="s">
        <v>1370</v>
      </c>
      <c r="K251" s="1684"/>
      <c r="L251" s="1684"/>
      <c r="M251" s="1684"/>
      <c r="N251" s="622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519"/>
      <c r="K252" s="928"/>
      <c r="L252" s="519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519"/>
      <c r="K253" s="928"/>
      <c r="L253" s="519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519"/>
      <c r="K254" s="928"/>
      <c r="L254" s="519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519"/>
      <c r="K255" s="928"/>
      <c r="L255" s="519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519"/>
      <c r="K256" s="928"/>
      <c r="L256" s="519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519"/>
      <c r="K257" s="928"/>
      <c r="L257" s="519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519"/>
      <c r="K258" s="928"/>
      <c r="L258" s="519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519"/>
      <c r="K259" s="928"/>
      <c r="L259" s="519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519"/>
      <c r="K260" s="928"/>
      <c r="L260" s="519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519"/>
      <c r="K261" s="928"/>
      <c r="L261" s="519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519"/>
      <c r="K262" s="928"/>
      <c r="L262" s="519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519"/>
      <c r="K263" s="928"/>
      <c r="L263" s="519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519"/>
      <c r="K264" s="928"/>
      <c r="L264" s="519"/>
      <c r="M264" s="928"/>
      <c r="N264" s="928"/>
      <c r="O264" s="537"/>
    </row>
    <row r="265" spans="2:15" ht="15.75" x14ac:dyDescent="0.25">
      <c r="B265" s="874"/>
      <c r="C265" s="851"/>
      <c r="D265" s="874"/>
      <c r="E265" s="874"/>
      <c r="F265" s="883"/>
      <c r="G265" s="874"/>
      <c r="H265" s="884"/>
      <c r="I265" s="882"/>
      <c r="J265" s="1094"/>
      <c r="K265" s="885"/>
      <c r="L265" s="1096"/>
      <c r="M265" s="885"/>
      <c r="N265" s="885"/>
    </row>
  </sheetData>
  <mergeCells count="21">
    <mergeCell ref="B6:N6"/>
    <mergeCell ref="B8:N8"/>
    <mergeCell ref="B9:N9"/>
    <mergeCell ref="B10:N10"/>
    <mergeCell ref="B12:B13"/>
    <mergeCell ref="C12:C13"/>
    <mergeCell ref="D12:D13"/>
    <mergeCell ref="E12:E13"/>
    <mergeCell ref="G12:G13"/>
    <mergeCell ref="H12:H13"/>
    <mergeCell ref="A7:M7"/>
    <mergeCell ref="N7:O7"/>
    <mergeCell ref="B250:C250"/>
    <mergeCell ref="I250:N250"/>
    <mergeCell ref="J251:M251"/>
    <mergeCell ref="I12:I13"/>
    <mergeCell ref="J12:J13"/>
    <mergeCell ref="K12:K13"/>
    <mergeCell ref="L12:L13"/>
    <mergeCell ref="M12:M13"/>
    <mergeCell ref="N12:N13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9" max="13" man="1"/>
    <brk id="194" max="13" man="1"/>
  </rowBreaks>
  <drawing r:id="rId2"/>
</worksheet>
</file>

<file path=xl/worksheets/sheet2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22F96-8876-4FC9-8FBA-740EAEA25407}">
  <dimension ref="A1:S157"/>
  <sheetViews>
    <sheetView zoomScale="89" zoomScaleNormal="89" zoomScaleSheetLayoutView="70" workbookViewId="0">
      <selection activeCell="A8" sqref="A8:O8"/>
    </sheetView>
  </sheetViews>
  <sheetFormatPr baseColWidth="10" defaultRowHeight="15" x14ac:dyDescent="0.25"/>
  <cols>
    <col min="1" max="1" width="64" customWidth="1"/>
    <col min="2" max="2" width="9.7109375" customWidth="1"/>
    <col min="3" max="3" width="68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2.5703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1452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709" t="s">
        <v>7</v>
      </c>
      <c r="B11" s="1709" t="s">
        <v>937</v>
      </c>
      <c r="C11" s="1712" t="s">
        <v>9</v>
      </c>
      <c r="D11" s="1709" t="s">
        <v>832</v>
      </c>
      <c r="E11" s="1709" t="s">
        <v>834</v>
      </c>
      <c r="F11" s="1709" t="s">
        <v>209</v>
      </c>
      <c r="G11" s="1051" t="s">
        <v>12</v>
      </c>
      <c r="H11" s="1711" t="s">
        <v>13</v>
      </c>
      <c r="I11" s="1710" t="s">
        <v>14</v>
      </c>
      <c r="J11" s="1710" t="s">
        <v>15</v>
      </c>
      <c r="K11" s="1710" t="s">
        <v>16</v>
      </c>
      <c r="L11" s="1722" t="s">
        <v>17</v>
      </c>
      <c r="M11" s="1710" t="s">
        <v>18</v>
      </c>
      <c r="N11" s="1710" t="s">
        <v>19</v>
      </c>
      <c r="O11" s="1710" t="s">
        <v>20</v>
      </c>
    </row>
    <row r="12" spans="1:15" x14ac:dyDescent="0.25">
      <c r="A12" s="1709"/>
      <c r="B12" s="1709"/>
      <c r="C12" s="1712"/>
      <c r="D12" s="1709"/>
      <c r="E12" s="1709"/>
      <c r="F12" s="1709"/>
      <c r="G12" s="1051" t="s">
        <v>21</v>
      </c>
      <c r="H12" s="1711"/>
      <c r="I12" s="1710"/>
      <c r="J12" s="1710"/>
      <c r="K12" s="1710"/>
      <c r="L12" s="1722"/>
      <c r="M12" s="1710"/>
      <c r="N12" s="1710"/>
      <c r="O12" s="1710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19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0.25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18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17.25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76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626">
        <v>3040</v>
      </c>
      <c r="M42" s="1100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45200</v>
      </c>
      <c r="F43" s="855">
        <v>45717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626">
        <v>1520</v>
      </c>
      <c r="M43" s="1100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8">SUM(H43)</f>
        <v>0</v>
      </c>
      <c r="I44" s="697">
        <f t="shared" ref="I44:N44" si="9">SUM(I42:I43)</f>
        <v>150000</v>
      </c>
      <c r="J44" s="697">
        <f t="shared" si="9"/>
        <v>4305</v>
      </c>
      <c r="K44" s="697">
        <f t="shared" si="9"/>
        <v>13959.37</v>
      </c>
      <c r="L44" s="697">
        <f t="shared" si="9"/>
        <v>4560</v>
      </c>
      <c r="M44" s="676">
        <f t="shared" si="9"/>
        <v>50</v>
      </c>
      <c r="N44" s="697">
        <f t="shared" si="9"/>
        <v>22874.37</v>
      </c>
      <c r="O44" s="697">
        <f>SUM(O42:O43)</f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0" customHeight="1" x14ac:dyDescent="0.25">
      <c r="A47" s="286" t="s">
        <v>624</v>
      </c>
      <c r="B47" s="281" t="s">
        <v>806</v>
      </c>
      <c r="C47" s="749" t="s">
        <v>1425</v>
      </c>
      <c r="D47" s="281" t="s">
        <v>1063</v>
      </c>
      <c r="E47" s="855">
        <v>45474</v>
      </c>
      <c r="F47" s="855">
        <v>45658</v>
      </c>
      <c r="G47" s="626">
        <v>120000</v>
      </c>
      <c r="H47" s="627">
        <v>0</v>
      </c>
      <c r="I47" s="468">
        <v>120000</v>
      </c>
      <c r="J47" s="468">
        <v>3444</v>
      </c>
      <c r="K47" s="468">
        <v>16809.87</v>
      </c>
      <c r="L47" s="628">
        <v>3648</v>
      </c>
      <c r="M47" s="675">
        <v>2568.4</v>
      </c>
      <c r="N47" s="468">
        <f>+J47+K47+L47+M47</f>
        <v>26470.27</v>
      </c>
      <c r="O47" s="626">
        <f>+I47-N47</f>
        <v>93529.73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628">
        <v>1672</v>
      </c>
      <c r="M48" s="675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175000</v>
      </c>
      <c r="H49" s="696">
        <f t="shared" ref="H49" si="10">SUM(H48)</f>
        <v>0</v>
      </c>
      <c r="I49" s="697">
        <f t="shared" ref="I49:O49" si="11">SUM(I47:I48)</f>
        <v>175000</v>
      </c>
      <c r="J49" s="697">
        <f t="shared" si="11"/>
        <v>5022.5</v>
      </c>
      <c r="K49" s="697">
        <f t="shared" si="11"/>
        <v>19369.55</v>
      </c>
      <c r="L49" s="697">
        <f t="shared" si="11"/>
        <v>5320</v>
      </c>
      <c r="M49" s="676">
        <f>SUM(M47:M48)</f>
        <v>2593.4</v>
      </c>
      <c r="N49" s="697">
        <f t="shared" si="11"/>
        <v>32305.45</v>
      </c>
      <c r="O49" s="697">
        <f t="shared" si="11"/>
        <v>142694.54999999999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68"/>
      <c r="M50" s="675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76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ref="N52:N58" si="12">+J52+K52+L52+M52</f>
        <v>25398.49</v>
      </c>
      <c r="O52" s="498">
        <f t="shared" ref="O52:O58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2"/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2"/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2"/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103">
        <v>25</v>
      </c>
      <c r="N56" s="468">
        <f t="shared" si="12"/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103">
        <v>25</v>
      </c>
      <c r="N57" s="468">
        <f t="shared" si="12"/>
        <v>22455.239999999998</v>
      </c>
      <c r="O57" s="498">
        <f t="shared" si="13"/>
        <v>92544.760000000009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627">
        <v>0</v>
      </c>
      <c r="I58" s="1038">
        <v>115000</v>
      </c>
      <c r="J58" s="1038">
        <v>3300.5</v>
      </c>
      <c r="K58" s="1038">
        <v>15204.88</v>
      </c>
      <c r="L58" s="1039">
        <v>3496</v>
      </c>
      <c r="M58" s="1103">
        <v>1740.46</v>
      </c>
      <c r="N58" s="468">
        <f t="shared" si="12"/>
        <v>23741.839999999997</v>
      </c>
      <c r="O58" s="626">
        <f t="shared" si="13"/>
        <v>91258.16</v>
      </c>
    </row>
    <row r="59" spans="1:15" x14ac:dyDescent="0.25">
      <c r="A59" s="466" t="s">
        <v>813</v>
      </c>
      <c r="B59" s="465"/>
      <c r="C59" s="492">
        <v>7</v>
      </c>
      <c r="D59" s="465"/>
      <c r="E59" s="500"/>
      <c r="F59" s="855"/>
      <c r="G59" s="697">
        <f>SUM(G52:G58)</f>
        <v>855000</v>
      </c>
      <c r="H59" s="696">
        <f t="shared" ref="H59" si="14">SUM(H58)</f>
        <v>0</v>
      </c>
      <c r="I59" s="697">
        <f t="shared" ref="I59:O59" si="15">SUM(I52:I58)</f>
        <v>855000</v>
      </c>
      <c r="J59" s="697">
        <f t="shared" si="15"/>
        <v>24538.5</v>
      </c>
      <c r="K59" s="697">
        <f t="shared" si="15"/>
        <v>120768.57000000002</v>
      </c>
      <c r="L59" s="697">
        <f t="shared" si="15"/>
        <v>25992</v>
      </c>
      <c r="M59" s="676">
        <f t="shared" si="15"/>
        <v>1890.46</v>
      </c>
      <c r="N59" s="697">
        <f t="shared" si="15"/>
        <v>173189.53</v>
      </c>
      <c r="O59" s="697">
        <f t="shared" si="15"/>
        <v>681810.47000000009</v>
      </c>
    </row>
    <row r="60" spans="1:15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.75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45413</v>
      </c>
      <c r="F62" s="855">
        <v>45597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16.5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45413</v>
      </c>
      <c r="F63" s="855">
        <v>45597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16.5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45200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16.5" customHeight="1" x14ac:dyDescent="0.25">
      <c r="A65" s="286" t="s">
        <v>1290</v>
      </c>
      <c r="B65" s="497" t="s">
        <v>1151</v>
      </c>
      <c r="C65" s="282" t="s">
        <v>417</v>
      </c>
      <c r="D65" s="281" t="s">
        <v>1063</v>
      </c>
      <c r="E65" s="855">
        <v>45200</v>
      </c>
      <c r="F65" s="855">
        <v>45717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68">
        <v>1976</v>
      </c>
      <c r="M65" s="675">
        <v>25</v>
      </c>
      <c r="N65" s="457">
        <f>+J65+K65+L65+M65</f>
        <v>8294.08</v>
      </c>
      <c r="O65" s="457">
        <f>+I65-N65</f>
        <v>56705.919999999998</v>
      </c>
    </row>
    <row r="66" spans="1:15" x14ac:dyDescent="0.25">
      <c r="A66" s="466" t="s">
        <v>813</v>
      </c>
      <c r="B66" s="465"/>
      <c r="C66" s="492">
        <v>4</v>
      </c>
      <c r="D66" s="465"/>
      <c r="E66" s="500"/>
      <c r="F66" s="855"/>
      <c r="G66" s="695">
        <f>SUM(G62:G65)</f>
        <v>350000</v>
      </c>
      <c r="H66" s="696">
        <f t="shared" ref="H66" si="16">SUM(H65)</f>
        <v>0</v>
      </c>
      <c r="I66" s="695">
        <f t="shared" ref="I66:O66" si="17">SUM(I62:I65)</f>
        <v>350000</v>
      </c>
      <c r="J66" s="695">
        <f t="shared" si="17"/>
        <v>10045</v>
      </c>
      <c r="K66" s="695">
        <f t="shared" si="17"/>
        <v>38090.26</v>
      </c>
      <c r="L66" s="695">
        <f t="shared" si="17"/>
        <v>10640</v>
      </c>
      <c r="M66" s="1099">
        <f t="shared" si="17"/>
        <v>100</v>
      </c>
      <c r="N66" s="695">
        <f t="shared" si="17"/>
        <v>58875.26</v>
      </c>
      <c r="O66" s="695">
        <f t="shared" si="17"/>
        <v>291124.74</v>
      </c>
    </row>
    <row r="67" spans="1:15" x14ac:dyDescent="0.25">
      <c r="A67" s="490"/>
      <c r="B67" s="491"/>
      <c r="C67" s="492"/>
      <c r="D67" s="465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x14ac:dyDescent="0.25">
      <c r="A68" s="490" t="s">
        <v>629</v>
      </c>
      <c r="B68" s="491"/>
      <c r="C68" s="492"/>
      <c r="D68" s="492"/>
      <c r="E68" s="856"/>
      <c r="F68" s="857"/>
      <c r="G68" s="695"/>
      <c r="H68" s="495"/>
      <c r="I68" s="463"/>
      <c r="J68" s="463"/>
      <c r="K68" s="463"/>
      <c r="L68" s="697"/>
      <c r="M68" s="676"/>
      <c r="N68" s="463"/>
      <c r="O68" s="463"/>
    </row>
    <row r="69" spans="1:15" ht="15.75" customHeight="1" x14ac:dyDescent="0.25">
      <c r="A69" s="496" t="s">
        <v>568</v>
      </c>
      <c r="B69" s="497" t="s">
        <v>807</v>
      </c>
      <c r="C69" s="282" t="s">
        <v>1427</v>
      </c>
      <c r="D69" s="281" t="s">
        <v>1063</v>
      </c>
      <c r="E69" s="855">
        <v>45413</v>
      </c>
      <c r="F69" s="855">
        <v>45597</v>
      </c>
      <c r="G69" s="626">
        <v>185000</v>
      </c>
      <c r="H69" s="487">
        <v>0</v>
      </c>
      <c r="I69" s="457">
        <v>185000</v>
      </c>
      <c r="J69" s="457">
        <v>5309.5</v>
      </c>
      <c r="K69" s="457">
        <v>32099.49</v>
      </c>
      <c r="L69" s="468">
        <v>5624</v>
      </c>
      <c r="M69" s="675">
        <v>4557.26</v>
      </c>
      <c r="N69" s="457">
        <f>+J69+K69+L69+M69</f>
        <v>47590.250000000007</v>
      </c>
      <c r="O69" s="457">
        <f>+I69-N69</f>
        <v>137409.75</v>
      </c>
    </row>
    <row r="70" spans="1:15" x14ac:dyDescent="0.25">
      <c r="A70" s="466" t="s">
        <v>813</v>
      </c>
      <c r="B70" s="465"/>
      <c r="C70" s="492">
        <v>1</v>
      </c>
      <c r="D70" s="492"/>
      <c r="E70" s="1016"/>
      <c r="F70" s="855"/>
      <c r="G70" s="695">
        <f>+G69</f>
        <v>185000</v>
      </c>
      <c r="H70" s="696">
        <f t="shared" ref="H70:O70" si="18">SUM(H69)</f>
        <v>0</v>
      </c>
      <c r="I70" s="695">
        <f t="shared" si="18"/>
        <v>185000</v>
      </c>
      <c r="J70" s="695">
        <f t="shared" si="18"/>
        <v>5309.5</v>
      </c>
      <c r="K70" s="695">
        <f t="shared" si="18"/>
        <v>32099.49</v>
      </c>
      <c r="L70" s="695">
        <f t="shared" si="18"/>
        <v>5624</v>
      </c>
      <c r="M70" s="1099">
        <f>SUM(M69)</f>
        <v>4557.26</v>
      </c>
      <c r="N70" s="695">
        <f t="shared" si="18"/>
        <v>47590.250000000007</v>
      </c>
      <c r="O70" s="695">
        <f t="shared" si="18"/>
        <v>137409.75</v>
      </c>
    </row>
    <row r="71" spans="1:15" x14ac:dyDescent="0.25">
      <c r="A71" s="490"/>
      <c r="B71" s="491"/>
      <c r="C71" s="492"/>
      <c r="D71" s="492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x14ac:dyDescent="0.25">
      <c r="A72" s="469" t="s">
        <v>1198</v>
      </c>
      <c r="B72" s="491"/>
      <c r="C72" s="625"/>
      <c r="D72" s="281"/>
      <c r="E72" s="856"/>
      <c r="F72" s="857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x14ac:dyDescent="0.25">
      <c r="A73" s="573" t="s">
        <v>946</v>
      </c>
      <c r="B73" s="602" t="s">
        <v>806</v>
      </c>
      <c r="C73" s="625" t="s">
        <v>945</v>
      </c>
      <c r="D73" s="281" t="s">
        <v>1063</v>
      </c>
      <c r="E73" s="855">
        <v>45413</v>
      </c>
      <c r="F73" s="855">
        <v>45597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x14ac:dyDescent="0.25">
      <c r="A74" s="573" t="s">
        <v>1397</v>
      </c>
      <c r="B74" s="602" t="s">
        <v>806</v>
      </c>
      <c r="C74" s="625" t="s">
        <v>157</v>
      </c>
      <c r="D74" s="281" t="s">
        <v>1063</v>
      </c>
      <c r="E74" s="855">
        <v>45444</v>
      </c>
      <c r="F74" s="855">
        <v>45627</v>
      </c>
      <c r="G74" s="626">
        <v>60000</v>
      </c>
      <c r="H74" s="487">
        <v>0</v>
      </c>
      <c r="I74" s="498">
        <v>60000</v>
      </c>
      <c r="J74" s="498">
        <v>1722</v>
      </c>
      <c r="K74" s="498">
        <v>3486.68</v>
      </c>
      <c r="L74" s="626">
        <v>1824</v>
      </c>
      <c r="M74" s="1100">
        <v>25</v>
      </c>
      <c r="N74" s="457">
        <f>+J74+K74+L74+M74</f>
        <v>7057.68</v>
      </c>
      <c r="O74" s="457">
        <f>+I74-N74</f>
        <v>52942.32</v>
      </c>
    </row>
    <row r="75" spans="1:15" x14ac:dyDescent="0.25">
      <c r="A75" s="466" t="s">
        <v>813</v>
      </c>
      <c r="B75" s="465"/>
      <c r="C75" s="492">
        <v>2</v>
      </c>
      <c r="D75" s="492"/>
      <c r="E75" s="1016"/>
      <c r="F75" s="860"/>
      <c r="G75" s="695">
        <f>SUM(G73:G74)</f>
        <v>120000</v>
      </c>
      <c r="H75" s="696">
        <f t="shared" ref="H75" si="19">SUM(H74)</f>
        <v>0</v>
      </c>
      <c r="I75" s="695">
        <f t="shared" ref="I75:O75" si="20">SUM(I73:I74)</f>
        <v>120000</v>
      </c>
      <c r="J75" s="695">
        <f t="shared" si="20"/>
        <v>3444</v>
      </c>
      <c r="K75" s="695">
        <f t="shared" si="20"/>
        <v>6973.36</v>
      </c>
      <c r="L75" s="695">
        <f t="shared" si="20"/>
        <v>3648</v>
      </c>
      <c r="M75" s="1099">
        <f>SUM(M73:M74)</f>
        <v>50</v>
      </c>
      <c r="N75" s="695">
        <f t="shared" si="20"/>
        <v>14115.36</v>
      </c>
      <c r="O75" s="695">
        <f t="shared" si="20"/>
        <v>105884.64</v>
      </c>
    </row>
    <row r="76" spans="1:15" x14ac:dyDescent="0.25">
      <c r="A76" s="490"/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x14ac:dyDescent="0.25">
      <c r="A77" s="490" t="s">
        <v>1421</v>
      </c>
      <c r="B77" s="491"/>
      <c r="C77" s="492"/>
      <c r="D77" s="492"/>
      <c r="E77" s="859"/>
      <c r="F77" s="860"/>
      <c r="G77" s="695"/>
      <c r="H77" s="495"/>
      <c r="I77" s="494"/>
      <c r="J77" s="494"/>
      <c r="K77" s="494"/>
      <c r="L77" s="695"/>
      <c r="M77" s="1099"/>
      <c r="N77" s="494"/>
      <c r="O77" s="494"/>
    </row>
    <row r="78" spans="1:15" x14ac:dyDescent="0.25">
      <c r="A78" s="286" t="s">
        <v>715</v>
      </c>
      <c r="B78" s="281" t="s">
        <v>807</v>
      </c>
      <c r="C78" s="282" t="s">
        <v>1422</v>
      </c>
      <c r="D78" s="281" t="s">
        <v>1063</v>
      </c>
      <c r="E78" s="859">
        <v>45505</v>
      </c>
      <c r="F78" s="860">
        <v>45323</v>
      </c>
      <c r="G78" s="626">
        <v>100000</v>
      </c>
      <c r="H78" s="487">
        <v>0</v>
      </c>
      <c r="I78" s="498">
        <v>100000</v>
      </c>
      <c r="J78" s="498">
        <v>2870</v>
      </c>
      <c r="K78" s="498">
        <v>11676.5</v>
      </c>
      <c r="L78" s="626">
        <v>3040</v>
      </c>
      <c r="M78" s="1100">
        <v>5026.04</v>
      </c>
      <c r="N78" s="457">
        <v>22612.54</v>
      </c>
      <c r="O78" s="498">
        <v>77387.460000000006</v>
      </c>
    </row>
    <row r="79" spans="1:15" x14ac:dyDescent="0.25">
      <c r="A79" s="466" t="s">
        <v>813</v>
      </c>
      <c r="B79" s="281"/>
      <c r="C79" s="492">
        <v>1</v>
      </c>
      <c r="D79" s="281"/>
      <c r="E79" s="859"/>
      <c r="F79" s="860"/>
      <c r="G79" s="695">
        <v>100000</v>
      </c>
      <c r="H79" s="495">
        <v>0</v>
      </c>
      <c r="I79" s="494">
        <v>100000</v>
      </c>
      <c r="J79" s="494">
        <v>2870</v>
      </c>
      <c r="K79" s="494">
        <v>11676.5</v>
      </c>
      <c r="L79" s="695">
        <v>3040</v>
      </c>
      <c r="M79" s="1099">
        <v>5026.04</v>
      </c>
      <c r="N79" s="463">
        <v>22612.54</v>
      </c>
      <c r="O79" s="494">
        <v>77387.460000000006</v>
      </c>
    </row>
    <row r="80" spans="1:15" x14ac:dyDescent="0.25">
      <c r="A80" s="286"/>
      <c r="B80" s="281"/>
      <c r="C80" s="28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x14ac:dyDescent="0.25">
      <c r="A81" s="490" t="s">
        <v>1398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695"/>
      <c r="M81" s="1099"/>
      <c r="N81" s="494"/>
      <c r="O81" s="494"/>
    </row>
    <row r="82" spans="1:15" x14ac:dyDescent="0.25">
      <c r="A82" s="496" t="s">
        <v>1399</v>
      </c>
      <c r="B82" s="497" t="s">
        <v>807</v>
      </c>
      <c r="C82" s="282" t="s">
        <v>1400</v>
      </c>
      <c r="D82" s="282" t="s">
        <v>1281</v>
      </c>
      <c r="E82" s="855">
        <v>45444</v>
      </c>
      <c r="F82" s="855">
        <v>45627</v>
      </c>
      <c r="G82" s="626">
        <v>120000</v>
      </c>
      <c r="H82" s="487">
        <v>0</v>
      </c>
      <c r="I82" s="498">
        <v>120000</v>
      </c>
      <c r="J82" s="498">
        <v>3444</v>
      </c>
      <c r="K82" s="498">
        <v>16809.87</v>
      </c>
      <c r="L82" s="626">
        <v>3648</v>
      </c>
      <c r="M82" s="1100">
        <v>4169.3999999999996</v>
      </c>
      <c r="N82" s="457">
        <v>28071.27</v>
      </c>
      <c r="O82" s="457">
        <f>+I82-N82</f>
        <v>91928.73</v>
      </c>
    </row>
    <row r="83" spans="1:15" x14ac:dyDescent="0.25">
      <c r="A83" s="466" t="s">
        <v>813</v>
      </c>
      <c r="B83" s="491"/>
      <c r="C83" s="492">
        <v>1</v>
      </c>
      <c r="D83" s="492"/>
      <c r="E83" s="859"/>
      <c r="F83" s="860"/>
      <c r="G83" s="695">
        <f>SUM(G82)</f>
        <v>120000</v>
      </c>
      <c r="H83" s="696">
        <f t="shared" ref="H83:N83" si="21">SUM(H82)</f>
        <v>0</v>
      </c>
      <c r="I83" s="695">
        <f t="shared" si="21"/>
        <v>120000</v>
      </c>
      <c r="J83" s="695">
        <f t="shared" si="21"/>
        <v>3444</v>
      </c>
      <c r="K83" s="695">
        <f t="shared" si="21"/>
        <v>16809.87</v>
      </c>
      <c r="L83" s="695">
        <f t="shared" si="21"/>
        <v>3648</v>
      </c>
      <c r="M83" s="1099">
        <f>SUM(M82)</f>
        <v>4169.3999999999996</v>
      </c>
      <c r="N83" s="695">
        <f t="shared" si="21"/>
        <v>28071.27</v>
      </c>
      <c r="O83" s="695">
        <f>SUM(O82)</f>
        <v>91928.73</v>
      </c>
    </row>
    <row r="84" spans="1:15" ht="28.5" customHeight="1" x14ac:dyDescent="0.25">
      <c r="A84" s="1014" t="s">
        <v>978</v>
      </c>
      <c r="B84" s="1015"/>
      <c r="C84" s="492"/>
      <c r="D84" s="465"/>
      <c r="E84" s="1016"/>
      <c r="F84" s="860"/>
      <c r="G84" s="695"/>
      <c r="H84" s="696"/>
      <c r="I84" s="697"/>
      <c r="J84" s="697"/>
      <c r="K84" s="697"/>
      <c r="L84" s="698"/>
      <c r="M84" s="676"/>
      <c r="N84" s="697"/>
      <c r="O84" s="697"/>
    </row>
    <row r="85" spans="1:15" ht="16.5" customHeight="1" x14ac:dyDescent="0.25">
      <c r="A85" s="1017" t="s">
        <v>1045</v>
      </c>
      <c r="B85" s="1018" t="s">
        <v>806</v>
      </c>
      <c r="C85" s="282" t="s">
        <v>78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ref="N85:N90" si="22">+J85+K85+L85+M85</f>
        <v>9530.48</v>
      </c>
      <c r="O85" s="468">
        <f t="shared" ref="O85:O90" si="23">+I85-N85</f>
        <v>60469.520000000004</v>
      </c>
    </row>
    <row r="86" spans="1:15" ht="16.5" customHeight="1" x14ac:dyDescent="0.25">
      <c r="A86" s="286" t="s">
        <v>611</v>
      </c>
      <c r="B86" s="281" t="s">
        <v>807</v>
      </c>
      <c r="C86" s="282" t="s">
        <v>918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22"/>
        <v>9530.48</v>
      </c>
      <c r="O86" s="468">
        <f t="shared" si="23"/>
        <v>60469.520000000004</v>
      </c>
    </row>
    <row r="87" spans="1:15" ht="16.5" customHeight="1" x14ac:dyDescent="0.25">
      <c r="A87" s="286" t="s">
        <v>610</v>
      </c>
      <c r="B87" s="281" t="s">
        <v>806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675">
        <v>25</v>
      </c>
      <c r="N87" s="468">
        <f t="shared" si="22"/>
        <v>9530.48</v>
      </c>
      <c r="O87" s="468">
        <f t="shared" si="23"/>
        <v>60469.520000000004</v>
      </c>
    </row>
    <row r="88" spans="1:15" ht="16.5" customHeight="1" x14ac:dyDescent="0.25">
      <c r="A88" s="286" t="s">
        <v>1292</v>
      </c>
      <c r="B88" s="281" t="s">
        <v>806</v>
      </c>
      <c r="C88" s="282" t="s">
        <v>918</v>
      </c>
      <c r="D88" s="281" t="s">
        <v>1063</v>
      </c>
      <c r="E88" s="855">
        <v>45200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22"/>
        <v>8294.08</v>
      </c>
      <c r="O88" s="468">
        <f t="shared" si="23"/>
        <v>56705.919999999998</v>
      </c>
    </row>
    <row r="89" spans="1:15" ht="16.5" customHeight="1" x14ac:dyDescent="0.25">
      <c r="A89" s="286" t="s">
        <v>1295</v>
      </c>
      <c r="B89" s="281" t="s">
        <v>1296</v>
      </c>
      <c r="C89" s="282" t="s">
        <v>918</v>
      </c>
      <c r="D89" s="281" t="s">
        <v>1063</v>
      </c>
      <c r="E89" s="855">
        <v>45200</v>
      </c>
      <c r="F89" s="855">
        <v>45717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675">
        <v>25</v>
      </c>
      <c r="N89" s="468">
        <f t="shared" si="22"/>
        <v>8294.08</v>
      </c>
      <c r="O89" s="468">
        <f t="shared" si="23"/>
        <v>56705.919999999998</v>
      </c>
    </row>
    <row r="90" spans="1:15" ht="16.5" customHeight="1" x14ac:dyDescent="0.25">
      <c r="A90" s="286" t="s">
        <v>1293</v>
      </c>
      <c r="B90" s="281" t="s">
        <v>807</v>
      </c>
      <c r="C90" s="282" t="s">
        <v>1294</v>
      </c>
      <c r="D90" s="281" t="s">
        <v>1063</v>
      </c>
      <c r="E90" s="855">
        <v>45200</v>
      </c>
      <c r="F90" s="855">
        <v>45717</v>
      </c>
      <c r="G90" s="626">
        <v>55000</v>
      </c>
      <c r="H90" s="627">
        <v>0</v>
      </c>
      <c r="I90" s="468">
        <v>55000</v>
      </c>
      <c r="J90" s="468">
        <v>1578.5</v>
      </c>
      <c r="K90" s="468">
        <v>2559.6799999999998</v>
      </c>
      <c r="L90" s="628">
        <v>1672</v>
      </c>
      <c r="M90" s="675">
        <v>25</v>
      </c>
      <c r="N90" s="468">
        <f t="shared" si="22"/>
        <v>5835.18</v>
      </c>
      <c r="O90" s="468">
        <f t="shared" si="23"/>
        <v>49164.82</v>
      </c>
    </row>
    <row r="91" spans="1:15" x14ac:dyDescent="0.25">
      <c r="A91" s="466" t="s">
        <v>813</v>
      </c>
      <c r="B91" s="465"/>
      <c r="C91" s="492">
        <v>6</v>
      </c>
      <c r="D91" s="465"/>
      <c r="E91" s="1016"/>
      <c r="F91" s="860"/>
      <c r="G91" s="695">
        <f>SUM(G85:G90)</f>
        <v>395000</v>
      </c>
      <c r="H91" s="696">
        <f t="shared" ref="H91" si="24">SUM(H90)</f>
        <v>0</v>
      </c>
      <c r="I91" s="695">
        <f t="shared" ref="I91:N91" si="25">SUM(I85:I90)</f>
        <v>395000</v>
      </c>
      <c r="J91" s="695">
        <f t="shared" si="25"/>
        <v>11336.5</v>
      </c>
      <c r="K91" s="695">
        <f t="shared" si="25"/>
        <v>27520.28</v>
      </c>
      <c r="L91" s="695">
        <f t="shared" si="25"/>
        <v>12008</v>
      </c>
      <c r="M91" s="1099">
        <f>SUM(M85:M90)</f>
        <v>150</v>
      </c>
      <c r="N91" s="695">
        <f t="shared" si="25"/>
        <v>51014.78</v>
      </c>
      <c r="O91" s="695">
        <f>SUM(O85:O90)</f>
        <v>343985.22</v>
      </c>
    </row>
    <row r="92" spans="1:15" x14ac:dyDescent="0.25">
      <c r="A92" s="490"/>
      <c r="B92" s="491"/>
      <c r="C92" s="492"/>
      <c r="D92" s="465"/>
      <c r="E92" s="856"/>
      <c r="F92" s="857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33" customHeight="1" x14ac:dyDescent="0.25">
      <c r="A93" s="1014" t="s">
        <v>825</v>
      </c>
      <c r="B93" s="1015"/>
      <c r="C93" s="492"/>
      <c r="D93" s="465"/>
      <c r="E93" s="1019"/>
      <c r="F93" s="857"/>
      <c r="G93" s="695"/>
      <c r="H93" s="696"/>
      <c r="I93" s="697"/>
      <c r="J93" s="697"/>
      <c r="K93" s="697"/>
      <c r="L93" s="698"/>
      <c r="M93" s="676"/>
      <c r="N93" s="697"/>
      <c r="O93" s="697"/>
    </row>
    <row r="94" spans="1:15" ht="18.75" customHeight="1" x14ac:dyDescent="0.25">
      <c r="A94" s="496" t="s">
        <v>608</v>
      </c>
      <c r="B94" s="497" t="s">
        <v>806</v>
      </c>
      <c r="C94" s="282" t="s">
        <v>117</v>
      </c>
      <c r="D94" s="281" t="s">
        <v>1063</v>
      </c>
      <c r="E94" s="855">
        <v>45413</v>
      </c>
      <c r="F94" s="855">
        <v>45597</v>
      </c>
      <c r="G94" s="626">
        <v>70000</v>
      </c>
      <c r="H94" s="487">
        <v>0</v>
      </c>
      <c r="I94" s="457">
        <v>70000</v>
      </c>
      <c r="J94" s="457">
        <v>2009</v>
      </c>
      <c r="K94" s="457">
        <v>5368.48</v>
      </c>
      <c r="L94" s="628">
        <v>2128</v>
      </c>
      <c r="M94" s="675">
        <v>525</v>
      </c>
      <c r="N94" s="457">
        <f>+J94+K94+L94+M94</f>
        <v>10030.48</v>
      </c>
      <c r="O94" s="457">
        <f>+I94-N94</f>
        <v>59969.520000000004</v>
      </c>
    </row>
    <row r="95" spans="1:15" x14ac:dyDescent="0.25">
      <c r="A95" s="466" t="s">
        <v>813</v>
      </c>
      <c r="B95" s="465"/>
      <c r="C95" s="492">
        <v>1</v>
      </c>
      <c r="D95" s="465"/>
      <c r="E95" s="1016"/>
      <c r="F95" s="860"/>
      <c r="G95" s="695">
        <f>SUM(G94)</f>
        <v>70000</v>
      </c>
      <c r="H95" s="696">
        <f t="shared" ref="H95:O95" si="26">SUM(H94)</f>
        <v>0</v>
      </c>
      <c r="I95" s="695">
        <f t="shared" si="26"/>
        <v>70000</v>
      </c>
      <c r="J95" s="695">
        <f t="shared" si="26"/>
        <v>2009</v>
      </c>
      <c r="K95" s="695">
        <f t="shared" si="26"/>
        <v>5368.48</v>
      </c>
      <c r="L95" s="695">
        <f t="shared" si="26"/>
        <v>2128</v>
      </c>
      <c r="M95" s="1099">
        <f>SUM(M94)</f>
        <v>525</v>
      </c>
      <c r="N95" s="695">
        <f>SUM(N94)</f>
        <v>10030.48</v>
      </c>
      <c r="O95" s="695">
        <f t="shared" si="26"/>
        <v>59969.520000000004</v>
      </c>
    </row>
    <row r="96" spans="1:15" x14ac:dyDescent="0.25">
      <c r="A96" s="490"/>
      <c r="B96" s="491"/>
      <c r="C96" s="492"/>
      <c r="D96" s="465"/>
      <c r="E96" s="859"/>
      <c r="F96" s="860"/>
      <c r="G96" s="695"/>
      <c r="H96" s="495"/>
      <c r="I96" s="494"/>
      <c r="J96" s="494"/>
      <c r="K96" s="494"/>
      <c r="L96" s="695"/>
      <c r="M96" s="1099"/>
      <c r="N96" s="494"/>
      <c r="O96" s="494"/>
    </row>
    <row r="97" spans="1:19" x14ac:dyDescent="0.25">
      <c r="A97" s="490"/>
      <c r="B97" s="491"/>
      <c r="C97" s="492"/>
      <c r="D97" s="465"/>
      <c r="E97" s="856"/>
      <c r="F97" s="857"/>
      <c r="G97" s="695"/>
      <c r="H97" s="495"/>
      <c r="I97" s="463"/>
      <c r="J97" s="463"/>
      <c r="K97" s="463"/>
      <c r="L97" s="698"/>
      <c r="M97" s="676"/>
      <c r="N97" s="463"/>
      <c r="O97" s="463"/>
    </row>
    <row r="98" spans="1:19" x14ac:dyDescent="0.25">
      <c r="A98" s="490" t="s">
        <v>827</v>
      </c>
      <c r="B98" s="491"/>
      <c r="C98" s="492"/>
      <c r="D98" s="465"/>
      <c r="E98" s="710"/>
      <c r="F98" s="711"/>
      <c r="G98" s="695"/>
      <c r="H98" s="495"/>
      <c r="I98" s="463"/>
      <c r="J98" s="463"/>
      <c r="K98" s="463"/>
      <c r="L98" s="698"/>
      <c r="M98" s="676"/>
      <c r="N98" s="463"/>
      <c r="O98" s="463"/>
    </row>
    <row r="99" spans="1:19" ht="15" customHeight="1" x14ac:dyDescent="0.25">
      <c r="A99" s="286" t="s">
        <v>1042</v>
      </c>
      <c r="B99" s="281" t="s">
        <v>806</v>
      </c>
      <c r="C99" s="282" t="s">
        <v>1423</v>
      </c>
      <c r="D99" s="281" t="s">
        <v>1063</v>
      </c>
      <c r="E99" s="855">
        <v>45413</v>
      </c>
      <c r="F99" s="855">
        <v>45597</v>
      </c>
      <c r="G99" s="626">
        <v>120000</v>
      </c>
      <c r="H99" s="627">
        <v>0</v>
      </c>
      <c r="I99" s="468">
        <v>120000</v>
      </c>
      <c r="J99" s="468">
        <v>3444</v>
      </c>
      <c r="K99" s="468">
        <v>16809.87</v>
      </c>
      <c r="L99" s="468">
        <v>3648</v>
      </c>
      <c r="M99" s="675">
        <v>25</v>
      </c>
      <c r="N99" s="468">
        <f t="shared" ref="N99" si="27">+J99+K99+L99+M99</f>
        <v>23926.87</v>
      </c>
      <c r="O99" s="468">
        <f t="shared" ref="O99" si="28">+I99-N99</f>
        <v>96073.13</v>
      </c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675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675">
        <v>25</v>
      </c>
      <c r="N101" s="457">
        <f t="shared" ref="N101:N120" si="29">+J101+K101+L101+M101</f>
        <v>9530.48</v>
      </c>
      <c r="O101" s="468">
        <f t="shared" ref="O101:O111" si="30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9"/>
        <v>9530.48</v>
      </c>
      <c r="O102" s="468">
        <f t="shared" si="30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675">
        <v>1740.46</v>
      </c>
      <c r="N103" s="457">
        <f t="shared" si="29"/>
        <v>10902.84</v>
      </c>
      <c r="O103" s="468">
        <f t="shared" si="30"/>
        <v>59097.16</v>
      </c>
    </row>
    <row r="104" spans="1:19" ht="15" customHeight="1" x14ac:dyDescent="0.25">
      <c r="A104" s="286" t="s">
        <v>1043</v>
      </c>
      <c r="B104" s="281" t="s">
        <v>806</v>
      </c>
      <c r="C104" s="282" t="s">
        <v>1044</v>
      </c>
      <c r="D104" s="281" t="s">
        <v>1063</v>
      </c>
      <c r="E104" s="855">
        <v>45413</v>
      </c>
      <c r="F104" s="855">
        <v>45597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4682.29</v>
      </c>
      <c r="L104" s="468">
        <v>2128</v>
      </c>
      <c r="M104" s="675">
        <v>3455.92</v>
      </c>
      <c r="N104" s="457">
        <f t="shared" si="29"/>
        <v>12275.210000000001</v>
      </c>
      <c r="O104" s="468">
        <f t="shared" si="30"/>
        <v>57724.79</v>
      </c>
    </row>
    <row r="105" spans="1:19" ht="15" customHeight="1" x14ac:dyDescent="0.25">
      <c r="A105" s="286" t="s">
        <v>961</v>
      </c>
      <c r="B105" s="680" t="s">
        <v>807</v>
      </c>
      <c r="C105" s="282" t="s">
        <v>515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861">
        <v>5025.38</v>
      </c>
      <c r="L105" s="468">
        <v>2128</v>
      </c>
      <c r="M105" s="675">
        <v>1740.46</v>
      </c>
      <c r="N105" s="457">
        <f t="shared" si="29"/>
        <v>10902.84</v>
      </c>
      <c r="O105" s="468">
        <f t="shared" si="30"/>
        <v>59097.16</v>
      </c>
      <c r="P105" s="862"/>
      <c r="Q105" s="862"/>
      <c r="R105" s="862"/>
      <c r="S105" s="862"/>
    </row>
    <row r="106" spans="1:19" ht="15" customHeight="1" x14ac:dyDescent="0.25">
      <c r="A106" s="286" t="s">
        <v>1087</v>
      </c>
      <c r="B106" s="680" t="s">
        <v>807</v>
      </c>
      <c r="C106" s="282" t="s">
        <v>78</v>
      </c>
      <c r="D106" s="281" t="s">
        <v>1063</v>
      </c>
      <c r="E106" s="855">
        <v>45505</v>
      </c>
      <c r="F106" s="855">
        <v>45689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9"/>
        <v>9530.48</v>
      </c>
      <c r="O106" s="468">
        <f t="shared" si="30"/>
        <v>60469.520000000004</v>
      </c>
      <c r="P106" s="862"/>
      <c r="Q106" s="862"/>
      <c r="R106" s="862"/>
      <c r="S106" s="862"/>
    </row>
    <row r="107" spans="1:19" ht="15.75" customHeight="1" x14ac:dyDescent="0.25">
      <c r="A107" s="286" t="s">
        <v>920</v>
      </c>
      <c r="B107" s="281" t="s">
        <v>807</v>
      </c>
      <c r="C107" s="282" t="s">
        <v>78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628">
        <v>2128</v>
      </c>
      <c r="M107" s="675">
        <v>25</v>
      </c>
      <c r="N107" s="457">
        <f t="shared" si="29"/>
        <v>9530.48</v>
      </c>
      <c r="O107" s="468">
        <f t="shared" si="30"/>
        <v>60469.520000000004</v>
      </c>
    </row>
    <row r="108" spans="1:19" ht="15" customHeight="1" x14ac:dyDescent="0.25">
      <c r="A108" s="286" t="s">
        <v>725</v>
      </c>
      <c r="B108" s="281" t="s">
        <v>806</v>
      </c>
      <c r="C108" s="282" t="s">
        <v>117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9"/>
        <v>9530.48</v>
      </c>
      <c r="O108" s="468">
        <f t="shared" si="30"/>
        <v>60469.520000000004</v>
      </c>
    </row>
    <row r="109" spans="1:19" ht="15" customHeight="1" x14ac:dyDescent="0.25">
      <c r="A109" s="286" t="s">
        <v>919</v>
      </c>
      <c r="B109" s="281" t="s">
        <v>807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675">
        <v>25</v>
      </c>
      <c r="N109" s="457">
        <f t="shared" si="29"/>
        <v>9530.48</v>
      </c>
      <c r="O109" s="468">
        <f t="shared" si="30"/>
        <v>60469.520000000004</v>
      </c>
    </row>
    <row r="110" spans="1:19" ht="13.5" customHeight="1" x14ac:dyDescent="0.25">
      <c r="A110" s="286" t="s">
        <v>574</v>
      </c>
      <c r="B110" s="281" t="s">
        <v>806</v>
      </c>
      <c r="C110" s="282" t="s">
        <v>918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675">
        <v>25</v>
      </c>
      <c r="N110" s="457">
        <f t="shared" si="29"/>
        <v>9530.48</v>
      </c>
      <c r="O110" s="468">
        <f t="shared" si="30"/>
        <v>60469.520000000004</v>
      </c>
    </row>
    <row r="111" spans="1:19" ht="15" customHeight="1" x14ac:dyDescent="0.25">
      <c r="A111" s="286" t="s">
        <v>1298</v>
      </c>
      <c r="B111" s="281" t="s">
        <v>807</v>
      </c>
      <c r="C111" s="282" t="s">
        <v>918</v>
      </c>
      <c r="D111" s="281" t="s">
        <v>1063</v>
      </c>
      <c r="E111" s="855">
        <v>45200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9"/>
        <v>8294.08</v>
      </c>
      <c r="O111" s="468">
        <f t="shared" si="30"/>
        <v>56705.919999999998</v>
      </c>
    </row>
    <row r="112" spans="1:19" ht="15" customHeight="1" x14ac:dyDescent="0.25">
      <c r="A112" s="286" t="s">
        <v>1304</v>
      </c>
      <c r="B112" s="281" t="s">
        <v>806</v>
      </c>
      <c r="C112" s="282" t="s">
        <v>417</v>
      </c>
      <c r="D112" s="281" t="s">
        <v>1063</v>
      </c>
      <c r="E112" s="855">
        <v>45200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9"/>
        <v>8294.08</v>
      </c>
      <c r="O112" s="468">
        <f>+I112-N112</f>
        <v>56705.919999999998</v>
      </c>
    </row>
    <row r="113" spans="1:15" ht="15" customHeight="1" x14ac:dyDescent="0.25">
      <c r="A113" s="286" t="s">
        <v>1305</v>
      </c>
      <c r="B113" s="281" t="s">
        <v>806</v>
      </c>
      <c r="C113" s="282" t="s">
        <v>417</v>
      </c>
      <c r="D113" s="281" t="s">
        <v>1063</v>
      </c>
      <c r="E113" s="855">
        <v>45200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9"/>
        <v>8294.08</v>
      </c>
      <c r="O113" s="468">
        <f t="shared" ref="O113:O129" si="31">+I113-N113</f>
        <v>56705.919999999998</v>
      </c>
    </row>
    <row r="114" spans="1:15" ht="15" customHeight="1" x14ac:dyDescent="0.25">
      <c r="A114" s="286" t="s">
        <v>1306</v>
      </c>
      <c r="B114" s="281" t="s">
        <v>1296</v>
      </c>
      <c r="C114" s="282" t="s">
        <v>417</v>
      </c>
      <c r="D114" s="281" t="s">
        <v>1063</v>
      </c>
      <c r="E114" s="855">
        <v>45200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9"/>
        <v>8294.08</v>
      </c>
      <c r="O114" s="468">
        <f t="shared" si="31"/>
        <v>56705.919999999998</v>
      </c>
    </row>
    <row r="115" spans="1:15" ht="15" customHeight="1" x14ac:dyDescent="0.25">
      <c r="A115" s="286" t="s">
        <v>1307</v>
      </c>
      <c r="B115" s="281" t="s">
        <v>807</v>
      </c>
      <c r="C115" s="282" t="s">
        <v>417</v>
      </c>
      <c r="D115" s="281" t="s">
        <v>1063</v>
      </c>
      <c r="E115" s="855">
        <v>45200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9"/>
        <v>8294.08</v>
      </c>
      <c r="O115" s="468">
        <f t="shared" si="31"/>
        <v>56705.919999999998</v>
      </c>
    </row>
    <row r="116" spans="1:15" ht="15" customHeight="1" x14ac:dyDescent="0.25">
      <c r="A116" s="286" t="s">
        <v>1308</v>
      </c>
      <c r="B116" s="281" t="s">
        <v>806</v>
      </c>
      <c r="C116" s="282" t="s">
        <v>417</v>
      </c>
      <c r="D116" s="281" t="s">
        <v>1063</v>
      </c>
      <c r="E116" s="855">
        <v>45200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9"/>
        <v>8294.08</v>
      </c>
      <c r="O116" s="468">
        <f t="shared" si="31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45200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9"/>
        <v>8294.08</v>
      </c>
      <c r="O117" s="468">
        <f t="shared" si="31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45200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9"/>
        <v>8294.08</v>
      </c>
      <c r="O118" s="468">
        <f t="shared" si="31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45200</v>
      </c>
      <c r="F119" s="855">
        <v>45717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 t="shared" si="29"/>
        <v>8294.08</v>
      </c>
      <c r="O119" s="468">
        <f t="shared" si="31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45200</v>
      </c>
      <c r="F120" s="855">
        <v>45717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57">
        <f t="shared" si="29"/>
        <v>8294.08</v>
      </c>
      <c r="O120" s="468">
        <f t="shared" si="31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675">
        <v>25</v>
      </c>
      <c r="N121" s="457">
        <f>+J121+K121+L121+M121</f>
        <v>8294.08</v>
      </c>
      <c r="O121" s="468">
        <f>+I121-N121</f>
        <v>56705.919999999998</v>
      </c>
    </row>
    <row r="122" spans="1:15" x14ac:dyDescent="0.25">
      <c r="A122" s="286" t="s">
        <v>1401</v>
      </c>
      <c r="B122" s="281" t="s">
        <v>807</v>
      </c>
      <c r="C122" s="280" t="s">
        <v>417</v>
      </c>
      <c r="D122" s="281" t="s">
        <v>1063</v>
      </c>
      <c r="E122" s="855">
        <v>44348</v>
      </c>
      <c r="F122" s="855">
        <v>45627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 t="shared" ref="N122:N123" si="32">+J122+K122+L122+M122</f>
        <v>8294.08</v>
      </c>
      <c r="O122" s="468">
        <f t="shared" ref="O122:O123" si="33">+I122-N122</f>
        <v>56705.919999999998</v>
      </c>
    </row>
    <row r="123" spans="1:15" x14ac:dyDescent="0.25">
      <c r="A123" s="286" t="s">
        <v>1441</v>
      </c>
      <c r="B123" s="281" t="s">
        <v>806</v>
      </c>
      <c r="C123" s="280" t="s">
        <v>417</v>
      </c>
      <c r="D123" s="281" t="s">
        <v>1063</v>
      </c>
      <c r="E123" s="855">
        <v>45536</v>
      </c>
      <c r="F123" s="855">
        <v>45352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468">
        <v>2128</v>
      </c>
      <c r="M123" s="675">
        <v>25</v>
      </c>
      <c r="N123" s="468">
        <f t="shared" si="32"/>
        <v>9530.48</v>
      </c>
      <c r="O123" s="468">
        <f t="shared" si="33"/>
        <v>60469.520000000004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675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675">
        <v>25</v>
      </c>
      <c r="N125" s="468">
        <f t="shared" ref="N125" si="34">+J125+K125+L125+M125</f>
        <v>8294.08</v>
      </c>
      <c r="O125" s="468">
        <f t="shared" ref="O125" si="35">+I125-N125</f>
        <v>56705.919999999998</v>
      </c>
    </row>
    <row r="126" spans="1:15" ht="13.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103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675">
        <v>25</v>
      </c>
      <c r="N127" s="457">
        <f t="shared" ref="N127:N132" si="36">+J127+K127+L127+M127</f>
        <v>3832.83</v>
      </c>
      <c r="O127" s="468">
        <f t="shared" si="31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675">
        <v>1740.46</v>
      </c>
      <c r="N128" s="457">
        <f t="shared" si="36"/>
        <v>5290.97</v>
      </c>
      <c r="O128" s="468">
        <f t="shared" si="31"/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45200</v>
      </c>
      <c r="F129" s="855">
        <v>45748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6"/>
        <v>3532.4700000000003</v>
      </c>
      <c r="O129" s="468">
        <f t="shared" si="31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45200</v>
      </c>
      <c r="F130" s="855">
        <v>45748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675">
        <v>25</v>
      </c>
      <c r="N130" s="457">
        <f t="shared" si="36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45200</v>
      </c>
      <c r="F131" s="855">
        <v>45748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675">
        <v>25</v>
      </c>
      <c r="N131" s="457">
        <f t="shared" si="36"/>
        <v>3532.4700000000003</v>
      </c>
      <c r="O131" s="468">
        <f>+I131-N131</f>
        <v>39967.53</v>
      </c>
    </row>
    <row r="132" spans="1:16" ht="15" customHeight="1" x14ac:dyDescent="0.25">
      <c r="A132" s="286" t="s">
        <v>1442</v>
      </c>
      <c r="B132" s="281" t="s">
        <v>806</v>
      </c>
      <c r="C132" s="282" t="s">
        <v>105</v>
      </c>
      <c r="D132" s="281" t="s">
        <v>1063</v>
      </c>
      <c r="E132" s="855">
        <v>45536</v>
      </c>
      <c r="F132" s="855">
        <v>45323</v>
      </c>
      <c r="G132" s="626">
        <v>25000</v>
      </c>
      <c r="H132" s="627">
        <v>0</v>
      </c>
      <c r="I132" s="468">
        <v>25000</v>
      </c>
      <c r="J132" s="468">
        <v>717.5</v>
      </c>
      <c r="K132" s="627">
        <v>0</v>
      </c>
      <c r="L132" s="468">
        <v>760</v>
      </c>
      <c r="M132" s="675">
        <v>25</v>
      </c>
      <c r="N132" s="457">
        <f t="shared" si="36"/>
        <v>1502.5</v>
      </c>
      <c r="O132" s="468">
        <f>+I132-N132</f>
        <v>23497.5</v>
      </c>
    </row>
    <row r="133" spans="1:16" x14ac:dyDescent="0.25">
      <c r="A133" s="490" t="s">
        <v>813</v>
      </c>
      <c r="B133" s="491"/>
      <c r="C133" s="492">
        <v>34</v>
      </c>
      <c r="D133" s="570"/>
      <c r="E133" s="570"/>
      <c r="F133" s="570"/>
      <c r="G133" s="695">
        <f>SUM(G99:G132)</f>
        <v>2240500</v>
      </c>
      <c r="H133" s="696">
        <v>0</v>
      </c>
      <c r="I133" s="695">
        <f t="shared" ref="I133:O133" si="37">SUM(I99:I132)</f>
        <v>2240500</v>
      </c>
      <c r="J133" s="695">
        <f t="shared" si="37"/>
        <v>64302.349999999991</v>
      </c>
      <c r="K133" s="695">
        <f t="shared" si="37"/>
        <v>164337.44999999995</v>
      </c>
      <c r="L133" s="695">
        <f t="shared" si="37"/>
        <v>68111.199999999997</v>
      </c>
      <c r="M133" s="1099">
        <f t="shared" si="37"/>
        <v>11142.759999999998</v>
      </c>
      <c r="N133" s="695">
        <f t="shared" si="37"/>
        <v>307893.75999999972</v>
      </c>
      <c r="O133" s="695">
        <f t="shared" si="37"/>
        <v>1932606.2399999998</v>
      </c>
    </row>
    <row r="134" spans="1:16" x14ac:dyDescent="0.25">
      <c r="A134" s="490"/>
      <c r="B134" s="491"/>
      <c r="C134" s="492"/>
      <c r="D134" s="281"/>
      <c r="E134" s="281"/>
      <c r="F134" s="281"/>
      <c r="G134" s="695"/>
      <c r="H134" s="495"/>
      <c r="I134" s="494"/>
      <c r="J134" s="494"/>
      <c r="K134" s="494"/>
      <c r="L134" s="695"/>
      <c r="M134" s="1099"/>
      <c r="N134" s="494"/>
      <c r="O134" s="494"/>
    </row>
    <row r="135" spans="1:16" ht="23.25" customHeight="1" x14ac:dyDescent="0.25">
      <c r="A135" s="1052" t="s">
        <v>865</v>
      </c>
      <c r="B135" s="1053"/>
      <c r="C135" s="1054">
        <f>+C16+C20+C25+C30+C35+C39+C44+C49+C59+C66+C70+C75+C83+C91+C95+C133+C79</f>
        <v>71</v>
      </c>
      <c r="D135" s="1054"/>
      <c r="E135" s="1054"/>
      <c r="F135" s="1054"/>
      <c r="G135" s="1055">
        <f>+G16+G20+G25+G30+G35+G39+G44+G49+G59+G66+G70+G75+G79+G83+G91+G95+G133</f>
        <v>5675500</v>
      </c>
      <c r="H135" s="1056">
        <v>0</v>
      </c>
      <c r="I135" s="1055">
        <f t="shared" ref="I135:O135" si="38">+I16+I20+I25+I30+I35+I39+I44+I49+I59+I66+I70+I75+I79+I83+I91+I95+I133</f>
        <v>5675500</v>
      </c>
      <c r="J135" s="1055">
        <f t="shared" si="38"/>
        <v>162886.84999999998</v>
      </c>
      <c r="K135" s="1055">
        <f t="shared" si="38"/>
        <v>564542.71999999997</v>
      </c>
      <c r="L135" s="1055">
        <f t="shared" si="38"/>
        <v>172535.2</v>
      </c>
      <c r="M135" s="1055">
        <f t="shared" si="38"/>
        <v>55841.84</v>
      </c>
      <c r="N135" s="1055">
        <f t="shared" si="38"/>
        <v>955806.60999999987</v>
      </c>
      <c r="O135" s="1055">
        <f t="shared" si="38"/>
        <v>4719693.3899999997</v>
      </c>
    </row>
    <row r="136" spans="1:16" x14ac:dyDescent="0.25">
      <c r="A136" s="259"/>
      <c r="B136" s="259"/>
      <c r="C136" s="259"/>
      <c r="D136" s="546"/>
      <c r="E136" s="546"/>
      <c r="F136" s="546"/>
      <c r="G136" s="862"/>
      <c r="H136" s="259"/>
      <c r="I136" s="259"/>
      <c r="J136" s="660"/>
      <c r="K136" s="660"/>
      <c r="M136" s="660"/>
      <c r="N136" s="660"/>
      <c r="O136" s="259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537"/>
      <c r="E150" s="537"/>
      <c r="F150" s="537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42" t="s">
        <v>1449</v>
      </c>
      <c r="B151" s="542"/>
      <c r="C151" s="542"/>
      <c r="D151" s="691"/>
      <c r="E151" s="691"/>
      <c r="F151" s="691"/>
      <c r="G151" s="866"/>
      <c r="H151" s="674" t="s">
        <v>1377</v>
      </c>
      <c r="J151" s="674"/>
      <c r="K151" s="674"/>
      <c r="L151" s="1097"/>
      <c r="M151" s="674"/>
      <c r="O151" s="674"/>
      <c r="P151" s="544"/>
    </row>
    <row r="152" spans="1:16" ht="25.5" customHeight="1" x14ac:dyDescent="0.25">
      <c r="A152" s="546" t="s">
        <v>935</v>
      </c>
      <c r="B152" s="546"/>
      <c r="C152" s="546"/>
      <c r="D152" s="538"/>
      <c r="E152" s="538"/>
      <c r="F152" s="538"/>
      <c r="G152" s="467"/>
      <c r="H152" s="537"/>
      <c r="I152" s="1708" t="s">
        <v>1375</v>
      </c>
      <c r="J152" s="1708"/>
      <c r="K152" s="1708"/>
      <c r="L152" s="1708"/>
      <c r="M152" s="1708"/>
      <c r="N152" s="1708"/>
      <c r="O152" s="1708"/>
      <c r="P152" s="539"/>
    </row>
    <row r="153" spans="1:16" x14ac:dyDescent="0.25">
      <c r="A153" s="542" t="s">
        <v>1231</v>
      </c>
      <c r="B153" s="542"/>
      <c r="C153" s="542"/>
      <c r="D153" s="537"/>
      <c r="F153" s="1062"/>
      <c r="G153" s="1062"/>
      <c r="H153" s="1062"/>
      <c r="I153" s="1692" t="s">
        <v>1224</v>
      </c>
      <c r="J153" s="1692"/>
      <c r="K153" s="1692"/>
      <c r="L153" s="1692"/>
      <c r="M153" s="1692"/>
      <c r="N153" s="1692"/>
      <c r="O153" s="1692"/>
      <c r="P153" s="537"/>
    </row>
    <row r="154" spans="1:16" x14ac:dyDescent="0.25">
      <c r="A154" s="546"/>
      <c r="B154" s="546"/>
      <c r="C154" s="546"/>
      <c r="D154" s="547"/>
      <c r="E154" s="547"/>
      <c r="F154" s="547"/>
      <c r="G154" s="546"/>
      <c r="H154" s="541"/>
      <c r="I154" s="540"/>
      <c r="J154" s="537"/>
      <c r="K154" s="673" t="s">
        <v>1374</v>
      </c>
      <c r="L154" s="513"/>
      <c r="M154" s="673"/>
      <c r="N154" s="673"/>
      <c r="O154" s="673"/>
      <c r="P154" s="673"/>
    </row>
    <row r="155" spans="1:16" ht="15.75" x14ac:dyDescent="0.25">
      <c r="A155" s="267"/>
      <c r="B155" s="267"/>
      <c r="C155" s="267"/>
      <c r="D155" s="268"/>
      <c r="E155" s="268"/>
      <c r="F155" s="268"/>
      <c r="G155" s="268"/>
      <c r="H155" s="269"/>
      <c r="I155" s="268"/>
      <c r="J155" s="268"/>
      <c r="K155" s="268"/>
      <c r="L155" s="268"/>
      <c r="M155" s="268"/>
      <c r="N155" s="271"/>
      <c r="O155" s="271"/>
      <c r="P155" s="259"/>
    </row>
    <row r="156" spans="1:16" s="259" customFormat="1" ht="14.25" customHeight="1" x14ac:dyDescent="0.25">
      <c r="D156" s="668"/>
      <c r="E156" s="668"/>
      <c r="F156" s="668"/>
    </row>
    <row r="157" spans="1:16" x14ac:dyDescent="0.25">
      <c r="K157" s="259"/>
      <c r="L157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2:O152"/>
    <mergeCell ref="I153:O153"/>
    <mergeCell ref="L11:L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0" max="14" man="1"/>
  </rowBreaks>
  <colBreaks count="1" manualBreakCount="1">
    <brk id="15" max="159" man="1"/>
  </colBreaks>
  <drawing r:id="rId2"/>
</worksheet>
</file>

<file path=xl/worksheets/sheet2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CEAD4-CF70-4166-B495-B3B868BE185C}">
  <sheetPr>
    <pageSetUpPr fitToPage="1"/>
  </sheetPr>
  <dimension ref="B1:O66"/>
  <sheetViews>
    <sheetView zoomScaleNormal="100" workbookViewId="0">
      <selection activeCell="B10" sqref="B10:O10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51" t="s">
        <v>0</v>
      </c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  <c r="O7" s="1551"/>
    </row>
    <row r="8" spans="2:15" x14ac:dyDescent="0.25">
      <c r="B8" s="1551" t="s">
        <v>1</v>
      </c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  <c r="O8" s="1551"/>
    </row>
    <row r="9" spans="2:15" x14ac:dyDescent="0.25">
      <c r="B9" s="1551" t="s">
        <v>3</v>
      </c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  <c r="O9" s="1551"/>
    </row>
    <row r="10" spans="2:15" x14ac:dyDescent="0.25">
      <c r="B10" s="1551" t="s">
        <v>1453</v>
      </c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  <c r="O10" s="1551"/>
    </row>
    <row r="11" spans="2:15" x14ac:dyDescent="0.25">
      <c r="B11" s="1552" t="s">
        <v>5</v>
      </c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  <c r="O11" s="1552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714" t="s">
        <v>7</v>
      </c>
      <c r="C13" s="1713" t="s">
        <v>937</v>
      </c>
      <c r="D13" s="1713" t="s">
        <v>8</v>
      </c>
      <c r="E13" s="1713" t="s">
        <v>10</v>
      </c>
      <c r="F13" s="1713" t="s">
        <v>11</v>
      </c>
      <c r="G13" s="1047" t="s">
        <v>12</v>
      </c>
      <c r="H13" s="1713" t="s">
        <v>13</v>
      </c>
      <c r="I13" s="1713" t="s">
        <v>14</v>
      </c>
      <c r="J13" s="1713" t="s">
        <v>15</v>
      </c>
      <c r="K13" s="1713" t="s">
        <v>16</v>
      </c>
      <c r="L13" s="1713" t="s">
        <v>17</v>
      </c>
      <c r="M13" s="1713" t="s">
        <v>18</v>
      </c>
      <c r="N13" s="1713" t="s">
        <v>19</v>
      </c>
      <c r="O13" s="1713" t="s">
        <v>20</v>
      </c>
    </row>
    <row r="14" spans="2:15" x14ac:dyDescent="0.25">
      <c r="B14" s="1715"/>
      <c r="C14" s="1713"/>
      <c r="D14" s="1713"/>
      <c r="E14" s="1713"/>
      <c r="F14" s="1713"/>
      <c r="G14" s="1047" t="s">
        <v>21</v>
      </c>
      <c r="H14" s="1713"/>
      <c r="I14" s="1713"/>
      <c r="J14" s="1713"/>
      <c r="K14" s="1713"/>
      <c r="L14" s="1713"/>
      <c r="M14" s="1713"/>
      <c r="N14" s="1713"/>
      <c r="O14" s="1713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1447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1448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90" t="s">
        <v>1269</v>
      </c>
      <c r="C50" s="1690"/>
      <c r="D50" s="1690"/>
      <c r="E50" s="753"/>
      <c r="F50" s="753"/>
      <c r="G50" s="754"/>
      <c r="H50" s="755"/>
      <c r="J50" s="1691" t="s">
        <v>852</v>
      </c>
      <c r="K50" s="1691"/>
      <c r="L50" s="1691"/>
      <c r="M50" s="1691"/>
      <c r="N50" s="1691"/>
      <c r="O50" s="1691"/>
    </row>
    <row r="51" spans="2:15" s="259" customFormat="1" ht="19.5" customHeight="1" x14ac:dyDescent="0.25">
      <c r="B51" s="1628" t="s">
        <v>1270</v>
      </c>
      <c r="C51" s="1628"/>
      <c r="D51" s="1628"/>
      <c r="E51" s="753"/>
      <c r="F51" s="753"/>
      <c r="G51" s="754"/>
      <c r="H51" s="755"/>
      <c r="J51" s="1692" t="s">
        <v>1224</v>
      </c>
      <c r="K51" s="1692"/>
      <c r="L51" s="1692"/>
      <c r="M51" s="1692"/>
      <c r="N51" s="1692"/>
      <c r="O51" s="1692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629"/>
      <c r="K63" s="1629"/>
      <c r="L63" s="1629"/>
      <c r="M63" s="1629"/>
      <c r="N63" s="1629"/>
      <c r="O63" s="1629"/>
    </row>
    <row r="64" spans="2:15" ht="15.75" x14ac:dyDescent="0.25">
      <c r="B64" s="267"/>
      <c r="C64" s="267"/>
      <c r="D64" s="267"/>
      <c r="E64" s="268"/>
      <c r="F64" s="268"/>
      <c r="G64" s="269"/>
      <c r="H64" s="1549"/>
      <c r="I64" s="1549"/>
      <c r="J64" s="1549"/>
      <c r="K64" s="1549"/>
      <c r="L64" s="1549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6A0D7-4960-425E-BFAC-978D8AD7426D}">
  <sheetPr>
    <pageSetUpPr fitToPage="1"/>
  </sheetPr>
  <dimension ref="B5:M82"/>
  <sheetViews>
    <sheetView showGridLines="0" zoomScale="118" zoomScaleNormal="118" zoomScaleSheetLayoutView="100" workbookViewId="0">
      <selection activeCell="B8" sqref="B8:M8"/>
    </sheetView>
  </sheetViews>
  <sheetFormatPr baseColWidth="10" defaultRowHeight="15" x14ac:dyDescent="0.25"/>
  <cols>
    <col min="1" max="1" width="4.7109375" customWidth="1"/>
    <col min="2" max="2" width="57.42578125" customWidth="1"/>
    <col min="3" max="3" width="10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693" t="s">
        <v>0</v>
      </c>
      <c r="C5" s="1693"/>
      <c r="D5" s="1693"/>
      <c r="E5" s="1693"/>
      <c r="F5" s="1693"/>
      <c r="G5" s="1693"/>
      <c r="H5" s="1693"/>
      <c r="I5" s="1693"/>
      <c r="J5" s="1693"/>
      <c r="K5" s="1693"/>
      <c r="L5" s="1693"/>
      <c r="M5" s="1693"/>
    </row>
    <row r="6" spans="2:13" x14ac:dyDescent="0.25">
      <c r="B6" s="1693" t="s">
        <v>1</v>
      </c>
      <c r="C6" s="1693"/>
      <c r="D6" s="1693"/>
      <c r="E6" s="1693"/>
      <c r="F6" s="1693"/>
      <c r="G6" s="1693"/>
      <c r="H6" s="1693"/>
      <c r="I6" s="1693"/>
      <c r="J6" s="1693"/>
      <c r="K6" s="1693"/>
      <c r="L6" s="1693"/>
      <c r="M6" s="1693"/>
    </row>
    <row r="7" spans="2:13" x14ac:dyDescent="0.25">
      <c r="B7" s="1693" t="s">
        <v>3</v>
      </c>
      <c r="C7" s="1693"/>
      <c r="D7" s="1693"/>
      <c r="E7" s="1693"/>
      <c r="F7" s="1693"/>
      <c r="G7" s="1693"/>
      <c r="H7" s="1693"/>
      <c r="I7" s="1693"/>
      <c r="J7" s="1693"/>
      <c r="K7" s="1693"/>
      <c r="L7" s="1693"/>
      <c r="M7" s="1693"/>
    </row>
    <row r="8" spans="2:13" x14ac:dyDescent="0.25">
      <c r="B8" s="1693" t="s">
        <v>1454</v>
      </c>
      <c r="C8" s="1693"/>
      <c r="D8" s="1693"/>
      <c r="E8" s="1693"/>
      <c r="F8" s="1693"/>
      <c r="G8" s="1693"/>
      <c r="H8" s="1693"/>
      <c r="I8" s="1693"/>
      <c r="J8" s="1693"/>
      <c r="K8" s="1693"/>
      <c r="L8" s="1693"/>
      <c r="M8" s="1693"/>
    </row>
    <row r="9" spans="2:13" x14ac:dyDescent="0.25">
      <c r="B9" s="1694" t="s">
        <v>886</v>
      </c>
      <c r="C9" s="1694"/>
      <c r="D9" s="1694"/>
      <c r="E9" s="1694"/>
      <c r="F9" s="1694"/>
      <c r="G9" s="1694"/>
      <c r="H9" s="1694"/>
      <c r="I9" s="1694"/>
      <c r="J9" s="1694"/>
      <c r="K9" s="1694"/>
      <c r="L9" s="1694"/>
      <c r="M9" s="1694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717" t="s">
        <v>7</v>
      </c>
      <c r="C11" s="1717" t="s">
        <v>802</v>
      </c>
      <c r="D11" s="1718" t="s">
        <v>9</v>
      </c>
      <c r="E11" s="1046" t="s">
        <v>12</v>
      </c>
      <c r="F11" s="1719" t="s">
        <v>13</v>
      </c>
      <c r="G11" s="1716" t="s">
        <v>14</v>
      </c>
      <c r="H11" s="1716" t="s">
        <v>15</v>
      </c>
      <c r="I11" s="1716" t="s">
        <v>16</v>
      </c>
      <c r="J11" s="1716" t="s">
        <v>17</v>
      </c>
      <c r="K11" s="1716" t="s">
        <v>18</v>
      </c>
      <c r="L11" s="1716" t="s">
        <v>19</v>
      </c>
      <c r="M11" s="1716" t="s">
        <v>20</v>
      </c>
    </row>
    <row r="12" spans="2:13" ht="16.5" customHeight="1" x14ac:dyDescent="0.25">
      <c r="B12" s="1717"/>
      <c r="C12" s="1717"/>
      <c r="D12" s="1718"/>
      <c r="E12" s="1046" t="s">
        <v>21</v>
      </c>
      <c r="F12" s="1719"/>
      <c r="G12" s="1716"/>
      <c r="H12" s="1716"/>
      <c r="I12" s="1716"/>
      <c r="J12" s="1716"/>
      <c r="K12" s="1716"/>
      <c r="L12" s="1716"/>
      <c r="M12" s="1716"/>
    </row>
    <row r="13" spans="2:13" ht="15.75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5.75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5.75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5.75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5.75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5.75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5.75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5.75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5.75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5.75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5.75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5.75" customHeight="1" x14ac:dyDescent="0.25">
      <c r="B25" s="897" t="s">
        <v>1132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5.75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5.75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5.75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5.75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5.75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5.75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5.75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5.75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5.75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5.75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5.75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5.75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5.75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5.75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5.75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5.75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5.75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5.75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5.75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5.75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5.75" customHeight="1" x14ac:dyDescent="0.25">
      <c r="B46" s="897" t="s">
        <v>1413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5.75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5.75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5.75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5.75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5.75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5.75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5.75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5.75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22.5" customHeight="1" x14ac:dyDescent="0.25">
      <c r="B55" s="1061" t="s">
        <v>865</v>
      </c>
      <c r="C55" s="1041"/>
      <c r="D55" s="1042">
        <f>+D52+D48+D44+D39+D35+D27+D23+D19+D15+D31</f>
        <v>11</v>
      </c>
      <c r="E55" s="1077">
        <f>+E15+E19+E23+E31+E35+E39+E44+E48+E52+E26</f>
        <v>218000</v>
      </c>
      <c r="F55" s="1045">
        <v>0</v>
      </c>
      <c r="G55" s="1077">
        <f t="shared" ref="G55:M55" si="13">+G15+G19+G23+G31+G35+G39+G44+G48+G52+G26</f>
        <v>218000</v>
      </c>
      <c r="H55" s="1077">
        <f t="shared" si="13"/>
        <v>6256.6</v>
      </c>
      <c r="I55" s="1077">
        <f t="shared" si="13"/>
        <v>40127.730000000003</v>
      </c>
      <c r="J55" s="1077">
        <f t="shared" si="13"/>
        <v>6627.2</v>
      </c>
      <c r="K55" s="1045">
        <v>0</v>
      </c>
      <c r="L55" s="1077">
        <f t="shared" si="13"/>
        <v>53011.53</v>
      </c>
      <c r="M55" s="1077">
        <f t="shared" si="13"/>
        <v>164988.47000000003</v>
      </c>
    </row>
    <row r="68" spans="2:13" ht="38.25" customHeight="1" x14ac:dyDescent="0.25">
      <c r="B68" s="916"/>
      <c r="C68" s="916"/>
      <c r="D68" s="917"/>
      <c r="E68" s="918"/>
      <c r="F68" s="919"/>
      <c r="G68" s="1696" t="s">
        <v>1372</v>
      </c>
      <c r="H68" s="1696"/>
      <c r="I68" s="1696"/>
      <c r="J68" s="1696"/>
      <c r="K68" s="1696"/>
      <c r="L68" s="1696"/>
    </row>
    <row r="69" spans="2:13" x14ac:dyDescent="0.25">
      <c r="B69" s="1083" t="s">
        <v>1238</v>
      </c>
      <c r="C69" s="1083"/>
      <c r="D69" s="921"/>
      <c r="E69" s="915"/>
      <c r="F69" s="915"/>
      <c r="G69" s="1702" t="s">
        <v>1222</v>
      </c>
      <c r="H69" s="1702"/>
      <c r="I69" s="1702"/>
      <c r="J69" s="1702"/>
      <c r="K69" s="1702"/>
      <c r="L69" s="1702"/>
    </row>
    <row r="70" spans="2:13" x14ac:dyDescent="0.25">
      <c r="B70" s="916" t="s">
        <v>1239</v>
      </c>
      <c r="C70" s="916"/>
      <c r="D70" s="915"/>
      <c r="E70" s="915"/>
      <c r="F70" s="923"/>
      <c r="G70" s="1701" t="s">
        <v>1224</v>
      </c>
      <c r="H70" s="1701"/>
      <c r="I70" s="1701"/>
      <c r="J70" s="1701"/>
      <c r="K70" s="1701"/>
      <c r="L70" s="1701"/>
    </row>
    <row r="80" spans="2:13" x14ac:dyDescent="0.25">
      <c r="E80" s="924"/>
      <c r="F80" s="923"/>
      <c r="G80" s="915"/>
      <c r="H80" s="1698"/>
      <c r="I80" s="1698"/>
      <c r="J80" s="1698"/>
      <c r="K80" s="1698"/>
      <c r="L80" s="1698"/>
      <c r="M80" s="1698"/>
    </row>
    <row r="81" spans="5:13" x14ac:dyDescent="0.25">
      <c r="E81" s="925"/>
      <c r="F81" s="1694"/>
      <c r="G81" s="1694"/>
      <c r="H81" s="1694"/>
      <c r="I81" s="1694"/>
      <c r="J81" s="1694"/>
      <c r="K81" s="926"/>
      <c r="L81" s="926"/>
      <c r="M81" s="886"/>
    </row>
    <row r="82" spans="5:13" x14ac:dyDescent="0.25">
      <c r="E82" s="927" t="s">
        <v>641</v>
      </c>
      <c r="F82" s="927"/>
      <c r="G82" s="927"/>
      <c r="H82" s="927"/>
      <c r="I82" s="927"/>
      <c r="J82" s="927"/>
      <c r="K82" s="927"/>
      <c r="L82" s="927"/>
      <c r="M82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8:L68"/>
    <mergeCell ref="G69:L69"/>
    <mergeCell ref="G70:L70"/>
    <mergeCell ref="H80:M80"/>
    <mergeCell ref="F81:J81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CD314-D15E-4736-B66B-DAC0F104A2F1}">
  <sheetPr>
    <pageSetUpPr fitToPage="1"/>
  </sheetPr>
  <dimension ref="B5:M43"/>
  <sheetViews>
    <sheetView showGridLines="0" topLeftCell="B1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556" t="s">
        <v>0</v>
      </c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</row>
    <row r="6" spans="2:13" x14ac:dyDescent="0.25">
      <c r="B6" s="1556" t="s">
        <v>1</v>
      </c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2:13" x14ac:dyDescent="0.25">
      <c r="B7" s="1556" t="s">
        <v>3</v>
      </c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2:13" x14ac:dyDescent="0.25">
      <c r="B8" s="1556" t="s">
        <v>1455</v>
      </c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2:13" x14ac:dyDescent="0.25">
      <c r="B9" s="1557" t="s">
        <v>1197</v>
      </c>
      <c r="C9" s="1557"/>
      <c r="D9" s="1557"/>
      <c r="E9" s="1557"/>
      <c r="F9" s="1557"/>
      <c r="G9" s="1557"/>
      <c r="H9" s="1557"/>
      <c r="I9" s="1557"/>
      <c r="J9" s="1557"/>
      <c r="K9" s="1557"/>
      <c r="L9" s="1557"/>
      <c r="M9" s="1557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712" t="s">
        <v>7</v>
      </c>
      <c r="C11" s="1709" t="s">
        <v>802</v>
      </c>
      <c r="D11" s="1709" t="s">
        <v>9</v>
      </c>
      <c r="E11" s="1067" t="s">
        <v>12</v>
      </c>
      <c r="F11" s="1721" t="s">
        <v>13</v>
      </c>
      <c r="G11" s="1720" t="s">
        <v>14</v>
      </c>
      <c r="H11" s="1720" t="s">
        <v>15</v>
      </c>
      <c r="I11" s="1720" t="s">
        <v>16</v>
      </c>
      <c r="J11" s="1720" t="s">
        <v>17</v>
      </c>
      <c r="K11" s="1720" t="s">
        <v>18</v>
      </c>
      <c r="L11" s="1720" t="s">
        <v>19</v>
      </c>
      <c r="M11" s="1720" t="s">
        <v>20</v>
      </c>
    </row>
    <row r="12" spans="2:13" ht="15" customHeight="1" x14ac:dyDescent="0.25">
      <c r="B12" s="1712"/>
      <c r="C12" s="1709"/>
      <c r="D12" s="1709"/>
      <c r="E12" s="1067" t="s">
        <v>21</v>
      </c>
      <c r="F12" s="1721"/>
      <c r="G12" s="1720"/>
      <c r="H12" s="1720"/>
      <c r="I12" s="1720"/>
      <c r="J12" s="1720"/>
      <c r="K12" s="1720"/>
      <c r="L12" s="1720"/>
      <c r="M12" s="1720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682" t="s">
        <v>1250</v>
      </c>
      <c r="H38" s="1682"/>
      <c r="I38" s="1682"/>
      <c r="J38" s="1682"/>
      <c r="K38" s="1682"/>
      <c r="L38" s="1682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627" t="s">
        <v>852</v>
      </c>
      <c r="H39" s="1627"/>
      <c r="I39" s="1627"/>
      <c r="J39" s="1627"/>
      <c r="K39" s="1627"/>
      <c r="L39" s="1627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628" t="s">
        <v>1257</v>
      </c>
      <c r="H40" s="1628"/>
      <c r="I40" s="1628"/>
      <c r="J40" s="1628"/>
      <c r="K40" s="1628"/>
      <c r="L40" s="1628"/>
      <c r="M40" s="537"/>
    </row>
    <row r="41" spans="2:13" x14ac:dyDescent="0.25">
      <c r="B41" s="546"/>
      <c r="C41" s="546"/>
      <c r="D41" s="547"/>
      <c r="E41" s="541"/>
      <c r="F41" s="540"/>
      <c r="G41" s="537"/>
      <c r="H41" s="1629"/>
      <c r="I41" s="1629"/>
      <c r="J41" s="1629"/>
      <c r="K41" s="1629"/>
      <c r="L41" s="1629"/>
      <c r="M41" s="1629"/>
    </row>
    <row r="42" spans="2:13" ht="15.75" x14ac:dyDescent="0.25">
      <c r="B42" s="267"/>
      <c r="C42" s="267"/>
      <c r="D42" s="268"/>
      <c r="E42" s="269"/>
      <c r="F42" s="1549"/>
      <c r="G42" s="1549"/>
      <c r="H42" s="1549"/>
      <c r="I42" s="1549"/>
      <c r="J42" s="1549"/>
      <c r="K42" s="271"/>
      <c r="L42" s="271"/>
      <c r="M42" s="259"/>
    </row>
    <row r="43" spans="2:13" x14ac:dyDescent="0.25">
      <c r="E43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1:M41"/>
    <mergeCell ref="F42:J42"/>
  </mergeCells>
  <pageMargins left="0.63" right="0.7" top="0.75" bottom="0.75" header="0.3" footer="0.3"/>
  <pageSetup paperSize="3" scale="87" orientation="landscape" r:id="rId1"/>
  <drawing r:id="rId2"/>
</worksheet>
</file>

<file path=xl/worksheets/sheet2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F91656-9843-4F56-8224-1DC98B832AB8}">
  <sheetPr>
    <pageSetUpPr fitToPage="1"/>
  </sheetPr>
  <dimension ref="B6:M36"/>
  <sheetViews>
    <sheetView showGridLines="0" zoomScale="118" zoomScaleNormal="118" workbookViewId="0">
      <selection activeCell="C25" sqref="C25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56" t="s">
        <v>0</v>
      </c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2:13" x14ac:dyDescent="0.25">
      <c r="B7" s="1556" t="s">
        <v>1</v>
      </c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2:13" x14ac:dyDescent="0.25">
      <c r="B8" s="1556" t="s">
        <v>3</v>
      </c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2:13" x14ac:dyDescent="0.25">
      <c r="B9" s="1556" t="s">
        <v>1456</v>
      </c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2:13" x14ac:dyDescent="0.25">
      <c r="B10" s="1557" t="s">
        <v>1197</v>
      </c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  <c r="M10" s="1557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712" t="s">
        <v>7</v>
      </c>
      <c r="C12" s="1709" t="s">
        <v>802</v>
      </c>
      <c r="D12" s="1709" t="s">
        <v>9</v>
      </c>
      <c r="E12" s="1067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2:13" ht="15" customHeight="1" x14ac:dyDescent="0.25">
      <c r="B13" s="1712"/>
      <c r="C13" s="1709"/>
      <c r="D13" s="1709"/>
      <c r="E13" s="1067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82" t="s">
        <v>1255</v>
      </c>
      <c r="H31" s="1682"/>
      <c r="I31" s="1682"/>
      <c r="J31" s="1682"/>
      <c r="K31" s="1682"/>
      <c r="L31" s="1682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627" t="s">
        <v>852</v>
      </c>
      <c r="H32" s="1627"/>
      <c r="I32" s="1627"/>
      <c r="J32" s="1627"/>
      <c r="K32" s="1627"/>
      <c r="L32" s="1627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628" t="s">
        <v>1257</v>
      </c>
      <c r="H33" s="1628"/>
      <c r="I33" s="1628"/>
      <c r="J33" s="1628"/>
      <c r="K33" s="1628"/>
      <c r="L33" s="1628"/>
      <c r="M33" s="537"/>
    </row>
    <row r="34" spans="2:13" x14ac:dyDescent="0.25">
      <c r="B34" s="546"/>
      <c r="C34" s="546"/>
      <c r="D34" s="547"/>
      <c r="E34" s="541"/>
      <c r="F34" s="540"/>
      <c r="G34" s="537"/>
      <c r="H34" s="1629"/>
      <c r="I34" s="1629"/>
      <c r="J34" s="1629"/>
      <c r="K34" s="1629"/>
      <c r="L34" s="1629"/>
      <c r="M34" s="1629"/>
    </row>
    <row r="35" spans="2:13" ht="15.75" x14ac:dyDescent="0.25">
      <c r="B35" s="267"/>
      <c r="C35" s="267"/>
      <c r="D35" s="268"/>
      <c r="E35" s="269"/>
      <c r="F35" s="1549"/>
      <c r="G35" s="1549"/>
      <c r="H35" s="1549"/>
      <c r="I35" s="1549"/>
      <c r="J35" s="1549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4047F9-86A8-4D3A-97CF-925426C709EA}">
  <dimension ref="B1:O43"/>
  <sheetViews>
    <sheetView topLeftCell="A7" zoomScaleNormal="100" workbookViewId="0">
      <selection activeCell="J24" sqref="I22:J24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259"/>
      <c r="C6" s="259"/>
      <c r="D6" s="259"/>
      <c r="E6" s="259"/>
      <c r="F6" s="259"/>
      <c r="G6" s="259"/>
      <c r="H6" s="259"/>
      <c r="I6" s="259"/>
      <c r="J6" s="259"/>
      <c r="K6" s="259"/>
      <c r="L6" s="259"/>
      <c r="M6" s="259"/>
      <c r="N6" s="259"/>
      <c r="O6" s="259"/>
    </row>
    <row r="7" spans="2:15" x14ac:dyDescent="0.25">
      <c r="B7" s="1551" t="s">
        <v>0</v>
      </c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  <c r="O7" s="259"/>
    </row>
    <row r="8" spans="2:15" x14ac:dyDescent="0.25">
      <c r="B8" s="1551" t="s">
        <v>1</v>
      </c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  <c r="O8" s="259"/>
    </row>
    <row r="9" spans="2:15" x14ac:dyDescent="0.25">
      <c r="B9" s="1551" t="s">
        <v>3</v>
      </c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  <c r="O9" s="259"/>
    </row>
    <row r="10" spans="2:15" x14ac:dyDescent="0.25">
      <c r="B10" s="1551" t="s">
        <v>1457</v>
      </c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  <c r="O10" s="259"/>
    </row>
    <row r="11" spans="2:15" x14ac:dyDescent="0.25">
      <c r="B11" s="1637" t="s">
        <v>412</v>
      </c>
      <c r="C11" s="1637"/>
      <c r="D11" s="1637"/>
      <c r="E11" s="1637"/>
      <c r="F11" s="1637"/>
      <c r="G11" s="1637"/>
      <c r="H11" s="1637"/>
      <c r="I11" s="1637"/>
      <c r="J11" s="1637"/>
      <c r="K11" s="1637"/>
      <c r="L11" s="1637"/>
      <c r="M11" s="1637"/>
      <c r="N11" s="1637"/>
      <c r="O11" s="259"/>
    </row>
    <row r="12" spans="2:15" x14ac:dyDescent="0.25"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  <c r="O12" s="259"/>
    </row>
    <row r="13" spans="2:15" x14ac:dyDescent="0.25">
      <c r="B13" s="1712" t="s">
        <v>7</v>
      </c>
      <c r="C13" s="1709" t="s">
        <v>937</v>
      </c>
      <c r="D13" s="1709" t="s">
        <v>9</v>
      </c>
      <c r="E13" s="1067" t="s">
        <v>832</v>
      </c>
      <c r="F13" s="1721" t="s">
        <v>12</v>
      </c>
      <c r="G13" s="1720" t="s">
        <v>13</v>
      </c>
      <c r="H13" s="1720" t="s">
        <v>14</v>
      </c>
      <c r="I13" s="1720" t="s">
        <v>15</v>
      </c>
      <c r="J13" s="1720" t="s">
        <v>16</v>
      </c>
      <c r="K13" s="1720" t="s">
        <v>17</v>
      </c>
      <c r="L13" s="1720" t="s">
        <v>18</v>
      </c>
      <c r="M13" s="1720" t="s">
        <v>19</v>
      </c>
      <c r="N13" s="1712" t="s">
        <v>20</v>
      </c>
    </row>
    <row r="14" spans="2:15" x14ac:dyDescent="0.25">
      <c r="B14" s="1712"/>
      <c r="C14" s="1709"/>
      <c r="D14" s="1709"/>
      <c r="E14" s="1067" t="s">
        <v>21</v>
      </c>
      <c r="F14" s="1721" t="s">
        <v>21</v>
      </c>
      <c r="G14" s="1720"/>
      <c r="H14" s="1720"/>
      <c r="I14" s="1720"/>
      <c r="J14" s="1720"/>
      <c r="K14" s="1720"/>
      <c r="L14" s="1720"/>
      <c r="M14" s="1720"/>
      <c r="N14" s="1712"/>
    </row>
    <row r="15" spans="2:15" x14ac:dyDescent="0.25">
      <c r="B15" s="461" t="s">
        <v>1443</v>
      </c>
      <c r="C15" s="523"/>
      <c r="D15" s="280"/>
      <c r="E15" s="280"/>
      <c r="F15" s="280"/>
      <c r="G15" s="280"/>
      <c r="H15" s="457"/>
      <c r="I15" s="487"/>
      <c r="J15" s="457"/>
      <c r="K15" s="457"/>
      <c r="L15" s="457"/>
      <c r="M15" s="457"/>
      <c r="N15" s="457"/>
    </row>
    <row r="16" spans="2:15" ht="18.75" customHeight="1" x14ac:dyDescent="0.25">
      <c r="B16" s="724" t="s">
        <v>1168</v>
      </c>
      <c r="C16" s="637" t="s">
        <v>807</v>
      </c>
      <c r="D16" s="286" t="s">
        <v>846</v>
      </c>
      <c r="E16" s="286" t="s">
        <v>848</v>
      </c>
      <c r="F16" s="457">
        <v>80000</v>
      </c>
      <c r="G16" s="456">
        <v>0</v>
      </c>
      <c r="H16" s="489">
        <v>80000</v>
      </c>
      <c r="I16" s="458">
        <v>2296</v>
      </c>
      <c r="J16" s="458">
        <v>7400.87</v>
      </c>
      <c r="K16" s="457">
        <v>2432</v>
      </c>
      <c r="L16" s="458">
        <v>2134</v>
      </c>
      <c r="M16" s="457">
        <v>14262.87</v>
      </c>
      <c r="N16" s="457">
        <v>65737.13</v>
      </c>
    </row>
    <row r="17" spans="2:15" x14ac:dyDescent="0.25">
      <c r="B17" s="461" t="s">
        <v>749</v>
      </c>
      <c r="C17" s="634"/>
      <c r="D17" s="635">
        <v>1</v>
      </c>
      <c r="E17" s="453"/>
      <c r="F17" s="525">
        <f t="shared" ref="F17:N19" si="0">SUM(F16)</f>
        <v>80000</v>
      </c>
      <c r="G17" s="526">
        <f t="shared" si="0"/>
        <v>0</v>
      </c>
      <c r="H17" s="525">
        <f t="shared" si="0"/>
        <v>80000</v>
      </c>
      <c r="I17" s="525">
        <f t="shared" si="0"/>
        <v>2296</v>
      </c>
      <c r="J17" s="525">
        <f t="shared" si="0"/>
        <v>7400.87</v>
      </c>
      <c r="K17" s="525">
        <f t="shared" si="0"/>
        <v>2432</v>
      </c>
      <c r="L17" s="525">
        <f t="shared" si="0"/>
        <v>2134</v>
      </c>
      <c r="M17" s="525">
        <f t="shared" si="0"/>
        <v>14262.87</v>
      </c>
      <c r="N17" s="525">
        <f t="shared" si="0"/>
        <v>65737.13</v>
      </c>
    </row>
    <row r="18" spans="2:15" x14ac:dyDescent="0.25">
      <c r="B18" s="524"/>
      <c r="C18" s="634"/>
      <c r="D18" s="636"/>
      <c r="E18" s="453"/>
      <c r="F18" s="453"/>
      <c r="G18" s="526"/>
      <c r="H18" s="494"/>
      <c r="I18" s="495"/>
      <c r="J18" s="494"/>
      <c r="K18" s="494"/>
      <c r="L18" s="494"/>
      <c r="M18" s="494"/>
      <c r="N18" s="494"/>
    </row>
    <row r="19" spans="2:15" ht="22.5" customHeight="1" x14ac:dyDescent="0.25">
      <c r="B19" s="1088" t="s">
        <v>865</v>
      </c>
      <c r="C19" s="1087"/>
      <c r="D19" s="1049">
        <v>1</v>
      </c>
      <c r="E19" s="1067"/>
      <c r="F19" s="1104">
        <v>80000</v>
      </c>
      <c r="G19" s="1105">
        <f t="shared" si="0"/>
        <v>0</v>
      </c>
      <c r="H19" s="1104">
        <v>80000</v>
      </c>
      <c r="I19" s="1106">
        <v>2296</v>
      </c>
      <c r="J19" s="1106">
        <v>7400.87</v>
      </c>
      <c r="K19" s="1106">
        <v>2432</v>
      </c>
      <c r="L19" s="1106">
        <v>2134</v>
      </c>
      <c r="M19" s="1106">
        <v>14262.87</v>
      </c>
      <c r="N19" s="1107">
        <v>65737.13</v>
      </c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542" t="s">
        <v>1258</v>
      </c>
      <c r="C34" s="542"/>
      <c r="D34" s="542"/>
      <c r="E34" s="543"/>
      <c r="F34" s="543"/>
      <c r="G34" s="544"/>
      <c r="H34" s="545"/>
      <c r="I34" s="1626" t="s">
        <v>1225</v>
      </c>
      <c r="J34" s="1626"/>
      <c r="K34" s="1626"/>
      <c r="L34" s="1626"/>
      <c r="M34" s="1626"/>
      <c r="N34" s="1626"/>
      <c r="O34" s="544"/>
    </row>
    <row r="35" spans="2:15" x14ac:dyDescent="0.25">
      <c r="B35" s="546" t="s">
        <v>1444</v>
      </c>
      <c r="C35" s="546"/>
      <c r="D35" s="546"/>
      <c r="E35" s="538"/>
      <c r="F35" s="537"/>
      <c r="G35" s="537"/>
      <c r="H35" s="537"/>
      <c r="I35" s="1627" t="s">
        <v>852</v>
      </c>
      <c r="J35" s="1627"/>
      <c r="K35" s="1627"/>
      <c r="L35" s="1627"/>
      <c r="M35" s="1627"/>
      <c r="N35" s="1627"/>
      <c r="O35" s="539"/>
    </row>
    <row r="36" spans="2:15" x14ac:dyDescent="0.25">
      <c r="B36" s="542" t="s">
        <v>1230</v>
      </c>
      <c r="C36" s="542"/>
      <c r="D36" s="542"/>
      <c r="E36" s="537"/>
      <c r="F36" s="537"/>
      <c r="G36" s="537"/>
      <c r="H36" s="540"/>
      <c r="I36" s="1628" t="s">
        <v>1445</v>
      </c>
      <c r="J36" s="1628"/>
      <c r="K36" s="1628"/>
      <c r="L36" s="1628"/>
      <c r="M36" s="1628"/>
      <c r="N36" s="1628"/>
      <c r="O36" s="537"/>
    </row>
    <row r="37" spans="2:15" x14ac:dyDescent="0.25">
      <c r="B37" s="546"/>
      <c r="C37" s="546"/>
      <c r="D37" s="546"/>
      <c r="E37" s="547"/>
      <c r="F37" s="546"/>
      <c r="G37" s="541"/>
      <c r="H37" s="540"/>
      <c r="I37" s="537"/>
      <c r="J37" s="1629"/>
      <c r="K37" s="1629"/>
      <c r="L37" s="1629"/>
      <c r="M37" s="1629"/>
      <c r="N37" s="1629"/>
      <c r="O37" s="1629"/>
    </row>
    <row r="38" spans="2:15" ht="15.75" x14ac:dyDescent="0.25">
      <c r="B38" s="267"/>
      <c r="C38" s="267"/>
      <c r="D38" s="267"/>
      <c r="E38" s="268"/>
      <c r="F38" s="268"/>
      <c r="G38" s="269"/>
      <c r="H38" s="1549"/>
      <c r="I38" s="1549"/>
      <c r="J38" s="1549"/>
      <c r="K38" s="1549"/>
      <c r="L38" s="1549"/>
      <c r="M38" s="271"/>
      <c r="N38" s="271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</sheetData>
  <mergeCells count="22">
    <mergeCell ref="B13:B14"/>
    <mergeCell ref="C13:C14"/>
    <mergeCell ref="D13:D14"/>
    <mergeCell ref="G13:G14"/>
    <mergeCell ref="B7:N7"/>
    <mergeCell ref="B8:N8"/>
    <mergeCell ref="B9:N9"/>
    <mergeCell ref="B10:N10"/>
    <mergeCell ref="B11:N11"/>
    <mergeCell ref="F13:F14"/>
    <mergeCell ref="J37:O37"/>
    <mergeCell ref="H38:L38"/>
    <mergeCell ref="H13:H14"/>
    <mergeCell ref="I13:I14"/>
    <mergeCell ref="J13:J14"/>
    <mergeCell ref="K13:K14"/>
    <mergeCell ref="L13:L14"/>
    <mergeCell ref="M13:M14"/>
    <mergeCell ref="N13:N14"/>
    <mergeCell ref="I34:N34"/>
    <mergeCell ref="I35:N35"/>
    <mergeCell ref="I36:N36"/>
  </mergeCells>
  <pageMargins left="1.299212598425197" right="0.70866141732283472" top="1.1417322834645669" bottom="0.74803149606299213" header="0.31496062992125984" footer="0.31496062992125984"/>
  <pageSetup scale="50" orientation="landscape" r:id="rId1"/>
  <drawing r:id="rId2"/>
</worksheet>
</file>

<file path=xl/worksheets/sheet2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14B5C-F974-4A68-BC8F-B715B820636D}">
  <dimension ref="A1:N265"/>
  <sheetViews>
    <sheetView showGridLines="0" topLeftCell="A8" zoomScale="62" zoomScaleNormal="62" workbookViewId="0">
      <selection activeCell="E225" sqref="E225"/>
    </sheetView>
  </sheetViews>
  <sheetFormatPr baseColWidth="10" defaultRowHeight="15" x14ac:dyDescent="0.25"/>
  <cols>
    <col min="1" max="1" width="81.140625" customWidth="1"/>
    <col min="2" max="2" width="14.7109375" customWidth="1"/>
    <col min="3" max="3" width="54.140625" customWidth="1"/>
    <col min="4" max="4" width="33.710937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867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867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867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867"/>
      <c r="M5" s="867"/>
    </row>
    <row r="6" spans="1:14" ht="15.75" x14ac:dyDescent="0.25">
      <c r="A6" s="1685" t="s">
        <v>0</v>
      </c>
      <c r="B6" s="1685"/>
      <c r="C6" s="1685"/>
      <c r="D6" s="1685"/>
      <c r="E6" s="1685"/>
      <c r="F6" s="1685"/>
      <c r="G6" s="1685"/>
      <c r="H6" s="1685"/>
      <c r="I6" s="1685"/>
      <c r="J6" s="1685"/>
      <c r="K6" s="1685"/>
      <c r="L6" s="1685"/>
      <c r="M6" s="1685"/>
    </row>
    <row r="7" spans="1:14" ht="15.75" x14ac:dyDescent="0.25">
      <c r="A7" s="1685"/>
      <c r="B7" s="1685"/>
      <c r="C7" s="1685"/>
      <c r="D7" s="1685"/>
      <c r="E7" s="1685"/>
      <c r="F7" s="1685"/>
      <c r="G7" s="1685"/>
      <c r="H7" s="1685"/>
      <c r="I7" s="1685"/>
      <c r="J7" s="1685"/>
      <c r="K7" s="1685"/>
      <c r="L7" s="1685"/>
      <c r="M7" s="1685"/>
      <c r="N7" s="1685"/>
    </row>
    <row r="8" spans="1:14" ht="15.75" x14ac:dyDescent="0.25">
      <c r="A8" s="1685" t="s">
        <v>1460</v>
      </c>
      <c r="B8" s="1685"/>
      <c r="C8" s="1685"/>
      <c r="D8" s="1685"/>
      <c r="E8" s="1685"/>
      <c r="F8" s="1685"/>
      <c r="G8" s="1685"/>
      <c r="H8" s="1685"/>
      <c r="I8" s="1685"/>
      <c r="J8" s="1685"/>
      <c r="K8" s="1685"/>
      <c r="L8" s="1685"/>
      <c r="M8" s="1685"/>
    </row>
    <row r="9" spans="1:14" ht="15.75" x14ac:dyDescent="0.25">
      <c r="A9" s="1685" t="s">
        <v>1451</v>
      </c>
      <c r="B9" s="1685"/>
      <c r="C9" s="1685"/>
      <c r="D9" s="1685"/>
      <c r="E9" s="1685"/>
      <c r="F9" s="1685"/>
      <c r="G9" s="1685"/>
      <c r="H9" s="1685"/>
      <c r="I9" s="1685"/>
      <c r="J9" s="1685"/>
      <c r="K9" s="1685"/>
      <c r="L9" s="1685"/>
      <c r="M9" s="1685"/>
    </row>
    <row r="10" spans="1:14" ht="15.75" x14ac:dyDescent="0.25">
      <c r="A10" s="1706" t="s">
        <v>404</v>
      </c>
      <c r="B10" s="1706"/>
      <c r="C10" s="1706"/>
      <c r="D10" s="1706"/>
      <c r="E10" s="1706"/>
      <c r="F10" s="1706"/>
      <c r="G10" s="1706"/>
      <c r="H10" s="1706"/>
      <c r="I10" s="1706"/>
      <c r="J10" s="1706"/>
      <c r="K10" s="1706"/>
      <c r="L10" s="1706"/>
      <c r="M10" s="170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851"/>
      <c r="M11" s="851"/>
    </row>
    <row r="12" spans="1:14" ht="15.75" x14ac:dyDescent="0.25">
      <c r="A12" s="1707" t="s">
        <v>7</v>
      </c>
      <c r="B12" s="1707" t="s">
        <v>802</v>
      </c>
      <c r="C12" s="1707" t="s">
        <v>9</v>
      </c>
      <c r="D12" s="1707" t="s">
        <v>11</v>
      </c>
      <c r="E12" s="1057" t="s">
        <v>12</v>
      </c>
      <c r="F12" s="1704" t="s">
        <v>13</v>
      </c>
      <c r="G12" s="1705" t="s">
        <v>14</v>
      </c>
      <c r="H12" s="1705" t="s">
        <v>15</v>
      </c>
      <c r="I12" s="1705" t="s">
        <v>16</v>
      </c>
      <c r="J12" s="1705" t="s">
        <v>17</v>
      </c>
      <c r="K12" s="1705" t="s">
        <v>18</v>
      </c>
      <c r="L12" s="1705" t="s">
        <v>19</v>
      </c>
      <c r="M12" s="1705" t="s">
        <v>20</v>
      </c>
    </row>
    <row r="13" spans="1:14" ht="15.75" x14ac:dyDescent="0.25">
      <c r="A13" s="1707"/>
      <c r="B13" s="1707"/>
      <c r="C13" s="1707"/>
      <c r="D13" s="1707"/>
      <c r="E13" s="1057" t="s">
        <v>21</v>
      </c>
      <c r="F13" s="1704"/>
      <c r="G13" s="1705"/>
      <c r="H13" s="1705"/>
      <c r="I13" s="1705"/>
      <c r="J13" s="1705"/>
      <c r="K13" s="1705"/>
      <c r="L13" s="1705"/>
      <c r="M13" s="1705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3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3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3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3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3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5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3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3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3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3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25</v>
      </c>
      <c r="L24" s="951">
        <f t="shared" ref="L24" si="1">+H24+I24+J24+K24</f>
        <v>2331.06</v>
      </c>
      <c r="M24" s="951">
        <f t="shared" ref="M24" si="2">+G24-L24</f>
        <v>35168.94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3">SUM(G22:G24)</f>
        <v>176000</v>
      </c>
      <c r="H25" s="963">
        <f>SUM(H22:H24)</f>
        <v>5051.2</v>
      </c>
      <c r="I25" s="963">
        <f t="shared" si="3"/>
        <v>11526.81</v>
      </c>
      <c r="J25" s="963">
        <f t="shared" si="3"/>
        <v>5350.4</v>
      </c>
      <c r="K25" s="963">
        <f t="shared" si="3"/>
        <v>6790.46</v>
      </c>
      <c r="L25" s="963">
        <f t="shared" si="3"/>
        <v>28718.870000000003</v>
      </c>
      <c r="M25" s="963">
        <f t="shared" si="3"/>
        <v>147281.13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5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3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3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4">SUM(E28:E28)</f>
        <v>43500</v>
      </c>
      <c r="F29" s="964">
        <f t="shared" si="4"/>
        <v>0</v>
      </c>
      <c r="G29" s="965">
        <f t="shared" si="4"/>
        <v>43500</v>
      </c>
      <c r="H29" s="965">
        <f t="shared" si="4"/>
        <v>1248.45</v>
      </c>
      <c r="I29" s="963">
        <f t="shared" si="4"/>
        <v>936.62</v>
      </c>
      <c r="J29" s="965">
        <f t="shared" si="4"/>
        <v>1322.4</v>
      </c>
      <c r="K29" s="963">
        <f t="shared" si="4"/>
        <v>1296.7</v>
      </c>
      <c r="L29" s="965">
        <f t="shared" si="4"/>
        <v>4804.17</v>
      </c>
      <c r="M29" s="965">
        <f t="shared" si="4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3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5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3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3">
        <f>+H33+I33+J33+K33</f>
        <v>4990.6100000000006</v>
      </c>
      <c r="M33" s="953">
        <f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3">
        <f>+H34+I34+J34+K34</f>
        <v>3632.4700000000003</v>
      </c>
      <c r="M34" s="953">
        <f>+G34-L34</f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3">
        <v>2331.06</v>
      </c>
      <c r="M35" s="953"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3">
        <f>+H36+I36+J36+K36</f>
        <v>3532.4700000000003</v>
      </c>
      <c r="M36" s="953">
        <f>+G36-L36</f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1">
        <f>+G37-L37</f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1">
        <f>+G38-L38</f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1">
        <f t="shared" ref="M39" si="6">+G39-L39</f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3">
        <f>+H40+I40+J40+K40</f>
        <v>3532.4700000000003</v>
      </c>
      <c r="M40" s="953">
        <f>+G40-L40</f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7">SUM(G32:G40)</f>
        <v>538500</v>
      </c>
      <c r="H41" s="963">
        <f t="shared" si="7"/>
        <v>15454.950000000003</v>
      </c>
      <c r="I41" s="963">
        <f t="shared" si="7"/>
        <v>38824.790000000008</v>
      </c>
      <c r="J41" s="963">
        <f t="shared" si="7"/>
        <v>16370.399999999998</v>
      </c>
      <c r="K41" s="963">
        <f t="shared" si="7"/>
        <v>7186.84</v>
      </c>
      <c r="L41" s="963">
        <f t="shared" si="7"/>
        <v>77836.98000000001</v>
      </c>
      <c r="M41" s="963">
        <f t="shared" si="7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5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5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3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8">SUM(H44)</f>
        <v>2152.5</v>
      </c>
      <c r="I45" s="963">
        <f t="shared" si="8"/>
        <v>6309.38</v>
      </c>
      <c r="J45" s="965">
        <f t="shared" si="8"/>
        <v>2280</v>
      </c>
      <c r="K45" s="963">
        <f t="shared" si="8"/>
        <v>25</v>
      </c>
      <c r="L45" s="965">
        <f t="shared" si="8"/>
        <v>10766.880000000001</v>
      </c>
      <c r="M45" s="965">
        <f t="shared" si="8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5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5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3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3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9">SUM(F48:F49)</f>
        <v>0</v>
      </c>
      <c r="G50" s="965">
        <f t="shared" si="9"/>
        <v>61500</v>
      </c>
      <c r="H50" s="965">
        <f t="shared" si="9"/>
        <v>1765.05</v>
      </c>
      <c r="I50" s="1071">
        <f t="shared" si="9"/>
        <v>0</v>
      </c>
      <c r="J50" s="965">
        <f t="shared" si="9"/>
        <v>1869.6</v>
      </c>
      <c r="K50" s="963">
        <f t="shared" si="9"/>
        <v>1765.46</v>
      </c>
      <c r="L50" s="965">
        <f t="shared" si="9"/>
        <v>5400.1100000000006</v>
      </c>
      <c r="M50" s="965">
        <f t="shared" si="9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5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5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3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10">SUM(E53:E53)</f>
        <v>35000</v>
      </c>
      <c r="F54" s="964">
        <f t="shared" si="10"/>
        <v>0</v>
      </c>
      <c r="G54" s="965">
        <f t="shared" si="10"/>
        <v>35000</v>
      </c>
      <c r="H54" s="965">
        <f t="shared" si="10"/>
        <v>1004.5</v>
      </c>
      <c r="I54" s="1071">
        <f t="shared" si="10"/>
        <v>0</v>
      </c>
      <c r="J54" s="965">
        <f t="shared" si="10"/>
        <v>1064</v>
      </c>
      <c r="K54" s="963">
        <f t="shared" si="10"/>
        <v>25</v>
      </c>
      <c r="L54" s="965">
        <f t="shared" si="10"/>
        <v>2093.5</v>
      </c>
      <c r="M54" s="965">
        <f t="shared" si="10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5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5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3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3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3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5">
        <f t="shared" si="11"/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5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5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3">
        <f t="shared" ref="L63:L73" si="12">+H63+I63+J63+K63</f>
        <v>3532.4700000000003</v>
      </c>
      <c r="M63" s="953">
        <f t="shared" ref="M63:M73" si="13"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3">
        <f t="shared" si="12"/>
        <v>1898</v>
      </c>
      <c r="M64" s="953">
        <f t="shared" si="13"/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3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3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3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3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3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3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3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3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3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 t="shared" si="15"/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3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5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936.32</v>
      </c>
      <c r="J77" s="953">
        <v>1322.4</v>
      </c>
      <c r="K77" s="951">
        <v>1025</v>
      </c>
      <c r="L77" s="953">
        <f t="shared" ref="L77:L87" si="16">+H77+I77+J77+K77</f>
        <v>4532.17</v>
      </c>
      <c r="M77" s="953">
        <f t="shared" ref="M77:M87" si="17">+G77-L77</f>
        <v>38967.83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3">
        <f t="shared" si="16"/>
        <v>1602.5</v>
      </c>
      <c r="M78" s="953">
        <f t="shared" si="17"/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3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1525</v>
      </c>
      <c r="L80" s="951">
        <f t="shared" si="16"/>
        <v>3002.5</v>
      </c>
      <c r="M80" s="951">
        <f t="shared" si="17"/>
        <v>21997.5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1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1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1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1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1">
        <f t="shared" si="17"/>
        <v>23497.5</v>
      </c>
    </row>
    <row r="86" spans="1:13" ht="18.75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2025</v>
      </c>
      <c r="L86" s="951">
        <f t="shared" si="16"/>
        <v>3502.5</v>
      </c>
      <c r="M86" s="951">
        <f t="shared" si="17"/>
        <v>21497.5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3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3">
        <f>+H88+I88+J88+K88</f>
        <v>1798</v>
      </c>
      <c r="M88" s="953">
        <f>+G88-L88</f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936.32</v>
      </c>
      <c r="J89" s="963">
        <f t="shared" si="18"/>
        <v>10032</v>
      </c>
      <c r="K89" s="963">
        <f>SUM(K77:K88)</f>
        <v>13714.91</v>
      </c>
      <c r="L89" s="963">
        <f>SUM(L77:L88)</f>
        <v>34154.229999999996</v>
      </c>
      <c r="M89" s="963">
        <f>SUM(M77:M88)</f>
        <v>295845.77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3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3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3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3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5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3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3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3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3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5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3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5"/>
      <c r="M101" s="965"/>
    </row>
    <row r="102" spans="1:13" ht="23.25" customHeight="1" x14ac:dyDescent="0.3">
      <c r="A102" s="955" t="s">
        <v>816</v>
      </c>
      <c r="B102" s="950" t="s">
        <v>807</v>
      </c>
      <c r="C102" s="980" t="s">
        <v>1219</v>
      </c>
      <c r="D102" s="960" t="s">
        <v>1066</v>
      </c>
      <c r="E102" s="951">
        <v>150000</v>
      </c>
      <c r="F102" s="952">
        <v>0</v>
      </c>
      <c r="G102" s="953">
        <v>150000</v>
      </c>
      <c r="H102" s="953">
        <v>4305</v>
      </c>
      <c r="I102" s="951">
        <v>23437.75</v>
      </c>
      <c r="J102" s="953">
        <v>4560</v>
      </c>
      <c r="K102" s="951">
        <v>3912.66</v>
      </c>
      <c r="L102" s="953">
        <f>+H102+I102+J102+K102</f>
        <v>36215.410000000003</v>
      </c>
      <c r="M102" s="953">
        <f>+G102-L102</f>
        <v>113784.59</v>
      </c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58" t="s">
        <v>124</v>
      </c>
      <c r="B104" s="950" t="s">
        <v>807</v>
      </c>
      <c r="C104" s="960" t="s">
        <v>276</v>
      </c>
      <c r="D104" s="960" t="s">
        <v>307</v>
      </c>
      <c r="E104" s="951">
        <v>43500</v>
      </c>
      <c r="F104" s="952">
        <v>0</v>
      </c>
      <c r="G104" s="953">
        <v>43500</v>
      </c>
      <c r="H104" s="953">
        <v>1248.45</v>
      </c>
      <c r="I104" s="974">
        <v>421.98</v>
      </c>
      <c r="J104" s="953">
        <v>1322.4</v>
      </c>
      <c r="K104" s="951">
        <v>3555.92</v>
      </c>
      <c r="L104" s="953">
        <f>+H104+I104+J104+K104</f>
        <v>6548.75</v>
      </c>
      <c r="M104" s="953">
        <v>36951.25</v>
      </c>
    </row>
    <row r="105" spans="1:13" ht="18.75" x14ac:dyDescent="0.3">
      <c r="A105" s="961" t="s">
        <v>749</v>
      </c>
      <c r="B105" s="950"/>
      <c r="C105" s="962">
        <v>3</v>
      </c>
      <c r="D105" s="962"/>
      <c r="E105" s="963">
        <f>SUM(E102:E104)</f>
        <v>263500</v>
      </c>
      <c r="F105" s="964">
        <f>SUM(F104:F104)</f>
        <v>0</v>
      </c>
      <c r="G105" s="963">
        <f t="shared" ref="G105:L105" si="21">SUM(G102:G104)</f>
        <v>263500</v>
      </c>
      <c r="H105" s="963">
        <f t="shared" si="21"/>
        <v>7562.45</v>
      </c>
      <c r="I105" s="963">
        <f>SUM(I102:I104)</f>
        <v>23859.73</v>
      </c>
      <c r="J105" s="963">
        <f t="shared" si="21"/>
        <v>8010.4</v>
      </c>
      <c r="K105" s="963">
        <f t="shared" si="21"/>
        <v>7493.58</v>
      </c>
      <c r="L105" s="963">
        <f t="shared" si="21"/>
        <v>46926.16</v>
      </c>
      <c r="M105" s="963">
        <f>SUM(M102:M104)</f>
        <v>216573.84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5"/>
      <c r="M106" s="965"/>
    </row>
    <row r="107" spans="1:13" ht="18.7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3"/>
      <c r="J107" s="965"/>
      <c r="K107" s="963"/>
      <c r="L107" s="965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v>3532.47</v>
      </c>
      <c r="M108" s="951">
        <v>39937.53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974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22">SUM(G108:G109)</f>
        <v>87000</v>
      </c>
      <c r="H110" s="963">
        <f t="shared" si="22"/>
        <v>2496.9</v>
      </c>
      <c r="I110" s="963">
        <f t="shared" si="22"/>
        <v>1873.24</v>
      </c>
      <c r="J110" s="963">
        <f t="shared" si="22"/>
        <v>2644.8</v>
      </c>
      <c r="K110" s="963">
        <f t="shared" si="22"/>
        <v>50</v>
      </c>
      <c r="L110" s="963">
        <f t="shared" si="22"/>
        <v>7064.9400000000005</v>
      </c>
      <c r="M110" s="963">
        <f>SUM(M108:M109)</f>
        <v>79905.06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3"/>
      <c r="J111" s="965"/>
      <c r="K111" s="963"/>
      <c r="L111" s="965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3"/>
      <c r="J112" s="965"/>
      <c r="K112" s="963"/>
      <c r="L112" s="965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1">
        <v>6972</v>
      </c>
      <c r="J113" s="953">
        <v>2432</v>
      </c>
      <c r="K113" s="951">
        <v>1740.46</v>
      </c>
      <c r="L113" s="953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M114" si="23">SUM(G113:G113)</f>
        <v>80000</v>
      </c>
      <c r="H114" s="965">
        <f t="shared" si="23"/>
        <v>2296</v>
      </c>
      <c r="I114" s="963">
        <f t="shared" si="23"/>
        <v>6972</v>
      </c>
      <c r="J114" s="965">
        <f t="shared" si="23"/>
        <v>2432</v>
      </c>
      <c r="K114" s="963">
        <f t="shared" si="23"/>
        <v>1740.46</v>
      </c>
      <c r="L114" s="965">
        <f t="shared" si="23"/>
        <v>13440.46</v>
      </c>
      <c r="M114" s="965">
        <f t="shared" si="23"/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5"/>
      <c r="M115" s="965"/>
    </row>
    <row r="116" spans="1:13" ht="15.7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3"/>
      <c r="J116" s="965"/>
      <c r="K116" s="963"/>
      <c r="L116" s="965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1">
        <v>32099.49</v>
      </c>
      <c r="J117" s="953">
        <v>5624</v>
      </c>
      <c r="K117" s="951">
        <v>25</v>
      </c>
      <c r="L117" s="953">
        <f>+H117+I117+J117+K117</f>
        <v>43057.990000000005</v>
      </c>
      <c r="M117" s="953">
        <f t="shared" ref="M117:M123" si="24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1">
        <v>6972</v>
      </c>
      <c r="J118" s="953">
        <v>2432</v>
      </c>
      <c r="K118" s="951">
        <v>5884.86</v>
      </c>
      <c r="L118" s="953">
        <f>+H118+I118+J118+K118</f>
        <v>17584.86</v>
      </c>
      <c r="M118" s="953">
        <f t="shared" si="24"/>
        <v>62415.14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23">
        <v>0</v>
      </c>
      <c r="G119" s="1007">
        <v>70000</v>
      </c>
      <c r="H119" s="1007">
        <v>2009</v>
      </c>
      <c r="I119" s="1122">
        <v>5368.48</v>
      </c>
      <c r="J119" s="1007">
        <v>2128</v>
      </c>
      <c r="K119" s="1122">
        <v>12115.42</v>
      </c>
      <c r="L119" s="1007">
        <v>21620.9</v>
      </c>
      <c r="M119" s="1007">
        <f>+G119-L119</f>
        <v>48379.1</v>
      </c>
    </row>
    <row r="120" spans="1:13" ht="18.75" x14ac:dyDescent="0.3">
      <c r="A120" s="958" t="s">
        <v>843</v>
      </c>
      <c r="B120" s="968" t="s">
        <v>806</v>
      </c>
      <c r="C120" s="960" t="s">
        <v>1199</v>
      </c>
      <c r="D120" s="960" t="s">
        <v>1069</v>
      </c>
      <c r="E120" s="951">
        <v>60000</v>
      </c>
      <c r="F120" s="952">
        <v>0</v>
      </c>
      <c r="G120" s="953">
        <v>60000</v>
      </c>
      <c r="H120" s="953">
        <v>1722</v>
      </c>
      <c r="I120" s="951">
        <v>3486.68</v>
      </c>
      <c r="J120" s="953">
        <v>1824</v>
      </c>
      <c r="K120" s="951">
        <v>25</v>
      </c>
      <c r="L120" s="953">
        <f>+H120+I120+J120+K120</f>
        <v>7057.68</v>
      </c>
      <c r="M120" s="953">
        <f t="shared" si="24"/>
        <v>52942.32</v>
      </c>
    </row>
    <row r="121" spans="1:13" ht="18.75" x14ac:dyDescent="0.3">
      <c r="A121" s="958" t="s">
        <v>484</v>
      </c>
      <c r="B121" s="950" t="s">
        <v>807</v>
      </c>
      <c r="C121" s="977" t="s">
        <v>166</v>
      </c>
      <c r="D121" s="960" t="s">
        <v>307</v>
      </c>
      <c r="E121" s="951">
        <v>37500</v>
      </c>
      <c r="F121" s="974">
        <v>0</v>
      </c>
      <c r="G121" s="953">
        <v>37500</v>
      </c>
      <c r="H121" s="953">
        <v>1076.25</v>
      </c>
      <c r="I121" s="974">
        <v>89.81</v>
      </c>
      <c r="J121" s="953">
        <v>1140</v>
      </c>
      <c r="K121" s="951">
        <v>728</v>
      </c>
      <c r="L121" s="953">
        <f>+H121+I121+J121+K121</f>
        <v>3034.06</v>
      </c>
      <c r="M121" s="953">
        <f t="shared" si="24"/>
        <v>34465.94</v>
      </c>
    </row>
    <row r="122" spans="1:13" ht="18.75" x14ac:dyDescent="0.3">
      <c r="A122" s="958" t="s">
        <v>1338</v>
      </c>
      <c r="B122" s="950" t="s">
        <v>807</v>
      </c>
      <c r="C122" s="977" t="s">
        <v>166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974">
        <v>0</v>
      </c>
      <c r="J122" s="953">
        <v>957.6</v>
      </c>
      <c r="K122" s="951">
        <v>25</v>
      </c>
      <c r="L122" s="953">
        <v>1886.65</v>
      </c>
      <c r="M122" s="953">
        <f t="shared" si="24"/>
        <v>29613.35</v>
      </c>
    </row>
    <row r="123" spans="1:13" ht="18.75" x14ac:dyDescent="0.3">
      <c r="A123" s="958" t="s">
        <v>1322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974">
        <v>936.62</v>
      </c>
      <c r="J123" s="953">
        <v>1322.4</v>
      </c>
      <c r="K123" s="951">
        <v>25</v>
      </c>
      <c r="L123" s="953">
        <f>+H123+I123+J123+K123</f>
        <v>3532.4700000000003</v>
      </c>
      <c r="M123" s="953">
        <f t="shared" si="24"/>
        <v>39967.53</v>
      </c>
    </row>
    <row r="124" spans="1:13" ht="18.75" x14ac:dyDescent="0.3">
      <c r="A124" s="961" t="s">
        <v>749</v>
      </c>
      <c r="B124" s="950"/>
      <c r="C124" s="962">
        <v>7</v>
      </c>
      <c r="D124" s="962"/>
      <c r="E124" s="963">
        <f t="shared" ref="E124:K124" si="25">SUM(E117:E123)</f>
        <v>507500</v>
      </c>
      <c r="F124" s="964">
        <f t="shared" si="25"/>
        <v>0</v>
      </c>
      <c r="G124" s="963">
        <f t="shared" si="25"/>
        <v>507500</v>
      </c>
      <c r="H124" s="963">
        <f t="shared" si="25"/>
        <v>14565.25</v>
      </c>
      <c r="I124" s="963">
        <f t="shared" si="25"/>
        <v>48953.08</v>
      </c>
      <c r="J124" s="963">
        <f t="shared" si="25"/>
        <v>15428</v>
      </c>
      <c r="K124" s="963">
        <f t="shared" si="25"/>
        <v>18828.28</v>
      </c>
      <c r="L124" s="963">
        <f>SUM(L117:L123)</f>
        <v>97774.609999999986</v>
      </c>
      <c r="M124" s="963">
        <f>SUM(M117:M123)</f>
        <v>409725.39</v>
      </c>
    </row>
    <row r="125" spans="1:13" ht="18.75" x14ac:dyDescent="0.3">
      <c r="A125" s="961"/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5"/>
      <c r="M125" s="965"/>
    </row>
    <row r="126" spans="1:13" ht="23.25" customHeight="1" x14ac:dyDescent="0.3">
      <c r="A126" s="982" t="s">
        <v>1136</v>
      </c>
      <c r="B126" s="950"/>
      <c r="C126" s="967"/>
      <c r="D126" s="967"/>
      <c r="E126" s="963"/>
      <c r="F126" s="964"/>
      <c r="G126" s="965"/>
      <c r="H126" s="965"/>
      <c r="I126" s="963"/>
      <c r="J126" s="965"/>
      <c r="K126" s="963"/>
      <c r="L126" s="965"/>
      <c r="M126" s="965"/>
    </row>
    <row r="127" spans="1:13" ht="18.75" x14ac:dyDescent="0.3">
      <c r="A127" s="955" t="s">
        <v>419</v>
      </c>
      <c r="B127" s="950" t="s">
        <v>806</v>
      </c>
      <c r="C127" s="960" t="s">
        <v>449</v>
      </c>
      <c r="D127" s="960" t="s">
        <v>1069</v>
      </c>
      <c r="E127" s="951">
        <v>50000</v>
      </c>
      <c r="F127" s="952">
        <v>0</v>
      </c>
      <c r="G127" s="953">
        <v>50000</v>
      </c>
      <c r="H127" s="953">
        <v>1435</v>
      </c>
      <c r="I127" s="951">
        <v>1854</v>
      </c>
      <c r="J127" s="953">
        <v>1520</v>
      </c>
      <c r="K127" s="951">
        <v>728</v>
      </c>
      <c r="L127" s="953">
        <f>+H127+I127+J127+K127</f>
        <v>5537</v>
      </c>
      <c r="M127" s="953">
        <f>+G127-L127</f>
        <v>44463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2025</v>
      </c>
      <c r="L128" s="953">
        <f>+H128+I128+J128+K128</f>
        <v>5532.47</v>
      </c>
      <c r="M128" s="953">
        <f>+G128-L128</f>
        <v>37967.53</v>
      </c>
    </row>
    <row r="129" spans="1:13" ht="18.75" x14ac:dyDescent="0.3">
      <c r="A129" s="961" t="s">
        <v>749</v>
      </c>
      <c r="B129" s="950"/>
      <c r="C129" s="962">
        <v>2</v>
      </c>
      <c r="D129" s="962"/>
      <c r="E129" s="963">
        <f>SUM(E127:E128)</f>
        <v>93500</v>
      </c>
      <c r="F129" s="964">
        <f t="shared" ref="F129:M129" si="26">SUM(F127:F128)</f>
        <v>0</v>
      </c>
      <c r="G129" s="963">
        <f t="shared" si="26"/>
        <v>93500</v>
      </c>
      <c r="H129" s="963">
        <f t="shared" si="26"/>
        <v>2683.45</v>
      </c>
      <c r="I129" s="963">
        <f t="shared" si="26"/>
        <v>2790.62</v>
      </c>
      <c r="J129" s="963">
        <f t="shared" si="26"/>
        <v>2842.4</v>
      </c>
      <c r="K129" s="963">
        <f t="shared" si="26"/>
        <v>2753</v>
      </c>
      <c r="L129" s="963">
        <f t="shared" si="26"/>
        <v>11069.470000000001</v>
      </c>
      <c r="M129" s="963">
        <f t="shared" si="26"/>
        <v>82430.53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3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5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6" si="27">+H132+I132+J132+K132</f>
        <v>12956.869999999999</v>
      </c>
      <c r="M132" s="951">
        <f t="shared" ref="M132:M136" si="28"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si="28"/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37500</v>
      </c>
      <c r="F135" s="974">
        <v>0</v>
      </c>
      <c r="G135" s="951">
        <v>37500</v>
      </c>
      <c r="H135" s="951">
        <v>1076.25</v>
      </c>
      <c r="I135" s="974">
        <v>89.81</v>
      </c>
      <c r="J135" s="951">
        <v>1140</v>
      </c>
      <c r="K135" s="951">
        <v>25</v>
      </c>
      <c r="L135" s="951">
        <f t="shared" si="27"/>
        <v>2331.06</v>
      </c>
      <c r="M135" s="951">
        <f t="shared" si="28"/>
        <v>35168.94</v>
      </c>
    </row>
    <row r="136" spans="1:13" ht="18.75" x14ac:dyDescent="0.3">
      <c r="A136" s="955" t="s">
        <v>875</v>
      </c>
      <c r="B136" s="950" t="s">
        <v>807</v>
      </c>
      <c r="C136" s="960" t="s">
        <v>1036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1">
        <v>2559.6799999999998</v>
      </c>
      <c r="J136" s="951">
        <v>1672</v>
      </c>
      <c r="K136" s="951">
        <v>2291.13</v>
      </c>
      <c r="L136" s="951">
        <f t="shared" si="27"/>
        <v>8101.31</v>
      </c>
      <c r="M136" s="951">
        <f t="shared" si="28"/>
        <v>46898.69</v>
      </c>
    </row>
    <row r="137" spans="1:13" ht="18.75" x14ac:dyDescent="0.3">
      <c r="A137" s="961" t="s">
        <v>749</v>
      </c>
      <c r="B137" s="950"/>
      <c r="C137" s="962">
        <v>5</v>
      </c>
      <c r="D137" s="962"/>
      <c r="E137" s="963">
        <f>SUM(E132:E136)</f>
        <v>282500</v>
      </c>
      <c r="F137" s="964">
        <f>SUM(F136:F136)</f>
        <v>0</v>
      </c>
      <c r="G137" s="963">
        <f t="shared" ref="G137:M137" si="29">SUM(G132:G136)</f>
        <v>282500</v>
      </c>
      <c r="H137" s="963">
        <f t="shared" si="29"/>
        <v>8107.75</v>
      </c>
      <c r="I137" s="963">
        <f t="shared" si="29"/>
        <v>15169.72</v>
      </c>
      <c r="J137" s="963">
        <f t="shared" si="29"/>
        <v>8588</v>
      </c>
      <c r="K137" s="963">
        <f t="shared" si="29"/>
        <v>3997.13</v>
      </c>
      <c r="L137" s="963">
        <f t="shared" si="29"/>
        <v>35862.6</v>
      </c>
      <c r="M137" s="963">
        <f t="shared" si="29"/>
        <v>246637.40000000002</v>
      </c>
    </row>
    <row r="138" spans="1:13" ht="18.75" x14ac:dyDescent="0.3">
      <c r="A138" s="958"/>
      <c r="B138" s="950"/>
      <c r="C138" s="960"/>
      <c r="D138" s="960"/>
      <c r="E138" s="951"/>
      <c r="F138" s="952"/>
      <c r="G138" s="953"/>
      <c r="H138" s="953"/>
      <c r="I138" s="951"/>
      <c r="J138" s="953"/>
      <c r="K138" s="951"/>
      <c r="L138" s="953"/>
      <c r="M138" s="953"/>
    </row>
    <row r="139" spans="1:13" ht="18.75" x14ac:dyDescent="0.3">
      <c r="A139" s="961" t="s">
        <v>787</v>
      </c>
      <c r="B139" s="950"/>
      <c r="C139" s="967"/>
      <c r="D139" s="967"/>
      <c r="E139" s="963"/>
      <c r="F139" s="964"/>
      <c r="G139" s="965"/>
      <c r="H139" s="965"/>
      <c r="I139" s="963"/>
      <c r="J139" s="965"/>
      <c r="K139" s="963"/>
      <c r="L139" s="965"/>
      <c r="M139" s="965"/>
    </row>
    <row r="140" spans="1:13" ht="18.75" x14ac:dyDescent="0.3">
      <c r="A140" s="958" t="s">
        <v>69</v>
      </c>
      <c r="B140" s="950" t="s">
        <v>806</v>
      </c>
      <c r="C140" s="960" t="s">
        <v>1433</v>
      </c>
      <c r="D140" s="960" t="s">
        <v>307</v>
      </c>
      <c r="E140" s="951">
        <v>185000</v>
      </c>
      <c r="F140" s="952">
        <v>0</v>
      </c>
      <c r="G140" s="953">
        <v>185000</v>
      </c>
      <c r="H140" s="953">
        <v>5309.5</v>
      </c>
      <c r="I140" s="951">
        <v>32099.49</v>
      </c>
      <c r="J140" s="953">
        <v>5624</v>
      </c>
      <c r="K140" s="951">
        <v>2568.4</v>
      </c>
      <c r="L140" s="953">
        <f>+H140+I140+J140+K140</f>
        <v>45601.390000000007</v>
      </c>
      <c r="M140" s="953">
        <f>+G140-L140</f>
        <v>139398.60999999999</v>
      </c>
    </row>
    <row r="141" spans="1:13" ht="18.75" x14ac:dyDescent="0.3">
      <c r="A141" s="955" t="s">
        <v>42</v>
      </c>
      <c r="B141" s="950" t="s">
        <v>806</v>
      </c>
      <c r="C141" s="960" t="s">
        <v>449</v>
      </c>
      <c r="D141" s="960" t="s">
        <v>1069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1">
        <v>1672</v>
      </c>
      <c r="K141" s="951">
        <v>1396.7</v>
      </c>
      <c r="L141" s="951">
        <f>+H141+I141+J141+K141</f>
        <v>7206.88</v>
      </c>
      <c r="M141" s="951">
        <f>+G141-L141</f>
        <v>47793.120000000003</v>
      </c>
    </row>
    <row r="142" spans="1:13" ht="18.75" x14ac:dyDescent="0.3">
      <c r="A142" s="958" t="s">
        <v>310</v>
      </c>
      <c r="B142" s="950" t="s">
        <v>807</v>
      </c>
      <c r="C142" s="960" t="s">
        <v>276</v>
      </c>
      <c r="D142" s="960" t="s">
        <v>307</v>
      </c>
      <c r="E142" s="951">
        <v>50000</v>
      </c>
      <c r="F142" s="952">
        <v>0</v>
      </c>
      <c r="G142" s="953">
        <v>50000</v>
      </c>
      <c r="H142" s="953">
        <v>1435</v>
      </c>
      <c r="I142" s="951">
        <v>1596.68</v>
      </c>
      <c r="J142" s="953">
        <v>1520</v>
      </c>
      <c r="K142" s="951">
        <v>5012.18</v>
      </c>
      <c r="L142" s="953">
        <f>+H142+I142+J142+K142</f>
        <v>9563.86</v>
      </c>
      <c r="M142" s="953">
        <f>+G142-L142</f>
        <v>40436.14</v>
      </c>
    </row>
    <row r="143" spans="1:13" ht="18.75" x14ac:dyDescent="0.3">
      <c r="A143" s="961" t="s">
        <v>749</v>
      </c>
      <c r="B143" s="950"/>
      <c r="C143" s="962">
        <v>3</v>
      </c>
      <c r="D143" s="962"/>
      <c r="E143" s="963">
        <f>SUM(E140:E142)</f>
        <v>290000</v>
      </c>
      <c r="F143" s="964">
        <f>SUM(F140:F141)</f>
        <v>0</v>
      </c>
      <c r="G143" s="965">
        <f t="shared" ref="G143:M143" si="30">SUM(G140:G142)</f>
        <v>290000</v>
      </c>
      <c r="H143" s="965">
        <f t="shared" si="30"/>
        <v>8323</v>
      </c>
      <c r="I143" s="963">
        <f t="shared" si="30"/>
        <v>36255.85</v>
      </c>
      <c r="J143" s="965">
        <f t="shared" si="30"/>
        <v>8816</v>
      </c>
      <c r="K143" s="963">
        <f t="shared" si="30"/>
        <v>8977.2800000000007</v>
      </c>
      <c r="L143" s="965">
        <f t="shared" si="30"/>
        <v>62372.130000000005</v>
      </c>
      <c r="M143" s="965">
        <f t="shared" si="30"/>
        <v>227627.87</v>
      </c>
    </row>
    <row r="144" spans="1:13" ht="18.75" x14ac:dyDescent="0.3">
      <c r="A144" s="961"/>
      <c r="B144" s="950"/>
      <c r="C144" s="962"/>
      <c r="D144" s="962"/>
      <c r="E144" s="963"/>
      <c r="F144" s="964"/>
      <c r="G144" s="965"/>
      <c r="H144" s="965"/>
      <c r="I144" s="963"/>
      <c r="J144" s="965"/>
      <c r="K144" s="963"/>
      <c r="L144" s="965"/>
      <c r="M144" s="965"/>
    </row>
    <row r="145" spans="1:13" ht="18.75" x14ac:dyDescent="0.3">
      <c r="A145" s="967" t="s">
        <v>1458</v>
      </c>
      <c r="B145" s="988"/>
      <c r="C145" s="989"/>
      <c r="D145" s="989"/>
      <c r="E145" s="949"/>
      <c r="F145" s="949"/>
      <c r="G145" s="990"/>
      <c r="H145" s="991"/>
      <c r="I145" s="963"/>
      <c r="J145" s="965"/>
      <c r="K145" s="963"/>
      <c r="L145" s="965"/>
      <c r="M145" s="965"/>
    </row>
    <row r="146" spans="1:13" ht="18.75" x14ac:dyDescent="0.3">
      <c r="A146" s="960" t="s">
        <v>532</v>
      </c>
      <c r="B146" s="950" t="s">
        <v>807</v>
      </c>
      <c r="C146" s="960" t="s">
        <v>965</v>
      </c>
      <c r="D146" s="960" t="s">
        <v>1069</v>
      </c>
      <c r="E146" s="951">
        <v>80000</v>
      </c>
      <c r="F146" s="971">
        <v>0</v>
      </c>
      <c r="G146" s="972">
        <v>80000</v>
      </c>
      <c r="H146" s="972">
        <v>2296</v>
      </c>
      <c r="I146" s="951">
        <v>7400.87</v>
      </c>
      <c r="J146" s="972">
        <v>2432</v>
      </c>
      <c r="K146" s="951">
        <v>2097.1999999999998</v>
      </c>
      <c r="L146" s="953">
        <f>+H146+I146+J146+K146</f>
        <v>14226.07</v>
      </c>
      <c r="M146" s="953">
        <f>+G146-L146</f>
        <v>65773.929999999993</v>
      </c>
    </row>
    <row r="147" spans="1:13" ht="18.75" x14ac:dyDescent="0.3">
      <c r="A147" s="961" t="s">
        <v>847</v>
      </c>
      <c r="B147" s="992"/>
      <c r="C147" s="962">
        <v>1</v>
      </c>
      <c r="D147" s="962"/>
      <c r="E147" s="963">
        <f t="shared" ref="E147:M147" si="31">SUM(E146)</f>
        <v>80000</v>
      </c>
      <c r="F147" s="993">
        <f t="shared" si="31"/>
        <v>0</v>
      </c>
      <c r="G147" s="994">
        <f t="shared" si="31"/>
        <v>80000</v>
      </c>
      <c r="H147" s="994">
        <f t="shared" si="31"/>
        <v>2296</v>
      </c>
      <c r="I147" s="963">
        <f t="shared" si="31"/>
        <v>7400.87</v>
      </c>
      <c r="J147" s="994">
        <f t="shared" si="31"/>
        <v>2432</v>
      </c>
      <c r="K147" s="963">
        <f t="shared" si="31"/>
        <v>2097.1999999999998</v>
      </c>
      <c r="L147" s="994">
        <f>SUM(L146)</f>
        <v>14226.07</v>
      </c>
      <c r="M147" s="994">
        <f t="shared" si="31"/>
        <v>65773.929999999993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5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5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3">
        <f>+H150+I150+J150+K150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2">SUM(E150:E150)</f>
        <v>43500</v>
      </c>
      <c r="F151" s="964">
        <f t="shared" si="32"/>
        <v>0</v>
      </c>
      <c r="G151" s="965">
        <f t="shared" si="32"/>
        <v>43500</v>
      </c>
      <c r="H151" s="965">
        <f t="shared" si="32"/>
        <v>1248.45</v>
      </c>
      <c r="I151" s="1091">
        <f t="shared" si="32"/>
        <v>936.62</v>
      </c>
      <c r="J151" s="996">
        <f t="shared" si="32"/>
        <v>1322.4</v>
      </c>
      <c r="K151" s="963">
        <f>SUM(K150:K150)</f>
        <v>25</v>
      </c>
      <c r="L151" s="965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3"/>
      <c r="M152" s="953"/>
    </row>
    <row r="153" spans="1:13" ht="18.75" x14ac:dyDescent="0.3">
      <c r="A153" s="997" t="s">
        <v>1459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5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3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1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3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1325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3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3">SUM(F157)</f>
        <v>0</v>
      </c>
      <c r="G158" s="963">
        <f t="shared" ref="G158:L158" si="34">SUM(G154:G157)</f>
        <v>237000</v>
      </c>
      <c r="H158" s="963">
        <f t="shared" si="34"/>
        <v>6801.9</v>
      </c>
      <c r="I158" s="963">
        <f t="shared" si="34"/>
        <v>14642.59</v>
      </c>
      <c r="J158" s="963">
        <f t="shared" si="34"/>
        <v>7204.7999999999993</v>
      </c>
      <c r="K158" s="963">
        <f t="shared" si="34"/>
        <v>4643.3999999999996</v>
      </c>
      <c r="L158" s="963">
        <f t="shared" si="34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3"/>
      <c r="M159" s="953"/>
    </row>
    <row r="160" spans="1:13" ht="18.7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5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3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1">
        <f>+G162-L162</f>
        <v>59666.520000000004</v>
      </c>
    </row>
    <row r="163" spans="1:13" ht="18.75" x14ac:dyDescent="0.3">
      <c r="A163" s="961" t="s">
        <v>749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5">SUM(G161:G162)</f>
        <v>150000</v>
      </c>
      <c r="H163" s="963">
        <f t="shared" si="35"/>
        <v>4305</v>
      </c>
      <c r="I163" s="963">
        <f t="shared" si="35"/>
        <v>12769.349999999999</v>
      </c>
      <c r="J163" s="963">
        <f t="shared" si="35"/>
        <v>4560</v>
      </c>
      <c r="K163" s="963">
        <f t="shared" si="35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3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5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3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3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6">SUM(F166:F167)</f>
        <v>0</v>
      </c>
      <c r="G168" s="965">
        <f>SUM(G166:G167)</f>
        <v>123500</v>
      </c>
      <c r="H168" s="965">
        <f t="shared" si="36"/>
        <v>3544.45</v>
      </c>
      <c r="I168" s="963">
        <f t="shared" si="36"/>
        <v>8337.49</v>
      </c>
      <c r="J168" s="965">
        <f t="shared" si="36"/>
        <v>3754.4</v>
      </c>
      <c r="K168" s="963">
        <f t="shared" si="36"/>
        <v>3335.58</v>
      </c>
      <c r="L168" s="965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5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5"/>
      <c r="M170" s="965"/>
    </row>
    <row r="171" spans="1:13" ht="18.75" x14ac:dyDescent="0.3">
      <c r="A171" s="955" t="s">
        <v>134</v>
      </c>
      <c r="B171" s="950" t="s">
        <v>807</v>
      </c>
      <c r="C171" s="960" t="s">
        <v>489</v>
      </c>
      <c r="D171" s="960" t="s">
        <v>307</v>
      </c>
      <c r="E171" s="951">
        <v>80000</v>
      </c>
      <c r="F171" s="974">
        <v>0</v>
      </c>
      <c r="G171" s="951">
        <v>80000</v>
      </c>
      <c r="H171" s="951">
        <v>2296</v>
      </c>
      <c r="I171" s="951">
        <v>7400.87</v>
      </c>
      <c r="J171" s="951">
        <v>2432</v>
      </c>
      <c r="K171" s="951">
        <v>2568.4</v>
      </c>
      <c r="L171" s="951">
        <f t="shared" ref="L171:L181" si="37">+H171+I171+J171+K171</f>
        <v>14697.269999999999</v>
      </c>
      <c r="M171" s="951">
        <f t="shared" ref="M171:M181" si="38">+G171-L171</f>
        <v>65302.73</v>
      </c>
    </row>
    <row r="172" spans="1:13" ht="18.75" x14ac:dyDescent="0.3">
      <c r="A172" s="955" t="s">
        <v>651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7"/>
        <v>3532.4700000000003</v>
      </c>
      <c r="M172" s="951">
        <f t="shared" si="38"/>
        <v>39967.53</v>
      </c>
    </row>
    <row r="173" spans="1:13" ht="18.75" x14ac:dyDescent="0.3">
      <c r="A173" s="955" t="s">
        <v>794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7"/>
        <v>3532.4700000000003</v>
      </c>
      <c r="M173" s="951">
        <f t="shared" si="38"/>
        <v>39967.53</v>
      </c>
    </row>
    <row r="174" spans="1:13" ht="18.75" x14ac:dyDescent="0.3">
      <c r="A174" s="955" t="s">
        <v>793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936.62</v>
      </c>
      <c r="J174" s="951">
        <v>1322.4</v>
      </c>
      <c r="K174" s="951">
        <v>25</v>
      </c>
      <c r="L174" s="951">
        <f t="shared" si="37"/>
        <v>3532.4700000000003</v>
      </c>
      <c r="M174" s="951">
        <f t="shared" si="38"/>
        <v>39967.53</v>
      </c>
    </row>
    <row r="175" spans="1:13" ht="18.75" x14ac:dyDescent="0.3">
      <c r="A175" s="1069" t="s">
        <v>585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74">
        <v>0</v>
      </c>
      <c r="G175" s="951">
        <v>37500</v>
      </c>
      <c r="H175" s="951">
        <v>1076.25</v>
      </c>
      <c r="I175" s="974">
        <v>89.81</v>
      </c>
      <c r="J175" s="951">
        <v>1140</v>
      </c>
      <c r="K175" s="951">
        <v>728</v>
      </c>
      <c r="L175" s="951">
        <f t="shared" si="37"/>
        <v>3034.06</v>
      </c>
      <c r="M175" s="951">
        <f t="shared" si="38"/>
        <v>34465.94</v>
      </c>
    </row>
    <row r="176" spans="1:13" ht="16.5" customHeight="1" x14ac:dyDescent="0.3">
      <c r="A176" s="1069" t="s">
        <v>805</v>
      </c>
      <c r="B176" s="950" t="s">
        <v>806</v>
      </c>
      <c r="C176" s="960" t="s">
        <v>517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974">
        <v>421.98</v>
      </c>
      <c r="J176" s="951">
        <v>1322.4</v>
      </c>
      <c r="K176" s="951">
        <v>4861.92</v>
      </c>
      <c r="L176" s="951">
        <f t="shared" si="37"/>
        <v>7854.75</v>
      </c>
      <c r="M176" s="951">
        <f t="shared" si="38"/>
        <v>35645.25</v>
      </c>
    </row>
    <row r="177" spans="1:13" ht="18.75" x14ac:dyDescent="0.3">
      <c r="A177" s="998" t="s">
        <v>1022</v>
      </c>
      <c r="B177" s="950" t="s">
        <v>806</v>
      </c>
      <c r="C177" s="960" t="s">
        <v>517</v>
      </c>
      <c r="D177" s="960" t="s">
        <v>307</v>
      </c>
      <c r="E177" s="951">
        <v>37500</v>
      </c>
      <c r="F177" s="952">
        <v>0</v>
      </c>
      <c r="G177" s="953">
        <v>37500</v>
      </c>
      <c r="H177" s="953">
        <v>1076.25</v>
      </c>
      <c r="I177" s="974">
        <v>89.81</v>
      </c>
      <c r="J177" s="953">
        <v>1140</v>
      </c>
      <c r="K177" s="951">
        <v>25</v>
      </c>
      <c r="L177" s="953">
        <f t="shared" si="37"/>
        <v>2331.06</v>
      </c>
      <c r="M177" s="953">
        <f t="shared" si="38"/>
        <v>35168.94</v>
      </c>
    </row>
    <row r="178" spans="1:13" ht="18.75" x14ac:dyDescent="0.3">
      <c r="A178" s="998" t="s">
        <v>1326</v>
      </c>
      <c r="B178" s="950" t="s">
        <v>1296</v>
      </c>
      <c r="C178" s="960" t="s">
        <v>517</v>
      </c>
      <c r="D178" s="960" t="s">
        <v>321</v>
      </c>
      <c r="E178" s="951">
        <v>43500</v>
      </c>
      <c r="F178" s="952">
        <v>0</v>
      </c>
      <c r="G178" s="953">
        <v>43500</v>
      </c>
      <c r="H178" s="953">
        <v>1248.45</v>
      </c>
      <c r="I178" s="974">
        <v>936.62</v>
      </c>
      <c r="J178" s="953">
        <v>1322.4</v>
      </c>
      <c r="K178" s="951">
        <v>25</v>
      </c>
      <c r="L178" s="953">
        <f t="shared" si="37"/>
        <v>3532.4700000000003</v>
      </c>
      <c r="M178" s="953">
        <f t="shared" si="38"/>
        <v>39967.53</v>
      </c>
    </row>
    <row r="179" spans="1:13" ht="18.75" x14ac:dyDescent="0.3">
      <c r="A179" s="998" t="s">
        <v>1327</v>
      </c>
      <c r="B179" s="950" t="s">
        <v>806</v>
      </c>
      <c r="C179" s="960" t="s">
        <v>517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974">
        <v>936.62</v>
      </c>
      <c r="J179" s="953">
        <v>1322.4</v>
      </c>
      <c r="K179" s="951">
        <v>25</v>
      </c>
      <c r="L179" s="953">
        <f t="shared" si="37"/>
        <v>3532.4700000000003</v>
      </c>
      <c r="M179" s="953">
        <f t="shared" si="38"/>
        <v>39967.53</v>
      </c>
    </row>
    <row r="180" spans="1:13" ht="18.75" x14ac:dyDescent="0.3">
      <c r="A180" s="998" t="s">
        <v>1328</v>
      </c>
      <c r="B180" s="950" t="s">
        <v>1296</v>
      </c>
      <c r="C180" s="960" t="s">
        <v>517</v>
      </c>
      <c r="D180" s="960" t="s">
        <v>321</v>
      </c>
      <c r="E180" s="951">
        <v>37500</v>
      </c>
      <c r="F180" s="952">
        <v>0</v>
      </c>
      <c r="G180" s="953">
        <v>37500</v>
      </c>
      <c r="H180" s="953">
        <v>1076.25</v>
      </c>
      <c r="I180" s="974">
        <v>89.81</v>
      </c>
      <c r="J180" s="953">
        <v>1140</v>
      </c>
      <c r="K180" s="951">
        <v>25</v>
      </c>
      <c r="L180" s="953">
        <f t="shared" si="37"/>
        <v>2331.06</v>
      </c>
      <c r="M180" s="953">
        <f t="shared" si="38"/>
        <v>35168.94</v>
      </c>
    </row>
    <row r="181" spans="1:13" ht="18.75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37500</v>
      </c>
      <c r="F181" s="974">
        <v>0</v>
      </c>
      <c r="G181" s="951">
        <v>37500</v>
      </c>
      <c r="H181" s="951">
        <v>1076.25</v>
      </c>
      <c r="I181" s="974">
        <v>89.81</v>
      </c>
      <c r="J181" s="951">
        <v>1140</v>
      </c>
      <c r="K181" s="951">
        <v>25</v>
      </c>
      <c r="L181" s="951">
        <f t="shared" si="37"/>
        <v>2331.06</v>
      </c>
      <c r="M181" s="951">
        <f t="shared" si="38"/>
        <v>35168.94</v>
      </c>
    </row>
    <row r="182" spans="1:13" ht="18.75" x14ac:dyDescent="0.3">
      <c r="A182" s="961" t="s">
        <v>749</v>
      </c>
      <c r="B182" s="950"/>
      <c r="C182" s="962">
        <v>11</v>
      </c>
      <c r="D182" s="962"/>
      <c r="E182" s="963">
        <f>SUM(E171:E181)</f>
        <v>491000</v>
      </c>
      <c r="F182" s="964">
        <v>0</v>
      </c>
      <c r="G182" s="963">
        <f>SUM(G171:G181)</f>
        <v>491000</v>
      </c>
      <c r="H182" s="963">
        <f t="shared" ref="H182:L182" si="39">SUM(H171:H181)</f>
        <v>14091.7</v>
      </c>
      <c r="I182" s="963">
        <f t="shared" si="39"/>
        <v>12865.19</v>
      </c>
      <c r="J182" s="963">
        <f t="shared" si="39"/>
        <v>14926.4</v>
      </c>
      <c r="K182" s="963">
        <f t="shared" si="39"/>
        <v>8358.32</v>
      </c>
      <c r="L182" s="963">
        <f t="shared" si="39"/>
        <v>50241.61</v>
      </c>
      <c r="M182" s="963">
        <f>SUM(M171:M181)</f>
        <v>440758.39</v>
      </c>
    </row>
    <row r="183" spans="1:13" ht="18.75" x14ac:dyDescent="0.3">
      <c r="A183" s="958"/>
      <c r="B183" s="950"/>
      <c r="C183" s="960"/>
      <c r="D183" s="960"/>
      <c r="E183" s="963"/>
      <c r="F183" s="964"/>
      <c r="G183" s="965"/>
      <c r="H183" s="965"/>
      <c r="I183" s="963"/>
      <c r="J183" s="965"/>
      <c r="K183" s="963"/>
      <c r="L183" s="965"/>
      <c r="M183" s="965"/>
    </row>
    <row r="184" spans="1:13" ht="18.75" x14ac:dyDescent="0.3">
      <c r="A184" s="961" t="s">
        <v>1221</v>
      </c>
      <c r="B184" s="950"/>
      <c r="C184" s="967"/>
      <c r="D184" s="967"/>
      <c r="E184" s="963"/>
      <c r="F184" s="964"/>
      <c r="G184" s="965"/>
      <c r="H184" s="965"/>
      <c r="I184" s="963"/>
      <c r="J184" s="965"/>
      <c r="K184" s="963"/>
      <c r="L184" s="965"/>
      <c r="M184" s="965"/>
    </row>
    <row r="185" spans="1:13" ht="18.75" x14ac:dyDescent="0.3">
      <c r="A185" s="1027" t="s">
        <v>80</v>
      </c>
      <c r="B185" s="950" t="s">
        <v>806</v>
      </c>
      <c r="C185" s="1024" t="s">
        <v>721</v>
      </c>
      <c r="D185" s="960" t="s">
        <v>1069</v>
      </c>
      <c r="E185" s="951">
        <v>120000</v>
      </c>
      <c r="F185" s="952">
        <v>0</v>
      </c>
      <c r="G185" s="1031">
        <v>120000</v>
      </c>
      <c r="H185" s="953">
        <v>3444</v>
      </c>
      <c r="I185" s="1032">
        <v>16809.87</v>
      </c>
      <c r="J185" s="953">
        <v>3648</v>
      </c>
      <c r="K185" s="951">
        <v>25</v>
      </c>
      <c r="L185" s="1031">
        <f t="shared" ref="L185:L190" si="40">+H185+I185+J185+K185</f>
        <v>23926.87</v>
      </c>
      <c r="M185" s="1031">
        <f t="shared" ref="M185:M218" si="41">+G185-L185</f>
        <v>96073.13</v>
      </c>
    </row>
    <row r="186" spans="1:13" ht="18.75" x14ac:dyDescent="0.3">
      <c r="A186" s="1027" t="s">
        <v>87</v>
      </c>
      <c r="B186" s="950" t="s">
        <v>806</v>
      </c>
      <c r="C186" s="1024" t="s">
        <v>720</v>
      </c>
      <c r="D186" s="960" t="s">
        <v>1069</v>
      </c>
      <c r="E186" s="951">
        <v>120000</v>
      </c>
      <c r="F186" s="974">
        <v>0</v>
      </c>
      <c r="G186" s="1032">
        <v>120000</v>
      </c>
      <c r="H186" s="951">
        <v>3444</v>
      </c>
      <c r="I186" s="1032">
        <v>16809.87</v>
      </c>
      <c r="J186" s="951">
        <v>3648</v>
      </c>
      <c r="K186" s="951">
        <v>25</v>
      </c>
      <c r="L186" s="1032">
        <f t="shared" si="40"/>
        <v>23926.87</v>
      </c>
      <c r="M186" s="1032">
        <f t="shared" si="41"/>
        <v>96073.13</v>
      </c>
    </row>
    <row r="187" spans="1:13" ht="18.75" x14ac:dyDescent="0.3">
      <c r="A187" s="1027" t="s">
        <v>829</v>
      </c>
      <c r="B187" s="999" t="s">
        <v>806</v>
      </c>
      <c r="C187" s="1024" t="s">
        <v>596</v>
      </c>
      <c r="D187" s="960" t="s">
        <v>1066</v>
      </c>
      <c r="E187" s="951">
        <v>75000</v>
      </c>
      <c r="F187" s="974">
        <v>0</v>
      </c>
      <c r="G187" s="1032">
        <v>75000</v>
      </c>
      <c r="H187" s="951">
        <v>2152.5</v>
      </c>
      <c r="I187" s="1032">
        <v>6309.38</v>
      </c>
      <c r="J187" s="951">
        <v>2280</v>
      </c>
      <c r="K187" s="951">
        <v>25</v>
      </c>
      <c r="L187" s="1032">
        <f t="shared" si="40"/>
        <v>10766.880000000001</v>
      </c>
      <c r="M187" s="1032">
        <f t="shared" si="41"/>
        <v>64233.119999999995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0"/>
        <v>12153.869999999999</v>
      </c>
      <c r="M188" s="1032">
        <f t="shared" si="41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0"/>
        <v>9530.48</v>
      </c>
      <c r="M189" s="1032">
        <f t="shared" si="41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0"/>
        <v>15451.01</v>
      </c>
      <c r="M190" s="1032">
        <f t="shared" si="41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41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41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2">+H193+I193+J193+K193</f>
        <v>5835.18</v>
      </c>
      <c r="M193" s="1032">
        <f t="shared" si="41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37500</v>
      </c>
      <c r="F194" s="974">
        <v>0</v>
      </c>
      <c r="G194" s="1032">
        <v>37500</v>
      </c>
      <c r="H194" s="951">
        <v>1076.25</v>
      </c>
      <c r="I194" s="1036">
        <v>0</v>
      </c>
      <c r="J194" s="951">
        <v>1140</v>
      </c>
      <c r="K194" s="951">
        <v>1740.46</v>
      </c>
      <c r="L194" s="1032">
        <f t="shared" si="42"/>
        <v>3956.71</v>
      </c>
      <c r="M194" s="1032">
        <f t="shared" si="41"/>
        <v>33543.29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31500</v>
      </c>
      <c r="F195" s="974">
        <v>0</v>
      </c>
      <c r="G195" s="1032">
        <v>31500</v>
      </c>
      <c r="H195" s="951">
        <v>904.05</v>
      </c>
      <c r="I195" s="1036">
        <v>0</v>
      </c>
      <c r="J195" s="951">
        <v>957.6</v>
      </c>
      <c r="K195" s="951">
        <v>25</v>
      </c>
      <c r="L195" s="1032">
        <f t="shared" si="42"/>
        <v>1886.65</v>
      </c>
      <c r="M195" s="1032">
        <f t="shared" si="41"/>
        <v>29613.35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31500</v>
      </c>
      <c r="F196" s="952">
        <v>0</v>
      </c>
      <c r="G196" s="1031">
        <v>31500</v>
      </c>
      <c r="H196" s="953">
        <v>904.05</v>
      </c>
      <c r="I196" s="1036">
        <v>0</v>
      </c>
      <c r="J196" s="953">
        <v>957.6</v>
      </c>
      <c r="K196" s="951">
        <v>25</v>
      </c>
      <c r="L196" s="1031">
        <f t="shared" si="42"/>
        <v>1886.65</v>
      </c>
      <c r="M196" s="1031">
        <f t="shared" si="41"/>
        <v>29613.35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31500</v>
      </c>
      <c r="F197" s="952">
        <v>0</v>
      </c>
      <c r="G197" s="1031">
        <v>31500</v>
      </c>
      <c r="H197" s="953">
        <v>904.05</v>
      </c>
      <c r="I197" s="1036">
        <v>0</v>
      </c>
      <c r="J197" s="953">
        <v>957.6</v>
      </c>
      <c r="K197" s="951">
        <v>25</v>
      </c>
      <c r="L197" s="1031">
        <f t="shared" si="42"/>
        <v>1886.65</v>
      </c>
      <c r="M197" s="1031">
        <f t="shared" si="41"/>
        <v>29613.35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2"/>
        <v>3532.4700000000003</v>
      </c>
      <c r="M198" s="1032">
        <f t="shared" si="41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41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1">
        <f t="shared" si="42"/>
        <v>3532.4700000000003</v>
      </c>
      <c r="M200" s="1031">
        <f t="shared" si="41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2"/>
        <v>2331.06</v>
      </c>
      <c r="M201" s="1032">
        <f t="shared" si="41"/>
        <v>35168.94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2"/>
        <v>2331.06</v>
      </c>
      <c r="M202" s="1032">
        <f t="shared" si="41"/>
        <v>35168.94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2"/>
        <v>2331.06</v>
      </c>
      <c r="M203" s="1032">
        <f t="shared" si="41"/>
        <v>35168.94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37500</v>
      </c>
      <c r="F204" s="974">
        <v>0</v>
      </c>
      <c r="G204" s="1032">
        <v>37500</v>
      </c>
      <c r="H204" s="951">
        <v>1076.25</v>
      </c>
      <c r="I204" s="1036">
        <v>89.81</v>
      </c>
      <c r="J204" s="951">
        <v>1140</v>
      </c>
      <c r="K204" s="951">
        <v>25</v>
      </c>
      <c r="L204" s="1032">
        <f t="shared" si="42"/>
        <v>2331.06</v>
      </c>
      <c r="M204" s="1032">
        <f t="shared" si="41"/>
        <v>35168.94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37500</v>
      </c>
      <c r="F205" s="974">
        <v>0</v>
      </c>
      <c r="G205" s="1032">
        <v>37500</v>
      </c>
      <c r="H205" s="951">
        <v>1076.25</v>
      </c>
      <c r="I205" s="1036">
        <v>89.81</v>
      </c>
      <c r="J205" s="951">
        <v>1140</v>
      </c>
      <c r="K205" s="951">
        <v>25</v>
      </c>
      <c r="L205" s="1032">
        <f t="shared" si="42"/>
        <v>2331.06</v>
      </c>
      <c r="M205" s="1032">
        <f t="shared" si="41"/>
        <v>35168.94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1">
        <f t="shared" si="42"/>
        <v>3532.4700000000003</v>
      </c>
      <c r="M206" s="1031">
        <f t="shared" si="41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1">
        <f t="shared" si="42"/>
        <v>1502.5</v>
      </c>
      <c r="M207" s="1031">
        <f t="shared" si="41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1">
        <f t="shared" si="42"/>
        <v>1502.5</v>
      </c>
      <c r="M208" s="1031">
        <f t="shared" si="41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1">
        <f t="shared" si="42"/>
        <v>1502.5</v>
      </c>
      <c r="M209" s="1031">
        <f t="shared" si="41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2"/>
        <v>1502.5</v>
      </c>
      <c r="M210" s="1032">
        <f t="shared" si="41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2"/>
        <v>1502.5</v>
      </c>
      <c r="M211" s="1032">
        <f t="shared" si="41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2"/>
        <v>1798</v>
      </c>
      <c r="M212" s="1032">
        <f t="shared" si="41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2"/>
        <v>1798</v>
      </c>
      <c r="M213" s="1032">
        <f t="shared" si="41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2"/>
        <v>1798</v>
      </c>
      <c r="M214" s="1032">
        <f t="shared" si="41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1">
        <f t="shared" si="42"/>
        <v>1798</v>
      </c>
      <c r="M215" s="1031">
        <f t="shared" si="41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1">
        <f t="shared" si="42"/>
        <v>3907</v>
      </c>
      <c r="M216" s="1031">
        <f t="shared" si="41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1">
        <f t="shared" si="42"/>
        <v>1798</v>
      </c>
      <c r="M217" s="1031">
        <f t="shared" si="41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1">
        <f t="shared" si="42"/>
        <v>1798</v>
      </c>
      <c r="M218" s="1031">
        <f t="shared" si="41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2">
        <v>28202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v>28202</v>
      </c>
    </row>
    <row r="223" spans="1:13" ht="18.75" x14ac:dyDescent="0.3">
      <c r="A223" s="961" t="s">
        <v>749</v>
      </c>
      <c r="B223" s="999"/>
      <c r="C223" s="962">
        <v>38</v>
      </c>
      <c r="D223" s="962"/>
      <c r="E223" s="963">
        <f>SUM(E185:E222)</f>
        <v>1692500</v>
      </c>
      <c r="F223" s="1071">
        <v>0</v>
      </c>
      <c r="G223" s="963">
        <f t="shared" ref="G223:L223" si="43">SUM(G185:G222)</f>
        <v>1692500</v>
      </c>
      <c r="H223" s="963">
        <f t="shared" si="43"/>
        <v>48574.75</v>
      </c>
      <c r="I223" s="963">
        <f t="shared" si="43"/>
        <v>77168.339999999967</v>
      </c>
      <c r="J223" s="963">
        <f t="shared" si="43"/>
        <v>51452</v>
      </c>
      <c r="K223" s="963">
        <f t="shared" si="43"/>
        <v>12339.3</v>
      </c>
      <c r="L223" s="963">
        <f t="shared" si="43"/>
        <v>189534.38999999996</v>
      </c>
      <c r="M223" s="963">
        <f>SUM(M185:M222)</f>
        <v>1502965.6099999999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5"/>
      <c r="M224" s="965"/>
    </row>
    <row r="225" spans="1:13" ht="27.75" customHeight="1" x14ac:dyDescent="0.3">
      <c r="A225" s="1058" t="s">
        <v>865</v>
      </c>
      <c r="B225" s="1059"/>
      <c r="C225" s="1058">
        <v>133</v>
      </c>
      <c r="D225" s="1058"/>
      <c r="E225" s="1076">
        <f>+E19+E25+E29+E41+E45+E50+E54+E60+E74+E89+E94+E99+E105+E110+E114+E124+E129+E137+E143+E147+E151+E158+E163+E168+E182+E223</f>
        <v>6967000</v>
      </c>
      <c r="F225" s="1072">
        <v>0</v>
      </c>
      <c r="G225" s="1076">
        <f>+G19+G25+G29+G41+G45+G50+G54+G60+G74+G89+G94+G99+G105+G110+G114+G124+G129+G137+G143+G147+G151+G158+G163+G168+G182+G223</f>
        <v>6967000</v>
      </c>
      <c r="H225" s="1076">
        <f>+H19+H25+H29+H41+H45+H50+H54+H60+H74+H89+H94+H99+H105+H110+H114+H124+H129+H137+H143+H147+H151+H158+H163+H168+H182+H223</f>
        <v>199952.90000000002</v>
      </c>
      <c r="I225" s="1076">
        <f>+I19+I25+I29+I41+I45+I50+I54+I60+I74+I89+I94+I99+I105+I110+I114+I124+I129+I137+I143+I147+I151+I158+I163+I168+I182+I223</f>
        <v>444262.4599999999</v>
      </c>
      <c r="J225" s="1076">
        <f>+J19+J25+J29+J41+J45+J50+J54+J60+J74+J89+J94+J99+J105+J110+J114+J124+J129+J137+J143+J147+J151+J158+J163+J168+J182+J223</f>
        <v>209275.11999999997</v>
      </c>
      <c r="K225" s="1076">
        <v>132110.89000000001</v>
      </c>
      <c r="L225" s="1076">
        <v>985601.67</v>
      </c>
      <c r="M225" s="1076">
        <v>5981398.3300000001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22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22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22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22"/>
      <c r="M229" s="1022"/>
    </row>
    <row r="230" spans="1:13" ht="15.75" x14ac:dyDescent="0.25">
      <c r="A230" s="853"/>
      <c r="B230" s="871"/>
      <c r="C230" s="853"/>
      <c r="D230" s="271"/>
      <c r="E230" s="869"/>
      <c r="F230" s="853"/>
      <c r="G230" s="853"/>
      <c r="H230" s="853"/>
      <c r="I230" s="869"/>
      <c r="J230" s="1022"/>
      <c r="K230" s="1093"/>
      <c r="L230" s="1022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92"/>
      <c r="J231" s="1022"/>
      <c r="K231" s="1093"/>
      <c r="L231" s="1022"/>
      <c r="M231" s="1022"/>
    </row>
    <row r="232" spans="1:13" ht="15.75" x14ac:dyDescent="0.25">
      <c r="A232" s="853"/>
      <c r="B232" s="871"/>
      <c r="C232" s="1022"/>
      <c r="D232" s="271"/>
      <c r="E232" s="869"/>
      <c r="F232" s="853"/>
      <c r="G232" s="853"/>
      <c r="H232" s="853"/>
      <c r="I232" s="1092"/>
      <c r="J232" s="1022"/>
      <c r="K232" s="1093"/>
      <c r="L232" s="1022"/>
      <c r="M232" s="1022"/>
    </row>
    <row r="233" spans="1:13" ht="15.75" x14ac:dyDescent="0.25">
      <c r="A233" s="853"/>
      <c r="B233" s="871"/>
      <c r="C233" s="1022"/>
      <c r="E233" s="869"/>
      <c r="F233" s="853"/>
      <c r="G233" s="853"/>
      <c r="H233" s="853"/>
      <c r="I233" s="1093"/>
      <c r="J233" s="1022"/>
      <c r="K233" s="1093"/>
      <c r="L233" s="1022"/>
      <c r="M233" s="1022"/>
    </row>
    <row r="234" spans="1:13" ht="15.75" x14ac:dyDescent="0.25">
      <c r="A234" s="853"/>
      <c r="B234" s="871"/>
      <c r="C234" s="853"/>
      <c r="D234" s="271"/>
      <c r="E234" s="869"/>
      <c r="F234" s="853"/>
      <c r="G234" s="853"/>
      <c r="H234" s="853"/>
      <c r="I234" s="869"/>
      <c r="J234" s="1022"/>
      <c r="K234" s="1093"/>
      <c r="L234" s="1022"/>
      <c r="M234" s="1022"/>
    </row>
    <row r="235" spans="1:13" ht="15.75" x14ac:dyDescent="0.25">
      <c r="A235" s="853"/>
      <c r="B235" s="871"/>
      <c r="C235" s="1022"/>
      <c r="D235" s="853"/>
      <c r="E235" s="869"/>
      <c r="F235" s="853"/>
      <c r="G235" s="853"/>
      <c r="H235" s="853"/>
      <c r="I235" s="869"/>
      <c r="J235" s="1022"/>
      <c r="K235" s="1093"/>
      <c r="L235" s="1022"/>
      <c r="M235" s="1022"/>
    </row>
    <row r="236" spans="1:13" ht="15.75" x14ac:dyDescent="0.25">
      <c r="A236" s="853"/>
      <c r="B236" s="871"/>
      <c r="C236" s="872"/>
      <c r="D236" s="853"/>
      <c r="E236" s="852"/>
      <c r="F236" s="853"/>
      <c r="G236" s="853"/>
      <c r="H236" s="853"/>
      <c r="I236" s="869"/>
      <c r="J236" s="1022"/>
      <c r="K236" s="869"/>
      <c r="L236" s="853"/>
      <c r="M236" s="853"/>
    </row>
    <row r="237" spans="1:13" ht="17.25" customHeight="1" x14ac:dyDescent="0.25">
      <c r="A237" s="853"/>
      <c r="B237" s="871"/>
      <c r="C237" s="872"/>
      <c r="D237" s="853"/>
      <c r="E237" s="852"/>
      <c r="F237" s="853"/>
      <c r="G237" s="853"/>
      <c r="H237" s="853"/>
      <c r="I237" s="869"/>
      <c r="J237" s="853"/>
      <c r="K237" s="869"/>
      <c r="L237" s="1022"/>
      <c r="M237" s="1022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53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53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53"/>
      <c r="M240" s="853"/>
    </row>
    <row r="241" spans="1:14" ht="17.25" customHeight="1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53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53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53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53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53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53"/>
      <c r="M246" s="853"/>
    </row>
    <row r="247" spans="1:14" ht="15.75" x14ac:dyDescent="0.25">
      <c r="A247" s="873"/>
      <c r="B247" s="874"/>
      <c r="C247" s="873"/>
      <c r="D247" s="873"/>
      <c r="E247" s="875"/>
      <c r="F247" s="873"/>
      <c r="G247" s="873"/>
      <c r="H247" s="873"/>
      <c r="I247" s="1094"/>
      <c r="J247" s="873"/>
      <c r="K247" s="1094"/>
      <c r="L247" s="873"/>
      <c r="M247" s="873"/>
    </row>
    <row r="248" spans="1:14" ht="15.75" x14ac:dyDescent="0.25">
      <c r="A248" s="873"/>
      <c r="B248" s="871"/>
      <c r="C248" s="873"/>
      <c r="D248" s="873"/>
      <c r="E248" s="875"/>
      <c r="F248" s="873"/>
      <c r="G248" s="873"/>
      <c r="H248" s="873"/>
      <c r="I248" s="1094"/>
      <c r="J248" s="873"/>
      <c r="K248" s="1094"/>
      <c r="L248" s="873"/>
      <c r="M248" s="873"/>
    </row>
    <row r="249" spans="1:14" ht="15.75" x14ac:dyDescent="0.25">
      <c r="A249" s="871"/>
      <c r="B249" s="871"/>
      <c r="C249" s="871"/>
      <c r="D249" s="871"/>
      <c r="E249" s="876"/>
      <c r="F249" s="877"/>
      <c r="G249" s="878"/>
      <c r="H249" s="879"/>
      <c r="I249" s="1095"/>
      <c r="J249" s="880"/>
      <c r="K249" s="1095"/>
      <c r="L249" s="880"/>
      <c r="M249" s="880"/>
    </row>
    <row r="250" spans="1:14" ht="15.75" x14ac:dyDescent="0.25">
      <c r="A250" s="1703" t="s">
        <v>1271</v>
      </c>
      <c r="B250" s="1703"/>
      <c r="C250" s="874"/>
      <c r="D250" s="874"/>
      <c r="E250" s="875"/>
      <c r="F250" s="873"/>
      <c r="G250" s="873"/>
      <c r="H250" s="1683" t="s">
        <v>852</v>
      </c>
      <c r="I250" s="1683"/>
      <c r="J250" s="1683"/>
      <c r="K250" s="1683"/>
      <c r="L250" s="1683"/>
      <c r="M250" s="1683"/>
    </row>
    <row r="251" spans="1:14" ht="15.75" x14ac:dyDescent="0.25">
      <c r="A251" s="930" t="s">
        <v>1376</v>
      </c>
      <c r="B251" s="871"/>
      <c r="C251" s="871"/>
      <c r="D251" s="871"/>
      <c r="E251" s="875"/>
      <c r="F251" s="873"/>
      <c r="H251" s="622"/>
      <c r="I251" s="1684" t="s">
        <v>1370</v>
      </c>
      <c r="J251" s="1684"/>
      <c r="K251" s="1684"/>
      <c r="L251" s="1684"/>
      <c r="M251" s="622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928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928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928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928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928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928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928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928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928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928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928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928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928"/>
      <c r="M264" s="928"/>
      <c r="N264" s="537"/>
    </row>
    <row r="265" spans="1:14" ht="15.75" x14ac:dyDescent="0.25">
      <c r="A265" s="874"/>
      <c r="B265" s="851"/>
      <c r="C265" s="874"/>
      <c r="D265" s="874"/>
      <c r="E265" s="883"/>
      <c r="F265" s="874"/>
      <c r="G265" s="884"/>
      <c r="H265" s="882"/>
      <c r="I265" s="1094"/>
      <c r="J265" s="885"/>
      <c r="K265" s="1096"/>
      <c r="L265" s="885"/>
      <c r="M265" s="885"/>
    </row>
  </sheetData>
  <mergeCells count="20">
    <mergeCell ref="A6:M6"/>
    <mergeCell ref="A8:M8"/>
    <mergeCell ref="A9:M9"/>
    <mergeCell ref="A10:M10"/>
    <mergeCell ref="A250:B250"/>
    <mergeCell ref="H250:M250"/>
    <mergeCell ref="I251:L251"/>
    <mergeCell ref="A7:N7"/>
    <mergeCell ref="H12:H13"/>
    <mergeCell ref="I12:I13"/>
    <mergeCell ref="J12:J13"/>
    <mergeCell ref="K12:K13"/>
    <mergeCell ref="L12:L13"/>
    <mergeCell ref="M12:M13"/>
    <mergeCell ref="A12:A13"/>
    <mergeCell ref="B12:B13"/>
    <mergeCell ref="C12:C13"/>
    <mergeCell ref="D12:D13"/>
    <mergeCell ref="F12:F13"/>
    <mergeCell ref="G12:G13"/>
  </mergeCells>
  <pageMargins left="0.85" right="0.23" top="0.15748031496062992" bottom="0" header="0.11811023622047245" footer="0"/>
  <pageSetup paperSize="345" scale="30" fitToHeight="0" orientation="landscape" r:id="rId1"/>
  <drawing r:id="rId2"/>
</worksheet>
</file>

<file path=xl/worksheets/sheet2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7B27D-02B2-4C3C-8CA4-FA4F8E028FEF}">
  <dimension ref="A1:S154"/>
  <sheetViews>
    <sheetView topLeftCell="A18" zoomScale="82" zoomScaleNormal="82" zoomScaleSheetLayoutView="70" workbookViewId="0">
      <selection activeCell="A9" sqref="A9:O9"/>
    </sheetView>
  </sheetViews>
  <sheetFormatPr baseColWidth="10" defaultRowHeight="15" x14ac:dyDescent="0.25"/>
  <cols>
    <col min="1" max="1" width="64" customWidth="1"/>
    <col min="2" max="2" width="9.7109375" customWidth="1"/>
    <col min="3" max="3" width="61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1452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709" t="s">
        <v>7</v>
      </c>
      <c r="B11" s="1709" t="s">
        <v>937</v>
      </c>
      <c r="C11" s="1712" t="s">
        <v>9</v>
      </c>
      <c r="D11" s="1709" t="s">
        <v>832</v>
      </c>
      <c r="E11" s="1709" t="s">
        <v>834</v>
      </c>
      <c r="F11" s="1709" t="s">
        <v>209</v>
      </c>
      <c r="G11" s="1051" t="s">
        <v>12</v>
      </c>
      <c r="H11" s="1711" t="s">
        <v>13</v>
      </c>
      <c r="I11" s="1710" t="s">
        <v>14</v>
      </c>
      <c r="J11" s="1710" t="s">
        <v>15</v>
      </c>
      <c r="K11" s="1710" t="s">
        <v>16</v>
      </c>
      <c r="L11" s="1722" t="s">
        <v>17</v>
      </c>
      <c r="M11" s="1710" t="s">
        <v>18</v>
      </c>
      <c r="N11" s="1710" t="s">
        <v>19</v>
      </c>
      <c r="O11" s="1710" t="s">
        <v>20</v>
      </c>
    </row>
    <row r="12" spans="1:15" x14ac:dyDescent="0.25">
      <c r="A12" s="1709"/>
      <c r="B12" s="1709"/>
      <c r="C12" s="1712"/>
      <c r="D12" s="1709"/>
      <c r="E12" s="1709"/>
      <c r="F12" s="1709"/>
      <c r="G12" s="1051" t="s">
        <v>21</v>
      </c>
      <c r="H12" s="1711"/>
      <c r="I12" s="1710"/>
      <c r="J12" s="1710"/>
      <c r="K12" s="1710"/>
      <c r="L12" s="1722"/>
      <c r="M12" s="1710"/>
      <c r="N12" s="1710"/>
      <c r="O12" s="1710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21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21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45597</v>
      </c>
      <c r="F33" s="855">
        <v>45748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1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1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ht="21" customHeight="1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ht="21" customHeight="1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21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21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ht="32.25" customHeight="1" x14ac:dyDescent="0.25">
      <c r="A41" s="1014" t="s">
        <v>1136</v>
      </c>
      <c r="B41" s="1015"/>
      <c r="C41" s="492"/>
      <c r="D41" s="465"/>
      <c r="E41" s="1019"/>
      <c r="F41" s="857"/>
      <c r="G41" s="695"/>
      <c r="H41" s="696"/>
      <c r="I41" s="697"/>
      <c r="J41" s="697"/>
      <c r="K41" s="697"/>
      <c r="L41" s="698"/>
      <c r="M41" s="676"/>
      <c r="N41" s="697"/>
      <c r="O41" s="697"/>
    </row>
    <row r="42" spans="1:15" ht="26.25" customHeight="1" x14ac:dyDescent="0.25">
      <c r="A42" s="286" t="s">
        <v>624</v>
      </c>
      <c r="B42" s="281" t="s">
        <v>806</v>
      </c>
      <c r="C42" s="749" t="s">
        <v>1425</v>
      </c>
      <c r="D42" s="281" t="s">
        <v>1063</v>
      </c>
      <c r="E42" s="855">
        <v>45474</v>
      </c>
      <c r="F42" s="855">
        <v>45658</v>
      </c>
      <c r="G42" s="626">
        <v>120000</v>
      </c>
      <c r="H42" s="627">
        <v>0</v>
      </c>
      <c r="I42" s="468">
        <v>120000</v>
      </c>
      <c r="J42" s="468">
        <v>3444</v>
      </c>
      <c r="K42" s="468">
        <v>16809.87</v>
      </c>
      <c r="L42" s="628">
        <v>3648</v>
      </c>
      <c r="M42" s="675">
        <v>2568.4</v>
      </c>
      <c r="N42" s="468">
        <f>+J42+K42+L42+M42</f>
        <v>26470.27</v>
      </c>
      <c r="O42" s="626">
        <f>+I42-N42</f>
        <v>93529.73</v>
      </c>
    </row>
    <row r="43" spans="1:15" ht="21" customHeight="1" x14ac:dyDescent="0.25">
      <c r="A43" s="496" t="s">
        <v>1352</v>
      </c>
      <c r="B43" s="497" t="s">
        <v>806</v>
      </c>
      <c r="C43" s="286" t="s">
        <v>1464</v>
      </c>
      <c r="D43" s="281" t="s">
        <v>1063</v>
      </c>
      <c r="E43" s="855">
        <v>45597</v>
      </c>
      <c r="F43" s="855">
        <v>45748</v>
      </c>
      <c r="G43" s="626">
        <v>55000</v>
      </c>
      <c r="H43" s="487">
        <v>0</v>
      </c>
      <c r="I43" s="457">
        <v>55000</v>
      </c>
      <c r="J43" s="457">
        <v>1578.5</v>
      </c>
      <c r="K43" s="457">
        <v>2559.6799999999998</v>
      </c>
      <c r="L43" s="628">
        <v>1672</v>
      </c>
      <c r="M43" s="675">
        <v>25</v>
      </c>
      <c r="N43" s="457">
        <v>5835.18</v>
      </c>
      <c r="O43" s="498">
        <f>+I43-N43</f>
        <v>49164.82</v>
      </c>
    </row>
    <row r="44" spans="1:15" ht="21" customHeight="1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175000</v>
      </c>
      <c r="H44" s="696">
        <f t="shared" ref="H44" si="8">SUM(H43)</f>
        <v>0</v>
      </c>
      <c r="I44" s="697">
        <f t="shared" ref="I44:O44" si="9">SUM(I42:I43)</f>
        <v>175000</v>
      </c>
      <c r="J44" s="697">
        <f t="shared" si="9"/>
        <v>5022.5</v>
      </c>
      <c r="K44" s="697">
        <f t="shared" si="9"/>
        <v>19369.55</v>
      </c>
      <c r="L44" s="697">
        <f t="shared" si="9"/>
        <v>5320</v>
      </c>
      <c r="M44" s="676">
        <f>SUM(M42:M43)</f>
        <v>2593.4</v>
      </c>
      <c r="N44" s="697">
        <f t="shared" si="9"/>
        <v>32305.45</v>
      </c>
      <c r="O44" s="697">
        <f t="shared" si="9"/>
        <v>142694.54999999999</v>
      </c>
    </row>
    <row r="45" spans="1:15" ht="21" customHeight="1" x14ac:dyDescent="0.25">
      <c r="A45" s="490"/>
      <c r="B45" s="491"/>
      <c r="C45" s="492"/>
      <c r="D45" s="465"/>
      <c r="E45" s="856"/>
      <c r="F45" s="857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21" customHeight="1" x14ac:dyDescent="0.25">
      <c r="A46" s="453" t="s">
        <v>787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3" customHeight="1" x14ac:dyDescent="0.25">
      <c r="A47" s="280" t="s">
        <v>1396</v>
      </c>
      <c r="B47" s="281" t="s">
        <v>806</v>
      </c>
      <c r="C47" s="282" t="s">
        <v>1357</v>
      </c>
      <c r="D47" s="281" t="s">
        <v>1063</v>
      </c>
      <c r="E47" s="855">
        <v>45444</v>
      </c>
      <c r="F47" s="855">
        <v>45627</v>
      </c>
      <c r="G47" s="626">
        <v>125000</v>
      </c>
      <c r="H47" s="487">
        <v>0</v>
      </c>
      <c r="I47" s="1038">
        <v>125000</v>
      </c>
      <c r="J47" s="1038">
        <v>3587.5</v>
      </c>
      <c r="K47" s="1037">
        <v>17985.990000000002</v>
      </c>
      <c r="L47" s="1038">
        <v>3800</v>
      </c>
      <c r="M47" s="1103">
        <v>25</v>
      </c>
      <c r="N47" s="468">
        <f t="shared" ref="N47:N53" si="10">+J47+K47+L47+M47</f>
        <v>25398.49</v>
      </c>
      <c r="O47" s="498">
        <f t="shared" ref="O47:O53" si="11">+I47-N47</f>
        <v>99601.51</v>
      </c>
    </row>
    <row r="48" spans="1:15" ht="33" customHeight="1" x14ac:dyDescent="0.25">
      <c r="A48" s="280" t="s">
        <v>1395</v>
      </c>
      <c r="B48" s="281" t="s">
        <v>806</v>
      </c>
      <c r="C48" s="282" t="s">
        <v>1357</v>
      </c>
      <c r="D48" s="281" t="s">
        <v>1063</v>
      </c>
      <c r="E48" s="855">
        <v>45444</v>
      </c>
      <c r="F48" s="855">
        <v>45627</v>
      </c>
      <c r="G48" s="626">
        <v>125000</v>
      </c>
      <c r="H48" s="487">
        <v>0</v>
      </c>
      <c r="I48" s="1038">
        <v>125000</v>
      </c>
      <c r="J48" s="1038">
        <v>3587.5</v>
      </c>
      <c r="K48" s="1037">
        <v>17985.990000000002</v>
      </c>
      <c r="L48" s="1038">
        <v>3800</v>
      </c>
      <c r="M48" s="1103">
        <v>25</v>
      </c>
      <c r="N48" s="468">
        <f t="shared" si="10"/>
        <v>25398.49</v>
      </c>
      <c r="O48" s="498">
        <f t="shared" si="11"/>
        <v>99601.51</v>
      </c>
    </row>
    <row r="49" spans="1:15" ht="33" customHeight="1" x14ac:dyDescent="0.25">
      <c r="A49" s="280" t="s">
        <v>1354</v>
      </c>
      <c r="B49" s="281" t="s">
        <v>806</v>
      </c>
      <c r="C49" s="282" t="s">
        <v>1355</v>
      </c>
      <c r="D49" s="281" t="s">
        <v>1063</v>
      </c>
      <c r="E49" s="855">
        <v>45597</v>
      </c>
      <c r="F49" s="855">
        <v>45748</v>
      </c>
      <c r="G49" s="626">
        <v>125000</v>
      </c>
      <c r="H49" s="487">
        <v>0</v>
      </c>
      <c r="I49" s="1038">
        <v>125000</v>
      </c>
      <c r="J49" s="1038">
        <v>3587.5</v>
      </c>
      <c r="K49" s="1037">
        <v>17985.990000000002</v>
      </c>
      <c r="L49" s="1038">
        <v>3800</v>
      </c>
      <c r="M49" s="1103">
        <v>25</v>
      </c>
      <c r="N49" s="468">
        <f t="shared" si="10"/>
        <v>25398.49</v>
      </c>
      <c r="O49" s="498">
        <f t="shared" si="11"/>
        <v>99601.51</v>
      </c>
    </row>
    <row r="50" spans="1:15" ht="33" customHeight="1" x14ac:dyDescent="0.25">
      <c r="A50" s="280" t="s">
        <v>548</v>
      </c>
      <c r="B50" s="281" t="s">
        <v>806</v>
      </c>
      <c r="C50" s="282" t="s">
        <v>1355</v>
      </c>
      <c r="D50" s="281" t="s">
        <v>1063</v>
      </c>
      <c r="E50" s="855">
        <v>45597</v>
      </c>
      <c r="F50" s="855">
        <v>45748</v>
      </c>
      <c r="G50" s="626">
        <v>125000</v>
      </c>
      <c r="H50" s="487">
        <v>0</v>
      </c>
      <c r="I50" s="1038">
        <v>125000</v>
      </c>
      <c r="J50" s="1038">
        <v>3587.5</v>
      </c>
      <c r="K50" s="1037">
        <v>17985.990000000002</v>
      </c>
      <c r="L50" s="1038">
        <v>3800</v>
      </c>
      <c r="M50" s="1103">
        <v>25</v>
      </c>
      <c r="N50" s="468">
        <f t="shared" si="10"/>
        <v>25398.49</v>
      </c>
      <c r="O50" s="498">
        <f t="shared" si="11"/>
        <v>99601.51</v>
      </c>
    </row>
    <row r="51" spans="1:15" ht="33" customHeight="1" x14ac:dyDescent="0.25">
      <c r="A51" s="280" t="s">
        <v>1356</v>
      </c>
      <c r="B51" s="281" t="s">
        <v>806</v>
      </c>
      <c r="C51" s="282" t="s">
        <v>1357</v>
      </c>
      <c r="D51" s="281" t="s">
        <v>1063</v>
      </c>
      <c r="E51" s="855">
        <v>45597</v>
      </c>
      <c r="F51" s="855">
        <v>45748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si="10"/>
        <v>25398.49</v>
      </c>
      <c r="O51" s="498">
        <f t="shared" si="11"/>
        <v>99601.51</v>
      </c>
    </row>
    <row r="52" spans="1:15" ht="33" customHeight="1" x14ac:dyDescent="0.25">
      <c r="A52" s="280" t="s">
        <v>243</v>
      </c>
      <c r="B52" s="281" t="s">
        <v>806</v>
      </c>
      <c r="C52" s="282" t="s">
        <v>1357</v>
      </c>
      <c r="D52" s="281" t="s">
        <v>1063</v>
      </c>
      <c r="E52" s="855">
        <v>45597</v>
      </c>
      <c r="F52" s="855">
        <v>45748</v>
      </c>
      <c r="G52" s="626">
        <v>115000</v>
      </c>
      <c r="H52" s="487">
        <v>0</v>
      </c>
      <c r="I52" s="1038">
        <v>115000</v>
      </c>
      <c r="J52" s="1038">
        <v>3300.5</v>
      </c>
      <c r="K52" s="1038">
        <v>15633.74</v>
      </c>
      <c r="L52" s="1039">
        <v>3496</v>
      </c>
      <c r="M52" s="1103">
        <v>25</v>
      </c>
      <c r="N52" s="468">
        <f t="shared" si="10"/>
        <v>22455.239999999998</v>
      </c>
      <c r="O52" s="498">
        <f t="shared" si="11"/>
        <v>92544.760000000009</v>
      </c>
    </row>
    <row r="53" spans="1:15" ht="33" customHeight="1" x14ac:dyDescent="0.25">
      <c r="A53" s="280" t="s">
        <v>116</v>
      </c>
      <c r="B53" s="281" t="s">
        <v>807</v>
      </c>
      <c r="C53" s="282" t="s">
        <v>1357</v>
      </c>
      <c r="D53" s="281" t="s">
        <v>1063</v>
      </c>
      <c r="E53" s="855">
        <v>45597</v>
      </c>
      <c r="F53" s="855">
        <v>45748</v>
      </c>
      <c r="G53" s="626">
        <v>115000</v>
      </c>
      <c r="H53" s="627">
        <v>0</v>
      </c>
      <c r="I53" s="1038">
        <v>115000</v>
      </c>
      <c r="J53" s="1038">
        <v>3300.5</v>
      </c>
      <c r="K53" s="1038">
        <v>15204.88</v>
      </c>
      <c r="L53" s="1039">
        <v>3496</v>
      </c>
      <c r="M53" s="1103">
        <v>1740.46</v>
      </c>
      <c r="N53" s="468">
        <f t="shared" si="10"/>
        <v>23741.839999999997</v>
      </c>
      <c r="O53" s="626">
        <f t="shared" si="11"/>
        <v>91258.16</v>
      </c>
    </row>
    <row r="54" spans="1:15" ht="21" customHeight="1" x14ac:dyDescent="0.25">
      <c r="A54" s="466" t="s">
        <v>813</v>
      </c>
      <c r="B54" s="465"/>
      <c r="C54" s="492">
        <v>7</v>
      </c>
      <c r="D54" s="465"/>
      <c r="E54" s="500"/>
      <c r="F54" s="855"/>
      <c r="G54" s="697">
        <f>SUM(G47:G53)</f>
        <v>855000</v>
      </c>
      <c r="H54" s="696">
        <f t="shared" ref="H54" si="12">SUM(H53)</f>
        <v>0</v>
      </c>
      <c r="I54" s="697">
        <f t="shared" ref="I54:O54" si="13">SUM(I47:I53)</f>
        <v>855000</v>
      </c>
      <c r="J54" s="697">
        <f t="shared" si="13"/>
        <v>24538.5</v>
      </c>
      <c r="K54" s="697">
        <f t="shared" si="13"/>
        <v>120768.57000000002</v>
      </c>
      <c r="L54" s="697">
        <f t="shared" si="13"/>
        <v>25992</v>
      </c>
      <c r="M54" s="676">
        <f t="shared" si="13"/>
        <v>1890.46</v>
      </c>
      <c r="N54" s="697">
        <f t="shared" si="13"/>
        <v>173189.53</v>
      </c>
      <c r="O54" s="697">
        <f t="shared" si="13"/>
        <v>681810.47000000009</v>
      </c>
    </row>
    <row r="55" spans="1:15" ht="21" customHeight="1" x14ac:dyDescent="0.25">
      <c r="A55" s="466"/>
      <c r="B55" s="465"/>
      <c r="C55" s="492"/>
      <c r="D55" s="465"/>
      <c r="E55" s="500"/>
      <c r="F55" s="855"/>
      <c r="G55" s="697"/>
      <c r="H55" s="697"/>
      <c r="I55" s="697"/>
      <c r="J55" s="697"/>
      <c r="K55" s="697"/>
      <c r="L55" s="697"/>
      <c r="M55" s="676"/>
      <c r="N55" s="697"/>
      <c r="O55" s="697"/>
    </row>
    <row r="56" spans="1:15" ht="21" customHeight="1" x14ac:dyDescent="0.25">
      <c r="A56" s="466" t="s">
        <v>821</v>
      </c>
      <c r="B56" s="465"/>
      <c r="C56" s="492"/>
      <c r="D56" s="465"/>
      <c r="E56" s="500"/>
      <c r="F56" s="855"/>
      <c r="G56" s="695"/>
      <c r="H56" s="696"/>
      <c r="I56" s="697"/>
      <c r="J56" s="697"/>
      <c r="K56" s="697"/>
      <c r="L56" s="698"/>
      <c r="M56" s="676"/>
      <c r="N56" s="697"/>
      <c r="O56" s="697"/>
    </row>
    <row r="57" spans="1:15" ht="30" customHeight="1" x14ac:dyDescent="0.25">
      <c r="A57" s="286" t="s">
        <v>593</v>
      </c>
      <c r="B57" s="497" t="s">
        <v>806</v>
      </c>
      <c r="C57" s="282" t="s">
        <v>1361</v>
      </c>
      <c r="D57" s="281" t="s">
        <v>1063</v>
      </c>
      <c r="E57" s="855">
        <v>45597</v>
      </c>
      <c r="F57" s="855">
        <v>45748</v>
      </c>
      <c r="G57" s="626">
        <v>150000</v>
      </c>
      <c r="H57" s="487">
        <v>0</v>
      </c>
      <c r="I57" s="457">
        <v>150000</v>
      </c>
      <c r="J57" s="457">
        <v>4305</v>
      </c>
      <c r="K57" s="457">
        <v>23866.62</v>
      </c>
      <c r="L57" s="628">
        <v>4560</v>
      </c>
      <c r="M57" s="675">
        <v>25</v>
      </c>
      <c r="N57" s="457">
        <f>+J57+K57+L57+M57</f>
        <v>32756.62</v>
      </c>
      <c r="O57" s="457">
        <f>+I57-N57</f>
        <v>117243.38</v>
      </c>
    </row>
    <row r="58" spans="1:15" ht="30" customHeight="1" x14ac:dyDescent="0.25">
      <c r="A58" s="286" t="s">
        <v>822</v>
      </c>
      <c r="B58" s="497" t="s">
        <v>806</v>
      </c>
      <c r="C58" s="282" t="s">
        <v>71</v>
      </c>
      <c r="D58" s="281" t="s">
        <v>1063</v>
      </c>
      <c r="E58" s="855">
        <v>45597</v>
      </c>
      <c r="F58" s="855">
        <v>45748</v>
      </c>
      <c r="G58" s="626">
        <v>70000</v>
      </c>
      <c r="H58" s="487">
        <v>0</v>
      </c>
      <c r="I58" s="457">
        <v>70000</v>
      </c>
      <c r="J58" s="457">
        <v>2009</v>
      </c>
      <c r="K58" s="457">
        <v>5368.48</v>
      </c>
      <c r="L58" s="468">
        <v>2128</v>
      </c>
      <c r="M58" s="675">
        <v>25</v>
      </c>
      <c r="N58" s="457">
        <f>+J58+K58+L58+M58</f>
        <v>9530.48</v>
      </c>
      <c r="O58" s="457">
        <f>+I58-N58</f>
        <v>60469.520000000004</v>
      </c>
    </row>
    <row r="59" spans="1:15" ht="30" customHeight="1" x14ac:dyDescent="0.25">
      <c r="A59" s="286" t="s">
        <v>1288</v>
      </c>
      <c r="B59" s="497" t="s">
        <v>807</v>
      </c>
      <c r="C59" s="282" t="s">
        <v>417</v>
      </c>
      <c r="D59" s="281" t="s">
        <v>1063</v>
      </c>
      <c r="E59" s="855">
        <v>45566</v>
      </c>
      <c r="F59" s="855">
        <v>45717</v>
      </c>
      <c r="G59" s="626">
        <v>65000</v>
      </c>
      <c r="H59" s="487">
        <v>0</v>
      </c>
      <c r="I59" s="457">
        <v>65000</v>
      </c>
      <c r="J59" s="457">
        <v>1865.5</v>
      </c>
      <c r="K59" s="457">
        <v>4427.58</v>
      </c>
      <c r="L59" s="468">
        <v>1976</v>
      </c>
      <c r="M59" s="675">
        <v>25</v>
      </c>
      <c r="N59" s="457">
        <f>+J59+K59+L59+M59</f>
        <v>8294.08</v>
      </c>
      <c r="O59" s="457">
        <f>+I59-N59</f>
        <v>56705.919999999998</v>
      </c>
    </row>
    <row r="60" spans="1:15" ht="30" customHeight="1" x14ac:dyDescent="0.25">
      <c r="A60" s="286" t="s">
        <v>1290</v>
      </c>
      <c r="B60" s="497" t="s">
        <v>1151</v>
      </c>
      <c r="C60" s="282" t="s">
        <v>417</v>
      </c>
      <c r="D60" s="281" t="s">
        <v>1063</v>
      </c>
      <c r="E60" s="855">
        <v>45566</v>
      </c>
      <c r="F60" s="855">
        <v>45717</v>
      </c>
      <c r="G60" s="626">
        <v>65000</v>
      </c>
      <c r="H60" s="487">
        <v>0</v>
      </c>
      <c r="I60" s="457">
        <v>65000</v>
      </c>
      <c r="J60" s="457">
        <v>1865.5</v>
      </c>
      <c r="K60" s="457">
        <v>4427.58</v>
      </c>
      <c r="L60" s="468">
        <v>1976</v>
      </c>
      <c r="M60" s="675">
        <v>25</v>
      </c>
      <c r="N60" s="457">
        <f>+J60+K60+L60+M60</f>
        <v>8294.08</v>
      </c>
      <c r="O60" s="457">
        <f>+I60-N60</f>
        <v>56705.919999999998</v>
      </c>
    </row>
    <row r="61" spans="1:15" ht="21" customHeight="1" x14ac:dyDescent="0.25">
      <c r="A61" s="466" t="s">
        <v>813</v>
      </c>
      <c r="B61" s="465"/>
      <c r="C61" s="492">
        <v>4</v>
      </c>
      <c r="D61" s="465"/>
      <c r="E61" s="500"/>
      <c r="F61" s="855"/>
      <c r="G61" s="695">
        <f>SUM(G57:G60)</f>
        <v>350000</v>
      </c>
      <c r="H61" s="696">
        <f t="shared" ref="H61" si="14">SUM(H60)</f>
        <v>0</v>
      </c>
      <c r="I61" s="695">
        <f t="shared" ref="I61:O61" si="15">SUM(I57:I60)</f>
        <v>350000</v>
      </c>
      <c r="J61" s="695">
        <f t="shared" si="15"/>
        <v>10045</v>
      </c>
      <c r="K61" s="695">
        <f t="shared" si="15"/>
        <v>38090.26</v>
      </c>
      <c r="L61" s="695">
        <f t="shared" si="15"/>
        <v>10640</v>
      </c>
      <c r="M61" s="1099">
        <f t="shared" si="15"/>
        <v>100</v>
      </c>
      <c r="N61" s="695">
        <f t="shared" si="15"/>
        <v>58875.26</v>
      </c>
      <c r="O61" s="695">
        <f t="shared" si="15"/>
        <v>291124.74</v>
      </c>
    </row>
    <row r="62" spans="1:15" ht="21" customHeight="1" x14ac:dyDescent="0.25">
      <c r="A62" s="490"/>
      <c r="B62" s="491"/>
      <c r="C62" s="492"/>
      <c r="D62" s="465"/>
      <c r="E62" s="856"/>
      <c r="F62" s="857"/>
      <c r="G62" s="695"/>
      <c r="H62" s="495"/>
      <c r="I62" s="494"/>
      <c r="J62" s="494"/>
      <c r="K62" s="494"/>
      <c r="L62" s="695"/>
      <c r="M62" s="1099"/>
      <c r="N62" s="494"/>
      <c r="O62" s="494"/>
    </row>
    <row r="63" spans="1:15" ht="21" customHeight="1" x14ac:dyDescent="0.25">
      <c r="A63" s="490" t="s">
        <v>629</v>
      </c>
      <c r="B63" s="491"/>
      <c r="C63" s="492"/>
      <c r="D63" s="492"/>
      <c r="E63" s="856"/>
      <c r="F63" s="857"/>
      <c r="G63" s="695"/>
      <c r="H63" s="495"/>
      <c r="I63" s="463"/>
      <c r="J63" s="463"/>
      <c r="K63" s="463"/>
      <c r="L63" s="697"/>
      <c r="M63" s="676"/>
      <c r="N63" s="463"/>
      <c r="O63" s="463"/>
    </row>
    <row r="64" spans="1:15" ht="21" customHeight="1" x14ac:dyDescent="0.25">
      <c r="A64" s="496" t="s">
        <v>568</v>
      </c>
      <c r="B64" s="497" t="s">
        <v>807</v>
      </c>
      <c r="C64" s="282" t="s">
        <v>1427</v>
      </c>
      <c r="D64" s="281" t="s">
        <v>1063</v>
      </c>
      <c r="E64" s="855">
        <v>45597</v>
      </c>
      <c r="F64" s="855">
        <v>45748</v>
      </c>
      <c r="G64" s="626">
        <v>185000</v>
      </c>
      <c r="H64" s="487">
        <v>0</v>
      </c>
      <c r="I64" s="457">
        <v>185000</v>
      </c>
      <c r="J64" s="457">
        <v>5309.5</v>
      </c>
      <c r="K64" s="457">
        <v>32099.49</v>
      </c>
      <c r="L64" s="468">
        <v>5624</v>
      </c>
      <c r="M64" s="675">
        <v>4557.26</v>
      </c>
      <c r="N64" s="457">
        <f>+J64+K64+L64+M64</f>
        <v>47590.250000000007</v>
      </c>
      <c r="O64" s="457">
        <f>+I64-N64</f>
        <v>137409.75</v>
      </c>
    </row>
    <row r="65" spans="1:15" ht="21" customHeight="1" x14ac:dyDescent="0.25">
      <c r="A65" s="466" t="s">
        <v>813</v>
      </c>
      <c r="B65" s="465"/>
      <c r="C65" s="492">
        <v>1</v>
      </c>
      <c r="D65" s="492"/>
      <c r="E65" s="1016"/>
      <c r="F65" s="855"/>
      <c r="G65" s="695">
        <f>+G64</f>
        <v>185000</v>
      </c>
      <c r="H65" s="696">
        <f t="shared" ref="H65:O65" si="16">SUM(H64)</f>
        <v>0</v>
      </c>
      <c r="I65" s="695">
        <f t="shared" si="16"/>
        <v>185000</v>
      </c>
      <c r="J65" s="695">
        <f t="shared" si="16"/>
        <v>5309.5</v>
      </c>
      <c r="K65" s="695">
        <f t="shared" si="16"/>
        <v>32099.49</v>
      </c>
      <c r="L65" s="695">
        <f t="shared" si="16"/>
        <v>5624</v>
      </c>
      <c r="M65" s="1099">
        <f>SUM(M64)</f>
        <v>4557.26</v>
      </c>
      <c r="N65" s="695">
        <f t="shared" si="16"/>
        <v>47590.250000000007</v>
      </c>
      <c r="O65" s="695">
        <f t="shared" si="16"/>
        <v>137409.75</v>
      </c>
    </row>
    <row r="66" spans="1:15" ht="21" customHeight="1" x14ac:dyDescent="0.25">
      <c r="A66" s="490"/>
      <c r="B66" s="491"/>
      <c r="C66" s="492"/>
      <c r="D66" s="492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69" t="s">
        <v>1198</v>
      </c>
      <c r="B67" s="491"/>
      <c r="C67" s="625"/>
      <c r="D67" s="281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ht="21" customHeight="1" x14ac:dyDescent="0.25">
      <c r="A68" s="573" t="s">
        <v>946</v>
      </c>
      <c r="B68" s="602" t="s">
        <v>806</v>
      </c>
      <c r="C68" s="625" t="s">
        <v>945</v>
      </c>
      <c r="D68" s="281" t="s">
        <v>1063</v>
      </c>
      <c r="E68" s="855">
        <v>45597</v>
      </c>
      <c r="F68" s="855">
        <v>45748</v>
      </c>
      <c r="G68" s="626">
        <v>60000</v>
      </c>
      <c r="H68" s="487">
        <v>0</v>
      </c>
      <c r="I68" s="498">
        <v>60000</v>
      </c>
      <c r="J68" s="498">
        <v>1722</v>
      </c>
      <c r="K68" s="498">
        <v>3486.68</v>
      </c>
      <c r="L68" s="626">
        <v>1824</v>
      </c>
      <c r="M68" s="1100">
        <v>25</v>
      </c>
      <c r="N68" s="457">
        <f>+J68+K68+L68+M68</f>
        <v>7057.68</v>
      </c>
      <c r="O68" s="457">
        <f>+I68-N68</f>
        <v>52942.32</v>
      </c>
    </row>
    <row r="69" spans="1:15" ht="21" customHeight="1" x14ac:dyDescent="0.25">
      <c r="A69" s="573" t="s">
        <v>1397</v>
      </c>
      <c r="B69" s="602" t="s">
        <v>806</v>
      </c>
      <c r="C69" s="625" t="s">
        <v>157</v>
      </c>
      <c r="D69" s="281" t="s">
        <v>1063</v>
      </c>
      <c r="E69" s="855">
        <v>45444</v>
      </c>
      <c r="F69" s="855">
        <v>45627</v>
      </c>
      <c r="G69" s="626">
        <v>60000</v>
      </c>
      <c r="H69" s="487">
        <v>0</v>
      </c>
      <c r="I69" s="498">
        <v>60000</v>
      </c>
      <c r="J69" s="498">
        <v>1722</v>
      </c>
      <c r="K69" s="498">
        <v>3486.68</v>
      </c>
      <c r="L69" s="626">
        <v>1824</v>
      </c>
      <c r="M69" s="1100">
        <v>25</v>
      </c>
      <c r="N69" s="457">
        <f>+J69+K69+L69+M69</f>
        <v>7057.68</v>
      </c>
      <c r="O69" s="457">
        <f>+I69-N69</f>
        <v>52942.32</v>
      </c>
    </row>
    <row r="70" spans="1:15" ht="21" customHeight="1" x14ac:dyDescent="0.25">
      <c r="A70" s="466" t="s">
        <v>813</v>
      </c>
      <c r="B70" s="465"/>
      <c r="C70" s="492">
        <v>2</v>
      </c>
      <c r="D70" s="492"/>
      <c r="E70" s="1016"/>
      <c r="F70" s="860"/>
      <c r="G70" s="695">
        <f>SUM(G68:G69)</f>
        <v>120000</v>
      </c>
      <c r="H70" s="696">
        <f t="shared" ref="H70" si="17">SUM(H69)</f>
        <v>0</v>
      </c>
      <c r="I70" s="695">
        <f t="shared" ref="I70:O70" si="18">SUM(I68:I69)</f>
        <v>120000</v>
      </c>
      <c r="J70" s="695">
        <f t="shared" si="18"/>
        <v>3444</v>
      </c>
      <c r="K70" s="695">
        <f t="shared" si="18"/>
        <v>6973.36</v>
      </c>
      <c r="L70" s="695">
        <f t="shared" si="18"/>
        <v>3648</v>
      </c>
      <c r="M70" s="1099">
        <f>SUM(M68:M69)</f>
        <v>50</v>
      </c>
      <c r="N70" s="695">
        <f t="shared" si="18"/>
        <v>14115.36</v>
      </c>
      <c r="O70" s="695">
        <f t="shared" si="18"/>
        <v>105884.64</v>
      </c>
    </row>
    <row r="71" spans="1:15" ht="21" customHeight="1" x14ac:dyDescent="0.25">
      <c r="A71" s="490"/>
      <c r="B71" s="491"/>
      <c r="C71" s="492"/>
      <c r="D71" s="492"/>
      <c r="E71" s="859"/>
      <c r="F71" s="860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490" t="s">
        <v>1421</v>
      </c>
      <c r="B72" s="491"/>
      <c r="C72" s="492"/>
      <c r="D72" s="492"/>
      <c r="E72" s="859"/>
      <c r="F72" s="860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ht="21" customHeight="1" x14ac:dyDescent="0.25">
      <c r="A73" s="286" t="s">
        <v>715</v>
      </c>
      <c r="B73" s="281" t="s">
        <v>807</v>
      </c>
      <c r="C73" s="282" t="s">
        <v>1422</v>
      </c>
      <c r="D73" s="281" t="s">
        <v>1063</v>
      </c>
      <c r="E73" s="859">
        <v>45505</v>
      </c>
      <c r="F73" s="860">
        <v>45323</v>
      </c>
      <c r="G73" s="626">
        <v>100000</v>
      </c>
      <c r="H73" s="487">
        <v>0</v>
      </c>
      <c r="I73" s="498">
        <v>100000</v>
      </c>
      <c r="J73" s="498">
        <v>2870</v>
      </c>
      <c r="K73" s="498">
        <v>11676.5</v>
      </c>
      <c r="L73" s="626">
        <v>3040</v>
      </c>
      <c r="M73" s="1100">
        <v>5026.04</v>
      </c>
      <c r="N73" s="457">
        <v>22612.54</v>
      </c>
      <c r="O73" s="498">
        <v>77387.460000000006</v>
      </c>
    </row>
    <row r="74" spans="1:15" ht="21" customHeight="1" x14ac:dyDescent="0.25">
      <c r="A74" s="466" t="s">
        <v>813</v>
      </c>
      <c r="B74" s="281"/>
      <c r="C74" s="492">
        <v>1</v>
      </c>
      <c r="D74" s="281"/>
      <c r="E74" s="859"/>
      <c r="F74" s="860"/>
      <c r="G74" s="695">
        <v>100000</v>
      </c>
      <c r="H74" s="495">
        <v>0</v>
      </c>
      <c r="I74" s="494">
        <v>100000</v>
      </c>
      <c r="J74" s="494">
        <v>2870</v>
      </c>
      <c r="K74" s="494">
        <v>11676.5</v>
      </c>
      <c r="L74" s="695">
        <v>3040</v>
      </c>
      <c r="M74" s="1099">
        <v>5026.04</v>
      </c>
      <c r="N74" s="463">
        <v>22612.54</v>
      </c>
      <c r="O74" s="494">
        <v>77387.460000000006</v>
      </c>
    </row>
    <row r="75" spans="1:15" ht="21" customHeight="1" x14ac:dyDescent="0.25">
      <c r="A75" s="286"/>
      <c r="B75" s="281"/>
      <c r="C75" s="28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1398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32.25" customHeight="1" x14ac:dyDescent="0.25">
      <c r="A77" s="496" t="s">
        <v>1399</v>
      </c>
      <c r="B77" s="497" t="s">
        <v>807</v>
      </c>
      <c r="C77" s="282" t="s">
        <v>1400</v>
      </c>
      <c r="D77" s="282" t="s">
        <v>1281</v>
      </c>
      <c r="E77" s="855">
        <v>45444</v>
      </c>
      <c r="F77" s="855">
        <v>45627</v>
      </c>
      <c r="G77" s="626">
        <v>120000</v>
      </c>
      <c r="H77" s="487">
        <v>0</v>
      </c>
      <c r="I77" s="498">
        <v>120000</v>
      </c>
      <c r="J77" s="498">
        <v>3444</v>
      </c>
      <c r="K77" s="498">
        <v>16809.87</v>
      </c>
      <c r="L77" s="626">
        <v>3648</v>
      </c>
      <c r="M77" s="1100">
        <v>4169.3999999999996</v>
      </c>
      <c r="N77" s="457">
        <v>28071.27</v>
      </c>
      <c r="O77" s="457">
        <f>+I77-N77</f>
        <v>91928.73</v>
      </c>
    </row>
    <row r="78" spans="1:15" ht="21" customHeight="1" x14ac:dyDescent="0.25">
      <c r="A78" s="466" t="s">
        <v>813</v>
      </c>
      <c r="B78" s="491"/>
      <c r="C78" s="492">
        <v>1</v>
      </c>
      <c r="D78" s="492"/>
      <c r="E78" s="859"/>
      <c r="F78" s="860"/>
      <c r="G78" s="695">
        <f>SUM(G77)</f>
        <v>120000</v>
      </c>
      <c r="H78" s="696">
        <f t="shared" ref="H78:N78" si="19">SUM(H77)</f>
        <v>0</v>
      </c>
      <c r="I78" s="695">
        <f t="shared" si="19"/>
        <v>120000</v>
      </c>
      <c r="J78" s="695">
        <f t="shared" si="19"/>
        <v>3444</v>
      </c>
      <c r="K78" s="695">
        <f t="shared" si="19"/>
        <v>16809.87</v>
      </c>
      <c r="L78" s="695">
        <f t="shared" si="19"/>
        <v>3648</v>
      </c>
      <c r="M78" s="1099">
        <f>SUM(M77)</f>
        <v>4169.3999999999996</v>
      </c>
      <c r="N78" s="695">
        <f t="shared" si="19"/>
        <v>28071.27</v>
      </c>
      <c r="O78" s="695">
        <f>SUM(O77)</f>
        <v>91928.73</v>
      </c>
    </row>
    <row r="79" spans="1:15" ht="21" customHeight="1" x14ac:dyDescent="0.25">
      <c r="A79" s="1014" t="s">
        <v>978</v>
      </c>
      <c r="B79" s="1015"/>
      <c r="C79" s="492"/>
      <c r="D79" s="465"/>
      <c r="E79" s="1016"/>
      <c r="F79" s="860"/>
      <c r="G79" s="695"/>
      <c r="H79" s="696"/>
      <c r="I79" s="697"/>
      <c r="J79" s="697"/>
      <c r="K79" s="697"/>
      <c r="L79" s="698"/>
      <c r="M79" s="676"/>
      <c r="N79" s="697"/>
      <c r="O79" s="697"/>
    </row>
    <row r="80" spans="1:15" ht="21" customHeight="1" x14ac:dyDescent="0.25">
      <c r="A80" s="1017" t="s">
        <v>1045</v>
      </c>
      <c r="B80" s="1018" t="s">
        <v>806</v>
      </c>
      <c r="C80" s="282" t="s">
        <v>78</v>
      </c>
      <c r="D80" s="281" t="s">
        <v>1063</v>
      </c>
      <c r="E80" s="855">
        <v>45597</v>
      </c>
      <c r="F80" s="855">
        <v>45748</v>
      </c>
      <c r="G80" s="626">
        <v>70000</v>
      </c>
      <c r="H80" s="627">
        <v>0</v>
      </c>
      <c r="I80" s="468">
        <v>70000</v>
      </c>
      <c r="J80" s="468">
        <v>2009</v>
      </c>
      <c r="K80" s="468">
        <v>5368.48</v>
      </c>
      <c r="L80" s="628">
        <v>2128</v>
      </c>
      <c r="M80" s="675">
        <v>25</v>
      </c>
      <c r="N80" s="468">
        <f t="shared" ref="N80:N85" si="20">+J80+K80+L80+M80</f>
        <v>9530.48</v>
      </c>
      <c r="O80" s="468">
        <f t="shared" ref="O80:O85" si="21">+I80-N80</f>
        <v>60469.520000000004</v>
      </c>
    </row>
    <row r="81" spans="1:15" ht="21" customHeight="1" x14ac:dyDescent="0.25">
      <c r="A81" s="286" t="s">
        <v>611</v>
      </c>
      <c r="B81" s="281" t="s">
        <v>807</v>
      </c>
      <c r="C81" s="282" t="s">
        <v>918</v>
      </c>
      <c r="D81" s="281" t="s">
        <v>1063</v>
      </c>
      <c r="E81" s="855">
        <v>45597</v>
      </c>
      <c r="F81" s="855">
        <v>45748</v>
      </c>
      <c r="G81" s="626">
        <v>70000</v>
      </c>
      <c r="H81" s="627">
        <v>0</v>
      </c>
      <c r="I81" s="468">
        <v>70000</v>
      </c>
      <c r="J81" s="468">
        <v>2009</v>
      </c>
      <c r="K81" s="468">
        <v>5368.48</v>
      </c>
      <c r="L81" s="628">
        <v>2128</v>
      </c>
      <c r="M81" s="675">
        <v>25</v>
      </c>
      <c r="N81" s="468">
        <f t="shared" si="20"/>
        <v>9530.48</v>
      </c>
      <c r="O81" s="468">
        <f t="shared" si="21"/>
        <v>60469.520000000004</v>
      </c>
    </row>
    <row r="82" spans="1:15" ht="21" customHeight="1" x14ac:dyDescent="0.25">
      <c r="A82" s="286" t="s">
        <v>610</v>
      </c>
      <c r="B82" s="281" t="s">
        <v>806</v>
      </c>
      <c r="C82" s="282" t="s">
        <v>918</v>
      </c>
      <c r="D82" s="281" t="s">
        <v>1063</v>
      </c>
      <c r="E82" s="855">
        <v>45597</v>
      </c>
      <c r="F82" s="855">
        <v>45748</v>
      </c>
      <c r="G82" s="626">
        <v>70000</v>
      </c>
      <c r="H82" s="627">
        <v>0</v>
      </c>
      <c r="I82" s="468">
        <v>70000</v>
      </c>
      <c r="J82" s="468">
        <v>2009</v>
      </c>
      <c r="K82" s="468">
        <v>5368.48</v>
      </c>
      <c r="L82" s="628">
        <v>2128</v>
      </c>
      <c r="M82" s="675">
        <v>25</v>
      </c>
      <c r="N82" s="468">
        <f t="shared" si="20"/>
        <v>9530.48</v>
      </c>
      <c r="O82" s="468">
        <f t="shared" si="21"/>
        <v>60469.520000000004</v>
      </c>
    </row>
    <row r="83" spans="1:15" ht="21" customHeight="1" x14ac:dyDescent="0.25">
      <c r="A83" s="286" t="s">
        <v>1292</v>
      </c>
      <c r="B83" s="281" t="s">
        <v>806</v>
      </c>
      <c r="C83" s="282" t="s">
        <v>918</v>
      </c>
      <c r="D83" s="281" t="s">
        <v>1063</v>
      </c>
      <c r="E83" s="855">
        <v>45566</v>
      </c>
      <c r="F83" s="855">
        <v>45717</v>
      </c>
      <c r="G83" s="626">
        <v>65000</v>
      </c>
      <c r="H83" s="627">
        <v>0</v>
      </c>
      <c r="I83" s="468">
        <v>65000</v>
      </c>
      <c r="J83" s="468">
        <v>1865.5</v>
      </c>
      <c r="K83" s="468">
        <v>4427.58</v>
      </c>
      <c r="L83" s="628">
        <v>1976</v>
      </c>
      <c r="M83" s="675">
        <v>25</v>
      </c>
      <c r="N83" s="468">
        <f t="shared" si="20"/>
        <v>8294.08</v>
      </c>
      <c r="O83" s="468">
        <f t="shared" si="21"/>
        <v>56705.919999999998</v>
      </c>
    </row>
    <row r="84" spans="1:15" ht="21" customHeight="1" x14ac:dyDescent="0.25">
      <c r="A84" s="286" t="s">
        <v>1295</v>
      </c>
      <c r="B84" s="281" t="s">
        <v>1296</v>
      </c>
      <c r="C84" s="282" t="s">
        <v>918</v>
      </c>
      <c r="D84" s="281" t="s">
        <v>1063</v>
      </c>
      <c r="E84" s="855">
        <v>45566</v>
      </c>
      <c r="F84" s="855">
        <v>45717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4427.58</v>
      </c>
      <c r="L84" s="628">
        <v>1976</v>
      </c>
      <c r="M84" s="675">
        <v>25</v>
      </c>
      <c r="N84" s="468">
        <f t="shared" si="20"/>
        <v>8294.08</v>
      </c>
      <c r="O84" s="468">
        <f t="shared" si="21"/>
        <v>56705.919999999998</v>
      </c>
    </row>
    <row r="85" spans="1:15" ht="21" customHeight="1" x14ac:dyDescent="0.25">
      <c r="A85" s="286" t="s">
        <v>1293</v>
      </c>
      <c r="B85" s="281" t="s">
        <v>807</v>
      </c>
      <c r="C85" s="282" t="s">
        <v>1294</v>
      </c>
      <c r="D85" s="281" t="s">
        <v>1063</v>
      </c>
      <c r="E85" s="855">
        <v>45566</v>
      </c>
      <c r="F85" s="855">
        <v>45717</v>
      </c>
      <c r="G85" s="626">
        <v>55000</v>
      </c>
      <c r="H85" s="627">
        <v>0</v>
      </c>
      <c r="I85" s="468">
        <v>55000</v>
      </c>
      <c r="J85" s="468">
        <v>1578.5</v>
      </c>
      <c r="K85" s="468">
        <v>2559.6799999999998</v>
      </c>
      <c r="L85" s="628">
        <v>1672</v>
      </c>
      <c r="M85" s="675">
        <v>25</v>
      </c>
      <c r="N85" s="468">
        <f t="shared" si="20"/>
        <v>5835.18</v>
      </c>
      <c r="O85" s="468">
        <f t="shared" si="21"/>
        <v>49164.82</v>
      </c>
    </row>
    <row r="86" spans="1:15" ht="21" customHeight="1" x14ac:dyDescent="0.25">
      <c r="A86" s="466" t="s">
        <v>813</v>
      </c>
      <c r="B86" s="465"/>
      <c r="C86" s="492">
        <v>6</v>
      </c>
      <c r="D86" s="465"/>
      <c r="E86" s="1016"/>
      <c r="F86" s="860"/>
      <c r="G86" s="695">
        <f>SUM(G80:G85)</f>
        <v>395000</v>
      </c>
      <c r="H86" s="696">
        <f t="shared" ref="H86" si="22">SUM(H85)</f>
        <v>0</v>
      </c>
      <c r="I86" s="695">
        <f t="shared" ref="I86:N86" si="23">SUM(I80:I85)</f>
        <v>395000</v>
      </c>
      <c r="J86" s="695">
        <f t="shared" si="23"/>
        <v>11336.5</v>
      </c>
      <c r="K86" s="695">
        <f t="shared" si="23"/>
        <v>27520.28</v>
      </c>
      <c r="L86" s="695">
        <f t="shared" si="23"/>
        <v>12008</v>
      </c>
      <c r="M86" s="1099">
        <f>SUM(M80:M85)</f>
        <v>150</v>
      </c>
      <c r="N86" s="695">
        <f t="shared" si="23"/>
        <v>51014.78</v>
      </c>
      <c r="O86" s="695">
        <f>SUM(O80:O85)</f>
        <v>343985.22</v>
      </c>
    </row>
    <row r="87" spans="1:15" ht="21" customHeight="1" x14ac:dyDescent="0.25">
      <c r="A87" s="490"/>
      <c r="B87" s="491"/>
      <c r="C87" s="492"/>
      <c r="D87" s="465"/>
      <c r="E87" s="856"/>
      <c r="F87" s="857"/>
      <c r="G87" s="695"/>
      <c r="H87" s="495"/>
      <c r="I87" s="463"/>
      <c r="J87" s="463"/>
      <c r="K87" s="463"/>
      <c r="L87" s="698"/>
      <c r="M87" s="676"/>
      <c r="N87" s="463"/>
      <c r="O87" s="463"/>
    </row>
    <row r="88" spans="1:15" ht="30" customHeight="1" x14ac:dyDescent="0.25">
      <c r="A88" s="1014" t="s">
        <v>825</v>
      </c>
      <c r="B88" s="1015"/>
      <c r="C88" s="492"/>
      <c r="D88" s="465"/>
      <c r="E88" s="1019"/>
      <c r="F88" s="857"/>
      <c r="G88" s="695"/>
      <c r="H88" s="696"/>
      <c r="I88" s="697"/>
      <c r="J88" s="697"/>
      <c r="K88" s="697"/>
      <c r="L88" s="698"/>
      <c r="M88" s="676"/>
      <c r="N88" s="697"/>
      <c r="O88" s="697"/>
    </row>
    <row r="89" spans="1:15" ht="21" customHeight="1" x14ac:dyDescent="0.25">
      <c r="A89" s="496" t="s">
        <v>608</v>
      </c>
      <c r="B89" s="497" t="s">
        <v>806</v>
      </c>
      <c r="C89" s="282" t="s">
        <v>117</v>
      </c>
      <c r="D89" s="281" t="s">
        <v>1063</v>
      </c>
      <c r="E89" s="855">
        <v>45597</v>
      </c>
      <c r="F89" s="855">
        <v>45748</v>
      </c>
      <c r="G89" s="626">
        <v>70000</v>
      </c>
      <c r="H89" s="487">
        <v>0</v>
      </c>
      <c r="I89" s="457">
        <v>70000</v>
      </c>
      <c r="J89" s="457">
        <v>2009</v>
      </c>
      <c r="K89" s="457">
        <v>5368.48</v>
      </c>
      <c r="L89" s="628">
        <v>2128</v>
      </c>
      <c r="M89" s="675">
        <v>525</v>
      </c>
      <c r="N89" s="457">
        <f>+J89+K89+L89+M89</f>
        <v>10030.48</v>
      </c>
      <c r="O89" s="457">
        <f>+I89-N89</f>
        <v>59969.520000000004</v>
      </c>
    </row>
    <row r="90" spans="1:15" ht="21" customHeight="1" x14ac:dyDescent="0.25">
      <c r="A90" s="466" t="s">
        <v>813</v>
      </c>
      <c r="B90" s="465"/>
      <c r="C90" s="492">
        <v>1</v>
      </c>
      <c r="D90" s="465"/>
      <c r="E90" s="1016"/>
      <c r="F90" s="860"/>
      <c r="G90" s="695">
        <f>SUM(G89)</f>
        <v>70000</v>
      </c>
      <c r="H90" s="696">
        <f t="shared" ref="H90:O90" si="24">SUM(H89)</f>
        <v>0</v>
      </c>
      <c r="I90" s="695">
        <f t="shared" si="24"/>
        <v>70000</v>
      </c>
      <c r="J90" s="695">
        <f t="shared" si="24"/>
        <v>2009</v>
      </c>
      <c r="K90" s="695">
        <f t="shared" si="24"/>
        <v>5368.48</v>
      </c>
      <c r="L90" s="695">
        <f t="shared" si="24"/>
        <v>2128</v>
      </c>
      <c r="M90" s="1099">
        <f>SUM(M89)</f>
        <v>525</v>
      </c>
      <c r="N90" s="695">
        <f>SUM(N89)</f>
        <v>10030.48</v>
      </c>
      <c r="O90" s="695">
        <f t="shared" si="24"/>
        <v>59969.520000000004</v>
      </c>
    </row>
    <row r="91" spans="1:15" ht="21" customHeight="1" x14ac:dyDescent="0.25">
      <c r="A91" s="490"/>
      <c r="B91" s="491"/>
      <c r="C91" s="492"/>
      <c r="D91" s="465"/>
      <c r="E91" s="859"/>
      <c r="F91" s="860"/>
      <c r="G91" s="695"/>
      <c r="H91" s="495"/>
      <c r="I91" s="494"/>
      <c r="J91" s="494"/>
      <c r="K91" s="494"/>
      <c r="L91" s="695"/>
      <c r="M91" s="1099"/>
      <c r="N91" s="494"/>
      <c r="O91" s="494"/>
    </row>
    <row r="92" spans="1:15" ht="21" customHeight="1" x14ac:dyDescent="0.25">
      <c r="A92" s="490" t="s">
        <v>827</v>
      </c>
      <c r="B92" s="491"/>
      <c r="C92" s="492"/>
      <c r="D92" s="465"/>
      <c r="E92" s="710"/>
      <c r="F92" s="711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21" customHeight="1" x14ac:dyDescent="0.25">
      <c r="A93" s="286" t="s">
        <v>1042</v>
      </c>
      <c r="B93" s="281" t="s">
        <v>806</v>
      </c>
      <c r="C93" s="282" t="s">
        <v>1463</v>
      </c>
      <c r="D93" s="281" t="s">
        <v>1063</v>
      </c>
      <c r="E93" s="855">
        <v>45597</v>
      </c>
      <c r="F93" s="855">
        <v>45748</v>
      </c>
      <c r="G93" s="626">
        <v>120000</v>
      </c>
      <c r="H93" s="627">
        <v>0</v>
      </c>
      <c r="I93" s="468">
        <v>120000</v>
      </c>
      <c r="J93" s="468">
        <v>3444</v>
      </c>
      <c r="K93" s="468">
        <v>16809.87</v>
      </c>
      <c r="L93" s="468">
        <v>3648</v>
      </c>
      <c r="M93" s="675">
        <v>25</v>
      </c>
      <c r="N93" s="468">
        <f t="shared" ref="N93" si="25">+J93+K93+L93+M93</f>
        <v>23926.87</v>
      </c>
      <c r="O93" s="468">
        <f t="shared" ref="O93" si="26">+I93-N93</f>
        <v>96073.13</v>
      </c>
    </row>
    <row r="94" spans="1:15" ht="21" customHeight="1" x14ac:dyDescent="0.25">
      <c r="A94" s="286" t="s">
        <v>947</v>
      </c>
      <c r="B94" s="281" t="s">
        <v>806</v>
      </c>
      <c r="C94" s="282" t="s">
        <v>489</v>
      </c>
      <c r="D94" s="281" t="s">
        <v>1063</v>
      </c>
      <c r="E94" s="855">
        <v>45597</v>
      </c>
      <c r="F94" s="855">
        <v>45748</v>
      </c>
      <c r="G94" s="626">
        <v>70000</v>
      </c>
      <c r="H94" s="627">
        <v>0</v>
      </c>
      <c r="I94" s="468">
        <v>70000</v>
      </c>
      <c r="J94" s="468">
        <v>2009</v>
      </c>
      <c r="K94" s="468">
        <v>5025.38</v>
      </c>
      <c r="L94" s="468">
        <v>2128</v>
      </c>
      <c r="M94" s="675">
        <v>1740.46</v>
      </c>
      <c r="N94" s="457">
        <f>+J94+K94+L94+M94</f>
        <v>10902.84</v>
      </c>
      <c r="O94" s="468">
        <f>+I94-N94</f>
        <v>59097.16</v>
      </c>
    </row>
    <row r="95" spans="1:15" ht="21" customHeight="1" x14ac:dyDescent="0.25">
      <c r="A95" s="286" t="s">
        <v>1031</v>
      </c>
      <c r="B95" s="281" t="s">
        <v>807</v>
      </c>
      <c r="C95" s="282" t="s">
        <v>1032</v>
      </c>
      <c r="D95" s="281" t="s">
        <v>1063</v>
      </c>
      <c r="E95" s="855">
        <v>45597</v>
      </c>
      <c r="F95" s="855">
        <v>45748</v>
      </c>
      <c r="G95" s="626">
        <v>70000</v>
      </c>
      <c r="H95" s="627">
        <v>0</v>
      </c>
      <c r="I95" s="468">
        <v>70000</v>
      </c>
      <c r="J95" s="468">
        <v>2009</v>
      </c>
      <c r="K95" s="468">
        <v>5368.48</v>
      </c>
      <c r="L95" s="468">
        <v>2128</v>
      </c>
      <c r="M95" s="675">
        <v>25</v>
      </c>
      <c r="N95" s="457">
        <f t="shared" ref="N95:N114" si="27">+J95+K95+L95+M95</f>
        <v>9530.48</v>
      </c>
      <c r="O95" s="468">
        <f t="shared" ref="O95:O105" si="28">+I95-N95</f>
        <v>60469.520000000004</v>
      </c>
    </row>
    <row r="96" spans="1:15" ht="21" customHeight="1" x14ac:dyDescent="0.25">
      <c r="A96" s="286" t="s">
        <v>1162</v>
      </c>
      <c r="B96" s="281" t="s">
        <v>806</v>
      </c>
      <c r="C96" s="282" t="s">
        <v>1163</v>
      </c>
      <c r="D96" s="281" t="s">
        <v>1063</v>
      </c>
      <c r="E96" s="855">
        <v>45597</v>
      </c>
      <c r="F96" s="855">
        <v>45748</v>
      </c>
      <c r="G96" s="626">
        <v>70000</v>
      </c>
      <c r="H96" s="627">
        <v>0</v>
      </c>
      <c r="I96" s="468">
        <v>70000</v>
      </c>
      <c r="J96" s="468">
        <v>2009</v>
      </c>
      <c r="K96" s="468">
        <v>5368.48</v>
      </c>
      <c r="L96" s="468">
        <v>2128</v>
      </c>
      <c r="M96" s="675">
        <v>25</v>
      </c>
      <c r="N96" s="457">
        <f t="shared" si="27"/>
        <v>9530.48</v>
      </c>
      <c r="O96" s="468">
        <f t="shared" si="28"/>
        <v>60469.520000000004</v>
      </c>
    </row>
    <row r="97" spans="1:19" ht="21" customHeight="1" x14ac:dyDescent="0.25">
      <c r="A97" s="286" t="s">
        <v>1041</v>
      </c>
      <c r="B97" s="281" t="s">
        <v>806</v>
      </c>
      <c r="C97" s="282" t="s">
        <v>117</v>
      </c>
      <c r="D97" s="281" t="s">
        <v>1063</v>
      </c>
      <c r="E97" s="855">
        <v>45597</v>
      </c>
      <c r="F97" s="855">
        <v>45748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675">
        <v>1740.46</v>
      </c>
      <c r="N97" s="457">
        <f t="shared" si="27"/>
        <v>10902.84</v>
      </c>
      <c r="O97" s="468">
        <f t="shared" si="28"/>
        <v>59097.16</v>
      </c>
    </row>
    <row r="98" spans="1:19" ht="21" customHeight="1" x14ac:dyDescent="0.25">
      <c r="A98" s="286" t="s">
        <v>1043</v>
      </c>
      <c r="B98" s="281" t="s">
        <v>806</v>
      </c>
      <c r="C98" s="282" t="s">
        <v>1044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4682.29</v>
      </c>
      <c r="L98" s="468">
        <v>2128</v>
      </c>
      <c r="M98" s="675">
        <v>3455.92</v>
      </c>
      <c r="N98" s="457">
        <f t="shared" si="27"/>
        <v>12275.210000000001</v>
      </c>
      <c r="O98" s="468">
        <f t="shared" si="28"/>
        <v>57724.79</v>
      </c>
    </row>
    <row r="99" spans="1:19" ht="21" customHeight="1" x14ac:dyDescent="0.25">
      <c r="A99" s="286" t="s">
        <v>961</v>
      </c>
      <c r="B99" s="680" t="s">
        <v>807</v>
      </c>
      <c r="C99" s="282" t="s">
        <v>515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861">
        <v>5025.38</v>
      </c>
      <c r="L99" s="468">
        <v>2128</v>
      </c>
      <c r="M99" s="675">
        <v>1740.46</v>
      </c>
      <c r="N99" s="457">
        <f t="shared" si="27"/>
        <v>10902.84</v>
      </c>
      <c r="O99" s="468">
        <f t="shared" si="28"/>
        <v>59097.16</v>
      </c>
      <c r="P99" s="862"/>
      <c r="Q99" s="862"/>
      <c r="R99" s="862"/>
      <c r="S99" s="862"/>
    </row>
    <row r="100" spans="1:19" ht="21" customHeight="1" x14ac:dyDescent="0.25">
      <c r="A100" s="286" t="s">
        <v>1087</v>
      </c>
      <c r="B100" s="680" t="s">
        <v>807</v>
      </c>
      <c r="C100" s="282" t="s">
        <v>78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7"/>
        <v>9530.48</v>
      </c>
      <c r="O100" s="468">
        <f t="shared" si="28"/>
        <v>60469.520000000004</v>
      </c>
      <c r="P100" s="862"/>
      <c r="Q100" s="862"/>
      <c r="R100" s="862"/>
      <c r="S100" s="862"/>
    </row>
    <row r="101" spans="1:19" ht="21" customHeight="1" x14ac:dyDescent="0.25">
      <c r="A101" s="286" t="s">
        <v>920</v>
      </c>
      <c r="B101" s="281" t="s">
        <v>807</v>
      </c>
      <c r="C101" s="282" t="s">
        <v>78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628">
        <v>2128</v>
      </c>
      <c r="M101" s="675">
        <v>25</v>
      </c>
      <c r="N101" s="457">
        <f t="shared" si="27"/>
        <v>9530.48</v>
      </c>
      <c r="O101" s="468">
        <f t="shared" si="28"/>
        <v>60469.520000000004</v>
      </c>
    </row>
    <row r="102" spans="1:19" ht="21" customHeight="1" x14ac:dyDescent="0.25">
      <c r="A102" s="286" t="s">
        <v>725</v>
      </c>
      <c r="B102" s="281" t="s">
        <v>806</v>
      </c>
      <c r="C102" s="282" t="s">
        <v>117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7"/>
        <v>9530.48</v>
      </c>
      <c r="O102" s="468">
        <f t="shared" si="28"/>
        <v>60469.520000000004</v>
      </c>
    </row>
    <row r="103" spans="1:19" ht="21" customHeight="1" x14ac:dyDescent="0.25">
      <c r="A103" s="286" t="s">
        <v>919</v>
      </c>
      <c r="B103" s="281" t="s">
        <v>807</v>
      </c>
      <c r="C103" s="282" t="s">
        <v>117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5368.48</v>
      </c>
      <c r="L103" s="468">
        <v>2128</v>
      </c>
      <c r="M103" s="675">
        <v>25</v>
      </c>
      <c r="N103" s="457">
        <f t="shared" si="27"/>
        <v>9530.48</v>
      </c>
      <c r="O103" s="468">
        <f t="shared" si="28"/>
        <v>60469.520000000004</v>
      </c>
    </row>
    <row r="104" spans="1:19" ht="21" customHeight="1" x14ac:dyDescent="0.25">
      <c r="A104" s="286" t="s">
        <v>574</v>
      </c>
      <c r="B104" s="281" t="s">
        <v>806</v>
      </c>
      <c r="C104" s="282" t="s">
        <v>918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7"/>
        <v>9530.48</v>
      </c>
      <c r="O104" s="468">
        <f t="shared" si="28"/>
        <v>60469.520000000004</v>
      </c>
    </row>
    <row r="105" spans="1:19" ht="21" customHeight="1" x14ac:dyDescent="0.25">
      <c r="A105" s="286" t="s">
        <v>1298</v>
      </c>
      <c r="B105" s="281" t="s">
        <v>807</v>
      </c>
      <c r="C105" s="282" t="s">
        <v>918</v>
      </c>
      <c r="D105" s="281" t="s">
        <v>1063</v>
      </c>
      <c r="E105" s="855">
        <v>45566</v>
      </c>
      <c r="F105" s="855">
        <v>45717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675">
        <v>25</v>
      </c>
      <c r="N105" s="457">
        <f t="shared" si="27"/>
        <v>8294.08</v>
      </c>
      <c r="O105" s="468">
        <f t="shared" si="28"/>
        <v>56705.919999999998</v>
      </c>
    </row>
    <row r="106" spans="1:19" ht="21" customHeight="1" x14ac:dyDescent="0.25">
      <c r="A106" s="286" t="s">
        <v>1304</v>
      </c>
      <c r="B106" s="281" t="s">
        <v>806</v>
      </c>
      <c r="C106" s="282" t="s">
        <v>417</v>
      </c>
      <c r="D106" s="281" t="s">
        <v>1063</v>
      </c>
      <c r="E106" s="855">
        <v>45566</v>
      </c>
      <c r="F106" s="855">
        <v>45717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675">
        <v>25</v>
      </c>
      <c r="N106" s="457">
        <f t="shared" si="27"/>
        <v>8294.08</v>
      </c>
      <c r="O106" s="468">
        <f>+I106-N106</f>
        <v>56705.919999999998</v>
      </c>
    </row>
    <row r="107" spans="1:19" ht="21" customHeight="1" x14ac:dyDescent="0.25">
      <c r="A107" s="286" t="s">
        <v>1305</v>
      </c>
      <c r="B107" s="281" t="s">
        <v>806</v>
      </c>
      <c r="C107" s="282" t="s">
        <v>417</v>
      </c>
      <c r="D107" s="281" t="s">
        <v>1063</v>
      </c>
      <c r="E107" s="855">
        <v>45566</v>
      </c>
      <c r="F107" s="855">
        <v>45717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675">
        <v>25</v>
      </c>
      <c r="N107" s="457">
        <f t="shared" si="27"/>
        <v>8294.08</v>
      </c>
      <c r="O107" s="468">
        <f t="shared" ref="O107:O123" si="29">+I107-N107</f>
        <v>56705.919999999998</v>
      </c>
    </row>
    <row r="108" spans="1:19" ht="21" customHeight="1" x14ac:dyDescent="0.25">
      <c r="A108" s="286" t="s">
        <v>1306</v>
      </c>
      <c r="B108" s="281" t="s">
        <v>1296</v>
      </c>
      <c r="C108" s="282" t="s">
        <v>417</v>
      </c>
      <c r="D108" s="281" t="s">
        <v>1063</v>
      </c>
      <c r="E108" s="855">
        <v>45566</v>
      </c>
      <c r="F108" s="855">
        <v>45717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675">
        <v>25</v>
      </c>
      <c r="N108" s="457">
        <f t="shared" si="27"/>
        <v>8294.08</v>
      </c>
      <c r="O108" s="468">
        <f t="shared" si="29"/>
        <v>56705.919999999998</v>
      </c>
    </row>
    <row r="109" spans="1:19" ht="21" customHeight="1" x14ac:dyDescent="0.25">
      <c r="A109" s="286" t="s">
        <v>1307</v>
      </c>
      <c r="B109" s="281" t="s">
        <v>807</v>
      </c>
      <c r="C109" s="282" t="s">
        <v>417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7"/>
        <v>8294.08</v>
      </c>
      <c r="O109" s="468">
        <f t="shared" si="29"/>
        <v>56705.919999999998</v>
      </c>
    </row>
    <row r="110" spans="1:19" ht="21" customHeight="1" x14ac:dyDescent="0.25">
      <c r="A110" s="286" t="s">
        <v>1308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7"/>
        <v>8294.08</v>
      </c>
      <c r="O110" s="468">
        <f t="shared" si="29"/>
        <v>56705.919999999998</v>
      </c>
    </row>
    <row r="111" spans="1:19" ht="21" customHeight="1" x14ac:dyDescent="0.25">
      <c r="A111" s="286" t="s">
        <v>1310</v>
      </c>
      <c r="B111" s="281" t="s">
        <v>1296</v>
      </c>
      <c r="C111" s="282" t="s">
        <v>918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7"/>
        <v>8294.08</v>
      </c>
      <c r="O111" s="468">
        <f t="shared" si="29"/>
        <v>56705.919999999998</v>
      </c>
    </row>
    <row r="112" spans="1:19" ht="21" customHeight="1" x14ac:dyDescent="0.25">
      <c r="A112" s="286" t="s">
        <v>1311</v>
      </c>
      <c r="B112" s="281" t="s">
        <v>806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7"/>
        <v>8294.08</v>
      </c>
      <c r="O112" s="468">
        <f t="shared" si="29"/>
        <v>56705.919999999998</v>
      </c>
    </row>
    <row r="113" spans="1:15" ht="21" customHeight="1" x14ac:dyDescent="0.25">
      <c r="A113" s="286" t="s">
        <v>1312</v>
      </c>
      <c r="B113" s="281" t="s">
        <v>807</v>
      </c>
      <c r="C113" s="282" t="s">
        <v>918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7"/>
        <v>8294.08</v>
      </c>
      <c r="O113" s="468">
        <f t="shared" si="29"/>
        <v>56705.919999999998</v>
      </c>
    </row>
    <row r="114" spans="1:15" ht="21" customHeight="1" x14ac:dyDescent="0.25">
      <c r="A114" s="286" t="s">
        <v>1313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7"/>
        <v>8294.08</v>
      </c>
      <c r="O114" s="468">
        <f t="shared" si="29"/>
        <v>56705.919999999998</v>
      </c>
    </row>
    <row r="115" spans="1:15" ht="21" customHeight="1" x14ac:dyDescent="0.25">
      <c r="A115" s="286" t="s">
        <v>1362</v>
      </c>
      <c r="B115" s="281" t="s">
        <v>806</v>
      </c>
      <c r="C115" s="282" t="s">
        <v>823</v>
      </c>
      <c r="D115" s="281" t="s">
        <v>1063</v>
      </c>
      <c r="E115" s="855">
        <v>45597</v>
      </c>
      <c r="F115" s="855">
        <v>45748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>+J115+K115+L115+M115</f>
        <v>8294.08</v>
      </c>
      <c r="O115" s="468">
        <f>+I115-N115</f>
        <v>56705.919999999998</v>
      </c>
    </row>
    <row r="116" spans="1:15" ht="21" customHeight="1" x14ac:dyDescent="0.25">
      <c r="A116" s="286" t="s">
        <v>1401</v>
      </c>
      <c r="B116" s="281" t="s">
        <v>807</v>
      </c>
      <c r="C116" s="280" t="s">
        <v>417</v>
      </c>
      <c r="D116" s="281" t="s">
        <v>1063</v>
      </c>
      <c r="E116" s="855">
        <v>45597</v>
      </c>
      <c r="F116" s="855">
        <v>45748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68">
        <f t="shared" ref="N116:N117" si="30">+J116+K116+L116+M116</f>
        <v>8294.08</v>
      </c>
      <c r="O116" s="468">
        <f t="shared" ref="O116:O117" si="31">+I116-N116</f>
        <v>56705.919999999998</v>
      </c>
    </row>
    <row r="117" spans="1:15" ht="21" customHeight="1" x14ac:dyDescent="0.25">
      <c r="A117" s="286" t="s">
        <v>1441</v>
      </c>
      <c r="B117" s="281" t="s">
        <v>806</v>
      </c>
      <c r="C117" s="280" t="s">
        <v>417</v>
      </c>
      <c r="D117" s="281" t="s">
        <v>1063</v>
      </c>
      <c r="E117" s="855">
        <v>45597</v>
      </c>
      <c r="F117" s="855">
        <v>45748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468">
        <v>2128</v>
      </c>
      <c r="M117" s="675">
        <v>25</v>
      </c>
      <c r="N117" s="468">
        <f t="shared" si="30"/>
        <v>9530.48</v>
      </c>
      <c r="O117" s="468">
        <f t="shared" si="31"/>
        <v>60469.520000000004</v>
      </c>
    </row>
    <row r="118" spans="1:15" ht="21" customHeight="1" x14ac:dyDescent="0.25">
      <c r="A118" s="286" t="s">
        <v>1363</v>
      </c>
      <c r="B118" s="281" t="s">
        <v>806</v>
      </c>
      <c r="C118" s="282" t="s">
        <v>918</v>
      </c>
      <c r="D118" s="281" t="s">
        <v>1063</v>
      </c>
      <c r="E118" s="855">
        <v>45597</v>
      </c>
      <c r="F118" s="855">
        <v>45748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68">
        <f>+J118+K118+L118+M118</f>
        <v>8294.08</v>
      </c>
      <c r="O118" s="468">
        <f>+I118-N118</f>
        <v>56705.919999999998</v>
      </c>
    </row>
    <row r="119" spans="1:15" ht="21" customHeight="1" x14ac:dyDescent="0.25">
      <c r="A119" s="286" t="s">
        <v>1409</v>
      </c>
      <c r="B119" s="281" t="s">
        <v>807</v>
      </c>
      <c r="C119" s="282" t="s">
        <v>918</v>
      </c>
      <c r="D119" s="281" t="s">
        <v>1063</v>
      </c>
      <c r="E119" s="855">
        <v>45474</v>
      </c>
      <c r="F119" s="855">
        <v>45658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68">
        <f t="shared" ref="N119" si="32">+J119+K119+L119+M119</f>
        <v>8294.08</v>
      </c>
      <c r="O119" s="468">
        <f t="shared" ref="O119" si="33">+I119-N119</f>
        <v>56705.919999999998</v>
      </c>
    </row>
    <row r="120" spans="1:15" ht="30" customHeight="1" x14ac:dyDescent="0.25">
      <c r="A120" s="286" t="s">
        <v>1410</v>
      </c>
      <c r="B120" s="281" t="s">
        <v>806</v>
      </c>
      <c r="C120" s="282" t="s">
        <v>1357</v>
      </c>
      <c r="D120" s="281" t="s">
        <v>1063</v>
      </c>
      <c r="E120" s="855">
        <v>45597</v>
      </c>
      <c r="F120" s="855">
        <v>45748</v>
      </c>
      <c r="G120" s="626">
        <v>125000</v>
      </c>
      <c r="H120" s="627">
        <v>0</v>
      </c>
      <c r="I120" s="468">
        <v>125000</v>
      </c>
      <c r="J120" s="1038">
        <v>3587.5</v>
      </c>
      <c r="K120" s="627">
        <v>0</v>
      </c>
      <c r="L120" s="1038">
        <v>3800</v>
      </c>
      <c r="M120" s="1103">
        <v>25</v>
      </c>
      <c r="N120" s="1038">
        <v>7412.5</v>
      </c>
      <c r="O120" s="1038">
        <v>117587.5</v>
      </c>
    </row>
    <row r="121" spans="1:15" ht="21" customHeight="1" x14ac:dyDescent="0.25">
      <c r="A121" s="286" t="s">
        <v>948</v>
      </c>
      <c r="B121" s="281" t="s">
        <v>806</v>
      </c>
      <c r="C121" s="282" t="s">
        <v>529</v>
      </c>
      <c r="D121" s="281" t="s">
        <v>1063</v>
      </c>
      <c r="E121" s="855">
        <v>45597</v>
      </c>
      <c r="F121" s="855">
        <v>45748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1148.33</v>
      </c>
      <c r="L121" s="468">
        <v>1368</v>
      </c>
      <c r="M121" s="675">
        <v>25</v>
      </c>
      <c r="N121" s="457">
        <f t="shared" ref="N121:N126" si="34">+J121+K121+L121+M121</f>
        <v>3832.83</v>
      </c>
      <c r="O121" s="468">
        <f t="shared" si="29"/>
        <v>41167.17</v>
      </c>
    </row>
    <row r="122" spans="1:15" ht="21" customHeight="1" x14ac:dyDescent="0.25">
      <c r="A122" s="286" t="s">
        <v>726</v>
      </c>
      <c r="B122" s="281" t="s">
        <v>806</v>
      </c>
      <c r="C122" s="280" t="s">
        <v>449</v>
      </c>
      <c r="D122" s="281" t="s">
        <v>1063</v>
      </c>
      <c r="E122" s="855">
        <v>45597</v>
      </c>
      <c r="F122" s="855">
        <v>45748</v>
      </c>
      <c r="G122" s="626">
        <v>45000</v>
      </c>
      <c r="H122" s="627">
        <v>0</v>
      </c>
      <c r="I122" s="468">
        <v>45000</v>
      </c>
      <c r="J122" s="468">
        <v>1291.5</v>
      </c>
      <c r="K122" s="468">
        <v>891.01</v>
      </c>
      <c r="L122" s="468">
        <v>1368</v>
      </c>
      <c r="M122" s="675">
        <v>1740.46</v>
      </c>
      <c r="N122" s="457">
        <f t="shared" si="34"/>
        <v>5290.97</v>
      </c>
      <c r="O122" s="468">
        <f t="shared" si="29"/>
        <v>39709.03</v>
      </c>
    </row>
    <row r="123" spans="1:15" ht="21" customHeight="1" x14ac:dyDescent="0.25">
      <c r="A123" s="286" t="s">
        <v>1299</v>
      </c>
      <c r="B123" s="281" t="s">
        <v>1296</v>
      </c>
      <c r="C123" s="282" t="s">
        <v>1358</v>
      </c>
      <c r="D123" s="281" t="s">
        <v>1063</v>
      </c>
      <c r="E123" s="855">
        <v>45566</v>
      </c>
      <c r="F123" s="855">
        <v>45717</v>
      </c>
      <c r="G123" s="626">
        <v>43500</v>
      </c>
      <c r="H123" s="627">
        <v>0</v>
      </c>
      <c r="I123" s="468">
        <v>43500</v>
      </c>
      <c r="J123" s="468">
        <v>1248.45</v>
      </c>
      <c r="K123" s="468">
        <v>936.62</v>
      </c>
      <c r="L123" s="468">
        <v>1322.4</v>
      </c>
      <c r="M123" s="675">
        <v>25</v>
      </c>
      <c r="N123" s="457">
        <f t="shared" si="34"/>
        <v>3532.4700000000003</v>
      </c>
      <c r="O123" s="468">
        <f t="shared" si="29"/>
        <v>39967.53</v>
      </c>
    </row>
    <row r="124" spans="1:15" ht="21" customHeight="1" x14ac:dyDescent="0.25">
      <c r="A124" s="286" t="s">
        <v>1301</v>
      </c>
      <c r="B124" s="281" t="s">
        <v>1296</v>
      </c>
      <c r="C124" s="282" t="s">
        <v>1358</v>
      </c>
      <c r="D124" s="281" t="s">
        <v>1063</v>
      </c>
      <c r="E124" s="855">
        <v>45566</v>
      </c>
      <c r="F124" s="855">
        <v>45717</v>
      </c>
      <c r="G124" s="626">
        <v>43500</v>
      </c>
      <c r="H124" s="627">
        <v>0</v>
      </c>
      <c r="I124" s="468">
        <v>43500</v>
      </c>
      <c r="J124" s="468">
        <v>1248.45</v>
      </c>
      <c r="K124" s="468">
        <v>936.62</v>
      </c>
      <c r="L124" s="468">
        <v>1322.4</v>
      </c>
      <c r="M124" s="675">
        <v>25</v>
      </c>
      <c r="N124" s="457">
        <f t="shared" si="34"/>
        <v>3532.4700000000003</v>
      </c>
      <c r="O124" s="468">
        <f>+I124-N124</f>
        <v>39967.53</v>
      </c>
    </row>
    <row r="125" spans="1:15" ht="21" customHeight="1" x14ac:dyDescent="0.25">
      <c r="A125" s="286" t="s">
        <v>1302</v>
      </c>
      <c r="B125" s="281" t="s">
        <v>1296</v>
      </c>
      <c r="C125" s="282" t="s">
        <v>1359</v>
      </c>
      <c r="D125" s="281" t="s">
        <v>1063</v>
      </c>
      <c r="E125" s="855">
        <v>45566</v>
      </c>
      <c r="F125" s="855">
        <v>45717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675">
        <v>25</v>
      </c>
      <c r="N125" s="457">
        <f t="shared" si="34"/>
        <v>3532.4700000000003</v>
      </c>
      <c r="O125" s="468">
        <f>+I125-N125</f>
        <v>39967.53</v>
      </c>
    </row>
    <row r="126" spans="1:15" ht="21" customHeight="1" x14ac:dyDescent="0.25">
      <c r="A126" s="286" t="s">
        <v>1442</v>
      </c>
      <c r="B126" s="281" t="s">
        <v>806</v>
      </c>
      <c r="C126" s="282" t="s">
        <v>105</v>
      </c>
      <c r="D126" s="281" t="s">
        <v>1063</v>
      </c>
      <c r="E126" s="855">
        <v>45536</v>
      </c>
      <c r="F126" s="855">
        <v>45689</v>
      </c>
      <c r="G126" s="626">
        <v>25000</v>
      </c>
      <c r="H126" s="627">
        <v>0</v>
      </c>
      <c r="I126" s="468">
        <v>25000</v>
      </c>
      <c r="J126" s="468">
        <v>717.5</v>
      </c>
      <c r="K126" s="627">
        <v>0</v>
      </c>
      <c r="L126" s="468">
        <v>760</v>
      </c>
      <c r="M126" s="675">
        <v>25</v>
      </c>
      <c r="N126" s="457">
        <f t="shared" si="34"/>
        <v>1502.5</v>
      </c>
      <c r="O126" s="468">
        <f>+I126-N126</f>
        <v>23497.5</v>
      </c>
    </row>
    <row r="127" spans="1:15" ht="21" customHeight="1" x14ac:dyDescent="0.25">
      <c r="A127" s="490" t="s">
        <v>813</v>
      </c>
      <c r="B127" s="491"/>
      <c r="C127" s="492">
        <v>34</v>
      </c>
      <c r="D127" s="570"/>
      <c r="E127" s="570"/>
      <c r="F127" s="570"/>
      <c r="G127" s="695">
        <f>SUM(G93:G126)</f>
        <v>2240500</v>
      </c>
      <c r="H127" s="696">
        <v>0</v>
      </c>
      <c r="I127" s="695">
        <f t="shared" ref="I127:O127" si="35">SUM(I93:I126)</f>
        <v>2240500</v>
      </c>
      <c r="J127" s="695">
        <f t="shared" si="35"/>
        <v>64302.349999999991</v>
      </c>
      <c r="K127" s="695">
        <f t="shared" si="35"/>
        <v>146351.45999999996</v>
      </c>
      <c r="L127" s="695">
        <f t="shared" si="35"/>
        <v>68111.199999999997</v>
      </c>
      <c r="M127" s="1099">
        <f t="shared" si="35"/>
        <v>11142.759999999998</v>
      </c>
      <c r="N127" s="695">
        <f t="shared" si="35"/>
        <v>289907.76999999973</v>
      </c>
      <c r="O127" s="695">
        <f t="shared" si="35"/>
        <v>1950592.2299999997</v>
      </c>
    </row>
    <row r="128" spans="1:15" x14ac:dyDescent="0.25">
      <c r="A128" s="490"/>
      <c r="B128" s="491"/>
      <c r="C128" s="492"/>
      <c r="D128" s="281"/>
      <c r="E128" s="281"/>
      <c r="F128" s="281"/>
      <c r="G128" s="695"/>
      <c r="H128" s="495"/>
      <c r="I128" s="494"/>
      <c r="J128" s="494"/>
      <c r="K128" s="494"/>
      <c r="L128" s="695"/>
      <c r="M128" s="1099"/>
      <c r="N128" s="494"/>
      <c r="O128" s="494"/>
    </row>
    <row r="129" spans="1:16" ht="23.25" customHeight="1" x14ac:dyDescent="0.25">
      <c r="A129" s="1052" t="s">
        <v>865</v>
      </c>
      <c r="B129" s="1053"/>
      <c r="C129" s="1125">
        <f>+C16+C20+C25+C30+C35+C39+C44+C54+C61+C65+C70+C78+C86+C90+C127+C74</f>
        <v>69</v>
      </c>
      <c r="D129" s="1125"/>
      <c r="E129" s="1125"/>
      <c r="F129" s="1125"/>
      <c r="G129" s="1126">
        <f>+G16+G20+G25+G30+G35+G39+G44+G54+G61+G65+G70+G74+G78+G86+G90+G127</f>
        <v>5525500</v>
      </c>
      <c r="H129" s="1127">
        <v>0</v>
      </c>
      <c r="I129" s="1126">
        <f t="shared" ref="I129:O129" si="36">+I16+I20+I25+I30+I35+I39+I44+I54+I61+I65+I70+I74+I78+I86+I90+I127</f>
        <v>5525500</v>
      </c>
      <c r="J129" s="1126">
        <f t="shared" si="36"/>
        <v>158581.84999999998</v>
      </c>
      <c r="K129" s="1126">
        <f t="shared" si="36"/>
        <v>532597.36</v>
      </c>
      <c r="L129" s="1126">
        <f t="shared" si="36"/>
        <v>167975.2</v>
      </c>
      <c r="M129" s="1126">
        <f t="shared" si="36"/>
        <v>55791.839999999997</v>
      </c>
      <c r="N129" s="1126">
        <f t="shared" si="36"/>
        <v>914946.24999999977</v>
      </c>
      <c r="O129" s="1126">
        <f t="shared" si="36"/>
        <v>4610553.75</v>
      </c>
    </row>
    <row r="130" spans="1:16" x14ac:dyDescent="0.25">
      <c r="A130" s="259"/>
      <c r="B130" s="259"/>
      <c r="C130" s="259"/>
      <c r="D130" s="546"/>
      <c r="E130" s="546"/>
      <c r="F130" s="546"/>
      <c r="G130" s="862"/>
      <c r="H130" s="259"/>
      <c r="I130" s="259"/>
      <c r="J130" s="660"/>
      <c r="K130" s="660"/>
      <c r="M130" s="660"/>
      <c r="N130" s="660"/>
      <c r="O130" s="259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1449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1097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708" t="s">
        <v>1375</v>
      </c>
      <c r="J149" s="1708"/>
      <c r="K149" s="1708"/>
      <c r="L149" s="1708"/>
      <c r="M149" s="1708"/>
      <c r="N149" s="1708"/>
      <c r="O149" s="1708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692" t="s">
        <v>1224</v>
      </c>
      <c r="J150" s="1692"/>
      <c r="K150" s="1692"/>
      <c r="L150" s="1692"/>
      <c r="M150" s="1692"/>
      <c r="N150" s="1692"/>
      <c r="O150" s="1692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546"/>
      <c r="H151" s="541"/>
      <c r="I151" s="540"/>
      <c r="J151" s="537"/>
      <c r="K151" s="673" t="s">
        <v>1374</v>
      </c>
      <c r="L151" s="51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68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</row>
    <row r="154" spans="1:16" x14ac:dyDescent="0.25">
      <c r="K154" s="259"/>
      <c r="L154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49:O149"/>
    <mergeCell ref="I150:O150"/>
    <mergeCell ref="L11:L12"/>
  </mergeCells>
  <pageMargins left="1.299212598425197" right="0.11811023622047245" top="0.23622047244094491" bottom="7.0000000000000007E-2" header="0.31496062992125984" footer="3.937007874015748E-2"/>
  <pageSetup paperSize="3" scale="47" fitToHeight="0" orientation="landscape" horizontalDpi="360" verticalDpi="360" r:id="rId1"/>
  <rowBreaks count="1" manualBreakCount="1">
    <brk id="65" max="14" man="1"/>
  </rowBreaks>
  <colBreaks count="1" manualBreakCount="1">
    <brk id="15" max="159" man="1"/>
  </colBreaks>
  <drawing r:id="rId2"/>
</worksheet>
</file>

<file path=xl/worksheets/sheet2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7C1CE2-4C67-4120-89FC-09097AB967C3}">
  <dimension ref="B1:O64"/>
  <sheetViews>
    <sheetView zoomScaleNormal="100" workbookViewId="0">
      <selection activeCell="B3" sqref="B3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551" t="s">
        <v>0</v>
      </c>
      <c r="C6" s="1551"/>
      <c r="D6" s="1551"/>
      <c r="E6" s="1551"/>
      <c r="F6" s="1551"/>
      <c r="G6" s="1551"/>
      <c r="H6" s="1551"/>
      <c r="I6" s="1551"/>
      <c r="J6" s="1551"/>
      <c r="K6" s="1551"/>
      <c r="L6" s="1551"/>
      <c r="M6" s="1551"/>
      <c r="N6" s="1551"/>
      <c r="O6" s="1551"/>
    </row>
    <row r="7" spans="2:15" x14ac:dyDescent="0.25">
      <c r="B7" s="1551" t="s">
        <v>1</v>
      </c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  <c r="O7" s="1551"/>
    </row>
    <row r="8" spans="2:15" x14ac:dyDescent="0.25">
      <c r="B8" s="1551" t="s">
        <v>3</v>
      </c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  <c r="O8" s="1551"/>
    </row>
    <row r="9" spans="2:15" x14ac:dyDescent="0.25">
      <c r="B9" s="1551" t="s">
        <v>1453</v>
      </c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  <c r="O9" s="1551"/>
    </row>
    <row r="10" spans="2:15" x14ac:dyDescent="0.25">
      <c r="B10" s="1552" t="s">
        <v>5</v>
      </c>
      <c r="C10" s="1552"/>
      <c r="D10" s="1552"/>
      <c r="E10" s="1552"/>
      <c r="F10" s="1552"/>
      <c r="G10" s="1552"/>
      <c r="H10" s="1552"/>
      <c r="I10" s="1552"/>
      <c r="J10" s="1552"/>
      <c r="K10" s="1552"/>
      <c r="L10" s="1552"/>
      <c r="M10" s="1552"/>
      <c r="N10" s="1552"/>
      <c r="O10" s="1552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714" t="s">
        <v>7</v>
      </c>
      <c r="C12" s="1713" t="s">
        <v>937</v>
      </c>
      <c r="D12" s="1713" t="s">
        <v>8</v>
      </c>
      <c r="E12" s="1713" t="s">
        <v>10</v>
      </c>
      <c r="F12" s="1713" t="s">
        <v>11</v>
      </c>
      <c r="G12" s="1047" t="s">
        <v>12</v>
      </c>
      <c r="H12" s="1713" t="s">
        <v>13</v>
      </c>
      <c r="I12" s="1713" t="s">
        <v>14</v>
      </c>
      <c r="J12" s="1713" t="s">
        <v>15</v>
      </c>
      <c r="K12" s="1713" t="s">
        <v>16</v>
      </c>
      <c r="L12" s="1713" t="s">
        <v>17</v>
      </c>
      <c r="M12" s="1713" t="s">
        <v>18</v>
      </c>
      <c r="N12" s="1713" t="s">
        <v>19</v>
      </c>
      <c r="O12" s="1713" t="s">
        <v>20</v>
      </c>
    </row>
    <row r="13" spans="2:15" x14ac:dyDescent="0.25">
      <c r="B13" s="1715"/>
      <c r="C13" s="1713"/>
      <c r="D13" s="1713"/>
      <c r="E13" s="1713"/>
      <c r="F13" s="1713"/>
      <c r="G13" s="1047" t="s">
        <v>21</v>
      </c>
      <c r="H13" s="1713"/>
      <c r="I13" s="1713"/>
      <c r="J13" s="1713"/>
      <c r="K13" s="1713"/>
      <c r="L13" s="1713"/>
      <c r="M13" s="1713"/>
      <c r="N13" s="1713"/>
      <c r="O13" s="1713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1078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16000</v>
      </c>
      <c r="H24" s="285">
        <v>0</v>
      </c>
      <c r="I24" s="273">
        <v>16000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16000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228000</v>
      </c>
      <c r="H32" s="273">
        <f t="shared" si="1"/>
        <v>0</v>
      </c>
      <c r="I32" s="273">
        <f t="shared" si="1"/>
        <v>228000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225702.75</v>
      </c>
    </row>
    <row r="33" spans="2:15" ht="27.75" customHeight="1" x14ac:dyDescent="0.25">
      <c r="B33" s="1048" t="s">
        <v>865</v>
      </c>
      <c r="C33" s="1048"/>
      <c r="D33" s="1049">
        <v>19</v>
      </c>
      <c r="E33" s="1049"/>
      <c r="F33" s="1049"/>
      <c r="G33" s="1050">
        <f>+G32</f>
        <v>228000</v>
      </c>
      <c r="H33" s="1050">
        <f t="shared" ref="H33:O33" si="2">+H32</f>
        <v>0</v>
      </c>
      <c r="I33" s="1050">
        <f t="shared" si="2"/>
        <v>228000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225702.75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690" t="s">
        <v>1269</v>
      </c>
      <c r="C48" s="1690"/>
      <c r="D48" s="1690"/>
      <c r="E48" s="753"/>
      <c r="F48" s="753"/>
      <c r="G48" s="754"/>
      <c r="H48" s="755"/>
      <c r="J48" s="1691" t="s">
        <v>852</v>
      </c>
      <c r="K48" s="1691"/>
      <c r="L48" s="1691"/>
      <c r="M48" s="1691"/>
      <c r="N48" s="1691"/>
      <c r="O48" s="1691"/>
    </row>
    <row r="49" spans="2:15" s="259" customFormat="1" ht="19.5" customHeight="1" x14ac:dyDescent="0.25">
      <c r="B49" s="1628" t="s">
        <v>1270</v>
      </c>
      <c r="C49" s="1628"/>
      <c r="D49" s="1628"/>
      <c r="E49" s="753"/>
      <c r="F49" s="753"/>
      <c r="G49" s="754"/>
      <c r="H49" s="755"/>
      <c r="J49" s="1692" t="s">
        <v>1224</v>
      </c>
      <c r="K49" s="1692"/>
      <c r="L49" s="1692"/>
      <c r="M49" s="1692"/>
      <c r="N49" s="1692"/>
      <c r="O49" s="1692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629"/>
      <c r="K61" s="1629"/>
      <c r="L61" s="1629"/>
      <c r="M61" s="1629"/>
      <c r="N61" s="1629"/>
      <c r="O61" s="1629"/>
    </row>
    <row r="62" spans="2:15" ht="15.75" x14ac:dyDescent="0.25">
      <c r="B62" s="267"/>
      <c r="C62" s="267"/>
      <c r="D62" s="267"/>
      <c r="E62" s="268"/>
      <c r="F62" s="268"/>
      <c r="G62" s="269"/>
      <c r="H62" s="1549"/>
      <c r="I62" s="1549"/>
      <c r="J62" s="1549"/>
      <c r="K62" s="1549"/>
      <c r="L62" s="1549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D12:D13"/>
    <mergeCell ref="E12:E13"/>
    <mergeCell ref="F12:F13"/>
    <mergeCell ref="B6:O6"/>
    <mergeCell ref="B7:O7"/>
    <mergeCell ref="B8:O8"/>
    <mergeCell ref="B9:O9"/>
    <mergeCell ref="B10:O10"/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</mergeCells>
  <pageMargins left="1.1599999999999999" right="0.39370078740157483" top="0.28000000000000003" bottom="0.15748031496062992" header="7.874015748031496E-2" footer="0.31496062992125984"/>
  <pageSetup paperSize="3" scale="70" orientation="landscape" r:id="rId1"/>
  <drawing r:id="rId2"/>
</worksheet>
</file>

<file path=xl/worksheets/sheet2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00E3F4-0C5C-4015-A18A-7797DED8C9F0}">
  <dimension ref="B5:M83"/>
  <sheetViews>
    <sheetView showGridLines="0" topLeftCell="A22" zoomScale="118" zoomScaleNormal="118" zoomScaleSheetLayoutView="100" workbookViewId="0">
      <selection activeCell="E55" sqref="E55:M55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693" t="s">
        <v>0</v>
      </c>
      <c r="C5" s="1693"/>
      <c r="D5" s="1693"/>
      <c r="E5" s="1693"/>
      <c r="F5" s="1693"/>
      <c r="G5" s="1693"/>
      <c r="H5" s="1693"/>
      <c r="I5" s="1693"/>
      <c r="J5" s="1693"/>
      <c r="K5" s="1693"/>
      <c r="L5" s="1693"/>
      <c r="M5" s="1693"/>
    </row>
    <row r="6" spans="2:13" x14ac:dyDescent="0.25">
      <c r="B6" s="1693" t="s">
        <v>1</v>
      </c>
      <c r="C6" s="1693"/>
      <c r="D6" s="1693"/>
      <c r="E6" s="1693"/>
      <c r="F6" s="1693"/>
      <c r="G6" s="1693"/>
      <c r="H6" s="1693"/>
      <c r="I6" s="1693"/>
      <c r="J6" s="1693"/>
      <c r="K6" s="1693"/>
      <c r="L6" s="1693"/>
      <c r="M6" s="1693"/>
    </row>
    <row r="7" spans="2:13" x14ac:dyDescent="0.25">
      <c r="B7" s="1693" t="s">
        <v>3</v>
      </c>
      <c r="C7" s="1693"/>
      <c r="D7" s="1693"/>
      <c r="E7" s="1693"/>
      <c r="F7" s="1693"/>
      <c r="G7" s="1693"/>
      <c r="H7" s="1693"/>
      <c r="I7" s="1693"/>
      <c r="J7" s="1693"/>
      <c r="K7" s="1693"/>
      <c r="L7" s="1693"/>
      <c r="M7" s="1693"/>
    </row>
    <row r="8" spans="2:13" x14ac:dyDescent="0.25">
      <c r="B8" s="1693" t="s">
        <v>1454</v>
      </c>
      <c r="C8" s="1693"/>
      <c r="D8" s="1693"/>
      <c r="E8" s="1693"/>
      <c r="F8" s="1693"/>
      <c r="G8" s="1693"/>
      <c r="H8" s="1693"/>
      <c r="I8" s="1693"/>
      <c r="J8" s="1693"/>
      <c r="K8" s="1693"/>
      <c r="L8" s="1693"/>
      <c r="M8" s="1693"/>
    </row>
    <row r="9" spans="2:13" x14ac:dyDescent="0.25">
      <c r="B9" s="1694" t="s">
        <v>886</v>
      </c>
      <c r="C9" s="1694"/>
      <c r="D9" s="1694"/>
      <c r="E9" s="1694"/>
      <c r="F9" s="1694"/>
      <c r="G9" s="1694"/>
      <c r="H9" s="1694"/>
      <c r="I9" s="1694"/>
      <c r="J9" s="1694"/>
      <c r="K9" s="1694"/>
      <c r="L9" s="1694"/>
      <c r="M9" s="1694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717" t="s">
        <v>7</v>
      </c>
      <c r="C11" s="1717" t="s">
        <v>802</v>
      </c>
      <c r="D11" s="1718" t="s">
        <v>9</v>
      </c>
      <c r="E11" s="1046" t="s">
        <v>12</v>
      </c>
      <c r="F11" s="1719" t="s">
        <v>13</v>
      </c>
      <c r="G11" s="1716" t="s">
        <v>14</v>
      </c>
      <c r="H11" s="1716" t="s">
        <v>15</v>
      </c>
      <c r="I11" s="1716" t="s">
        <v>16</v>
      </c>
      <c r="J11" s="1716" t="s">
        <v>17</v>
      </c>
      <c r="K11" s="1716" t="s">
        <v>18</v>
      </c>
      <c r="L11" s="1716" t="s">
        <v>19</v>
      </c>
      <c r="M11" s="1716" t="s">
        <v>20</v>
      </c>
    </row>
    <row r="12" spans="2:13" ht="16.5" customHeight="1" x14ac:dyDescent="0.25">
      <c r="B12" s="1717"/>
      <c r="C12" s="1717"/>
      <c r="D12" s="1718"/>
      <c r="E12" s="1046" t="s">
        <v>21</v>
      </c>
      <c r="F12" s="1719"/>
      <c r="G12" s="1716"/>
      <c r="H12" s="1716"/>
      <c r="I12" s="1716"/>
      <c r="J12" s="1716"/>
      <c r="K12" s="1716"/>
      <c r="L12" s="1716"/>
      <c r="M12" s="1716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2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2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2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2" customHeight="1" x14ac:dyDescent="0.25">
      <c r="B25" s="897" t="s">
        <v>1462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2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2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2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2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2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2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2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2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2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2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2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2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2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2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2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2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2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2" customHeight="1" x14ac:dyDescent="0.25">
      <c r="B46" s="897" t="s">
        <v>1468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2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2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2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2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2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2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12" customHeight="1" x14ac:dyDescent="0.25">
      <c r="B55" s="1129" t="s">
        <v>865</v>
      </c>
      <c r="C55" s="1041"/>
      <c r="D55" s="1128">
        <f>+D52+D48+D44+D39+D35+D27+D23+D19+D15+D31</f>
        <v>11</v>
      </c>
      <c r="E55" s="1130">
        <f>+E15+E19+E23+E31+E35+E39+E44+E48+E52+E26</f>
        <v>218000</v>
      </c>
      <c r="F55" s="1131">
        <v>0</v>
      </c>
      <c r="G55" s="1130">
        <f t="shared" ref="G55:M55" si="13">+G15+G19+G23+G31+G35+G39+G44+G48+G52+G26</f>
        <v>218000</v>
      </c>
      <c r="H55" s="1130">
        <f t="shared" si="13"/>
        <v>6256.6</v>
      </c>
      <c r="I55" s="1130">
        <f t="shared" si="13"/>
        <v>40127.730000000003</v>
      </c>
      <c r="J55" s="1130">
        <f t="shared" si="13"/>
        <v>6627.2</v>
      </c>
      <c r="K55" s="1131">
        <v>0</v>
      </c>
      <c r="L55" s="1130">
        <f t="shared" si="13"/>
        <v>53011.53</v>
      </c>
      <c r="M55" s="1130">
        <f t="shared" si="13"/>
        <v>164988.47000000003</v>
      </c>
    </row>
    <row r="69" spans="2:12" ht="38.25" customHeight="1" x14ac:dyDescent="0.25">
      <c r="B69" s="916"/>
      <c r="C69" s="916"/>
      <c r="D69" s="917"/>
      <c r="E69" s="918"/>
      <c r="F69" s="919"/>
      <c r="G69" s="1696" t="s">
        <v>1372</v>
      </c>
      <c r="H69" s="1696"/>
      <c r="I69" s="1696"/>
      <c r="J69" s="1696"/>
      <c r="K69" s="1696"/>
      <c r="L69" s="1696"/>
    </row>
    <row r="70" spans="2:12" x14ac:dyDescent="0.25">
      <c r="B70" s="1083" t="s">
        <v>1238</v>
      </c>
      <c r="C70" s="1083"/>
      <c r="D70" s="921"/>
      <c r="E70" s="915"/>
      <c r="F70" s="915"/>
      <c r="G70" s="1702" t="s">
        <v>1222</v>
      </c>
      <c r="H70" s="1702"/>
      <c r="I70" s="1702"/>
      <c r="J70" s="1702"/>
      <c r="K70" s="1702"/>
      <c r="L70" s="1702"/>
    </row>
    <row r="71" spans="2:12" x14ac:dyDescent="0.25">
      <c r="B71" s="916" t="s">
        <v>1239</v>
      </c>
      <c r="C71" s="916"/>
      <c r="D71" s="915"/>
      <c r="E71" s="915"/>
      <c r="F71" s="923"/>
      <c r="G71" s="1701" t="s">
        <v>1224</v>
      </c>
      <c r="H71" s="1701"/>
      <c r="I71" s="1701"/>
      <c r="J71" s="1701"/>
      <c r="K71" s="1701"/>
      <c r="L71" s="1701"/>
    </row>
    <row r="81" spans="5:13" x14ac:dyDescent="0.25">
      <c r="E81" s="924"/>
      <c r="F81" s="923"/>
      <c r="G81" s="915"/>
      <c r="H81" s="1698"/>
      <c r="I81" s="1698"/>
      <c r="J81" s="1698"/>
      <c r="K81" s="1698"/>
      <c r="L81" s="1698"/>
      <c r="M81" s="1698"/>
    </row>
    <row r="82" spans="5:13" x14ac:dyDescent="0.25">
      <c r="E82" s="925"/>
      <c r="F82" s="1694"/>
      <c r="G82" s="1694"/>
      <c r="H82" s="1694"/>
      <c r="I82" s="1694"/>
      <c r="J82" s="1694"/>
      <c r="K82" s="926"/>
      <c r="L82" s="926"/>
      <c r="M82" s="886"/>
    </row>
    <row r="83" spans="5:13" x14ac:dyDescent="0.25">
      <c r="E83" s="927" t="s">
        <v>641</v>
      </c>
      <c r="F83" s="927"/>
      <c r="G83" s="927"/>
      <c r="H83" s="927"/>
      <c r="I83" s="927"/>
      <c r="J83" s="927"/>
      <c r="K83" s="927"/>
      <c r="L83" s="927"/>
      <c r="M83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9:L69"/>
    <mergeCell ref="G70:L70"/>
    <mergeCell ref="G71:L71"/>
    <mergeCell ref="H81:M81"/>
    <mergeCell ref="F82:J8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1488E2-8128-4E10-903E-95E0F6DB6E0E}">
  <sheetPr>
    <pageSetUpPr fitToPage="1"/>
  </sheetPr>
  <dimension ref="B5:M43"/>
  <sheetViews>
    <sheetView showGridLines="0" topLeftCell="A17" zoomScale="118" zoomScaleNormal="118" workbookViewId="0">
      <selection activeCell="D44" sqref="D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556" t="s">
        <v>0</v>
      </c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</row>
    <row r="6" spans="2:13" x14ac:dyDescent="0.25">
      <c r="B6" s="1556" t="s">
        <v>1</v>
      </c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2:13" x14ac:dyDescent="0.25">
      <c r="B7" s="1556" t="s">
        <v>3</v>
      </c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2:13" x14ac:dyDescent="0.25">
      <c r="B8" s="1556" t="s">
        <v>1455</v>
      </c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2:13" x14ac:dyDescent="0.25">
      <c r="B9" s="1557" t="s">
        <v>1197</v>
      </c>
      <c r="C9" s="1557"/>
      <c r="D9" s="1557"/>
      <c r="E9" s="1557"/>
      <c r="F9" s="1557"/>
      <c r="G9" s="1557"/>
      <c r="H9" s="1557"/>
      <c r="I9" s="1557"/>
      <c r="J9" s="1557"/>
      <c r="K9" s="1557"/>
      <c r="L9" s="1557"/>
      <c r="M9" s="1557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712" t="s">
        <v>7</v>
      </c>
      <c r="C11" s="1709" t="s">
        <v>802</v>
      </c>
      <c r="D11" s="1709" t="s">
        <v>9</v>
      </c>
      <c r="E11" s="1067" t="s">
        <v>12</v>
      </c>
      <c r="F11" s="1721" t="s">
        <v>13</v>
      </c>
      <c r="G11" s="1720" t="s">
        <v>14</v>
      </c>
      <c r="H11" s="1720" t="s">
        <v>15</v>
      </c>
      <c r="I11" s="1720" t="s">
        <v>16</v>
      </c>
      <c r="J11" s="1720" t="s">
        <v>17</v>
      </c>
      <c r="K11" s="1720" t="s">
        <v>18</v>
      </c>
      <c r="L11" s="1720" t="s">
        <v>19</v>
      </c>
      <c r="M11" s="1720" t="s">
        <v>20</v>
      </c>
    </row>
    <row r="12" spans="2:13" ht="15" customHeight="1" x14ac:dyDescent="0.25">
      <c r="B12" s="1712"/>
      <c r="C12" s="1709"/>
      <c r="D12" s="1709"/>
      <c r="E12" s="1067" t="s">
        <v>21</v>
      </c>
      <c r="F12" s="1721"/>
      <c r="G12" s="1720"/>
      <c r="H12" s="1720"/>
      <c r="I12" s="1720"/>
      <c r="J12" s="1720"/>
      <c r="K12" s="1720"/>
      <c r="L12" s="1720"/>
      <c r="M12" s="1720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682" t="s">
        <v>1250</v>
      </c>
      <c r="H38" s="1682"/>
      <c r="I38" s="1682"/>
      <c r="J38" s="1682"/>
      <c r="K38" s="1682"/>
      <c r="L38" s="1682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627" t="s">
        <v>852</v>
      </c>
      <c r="H39" s="1627"/>
      <c r="I39" s="1627"/>
      <c r="J39" s="1627"/>
      <c r="K39" s="1627"/>
      <c r="L39" s="1627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628" t="s">
        <v>1257</v>
      </c>
      <c r="H40" s="1628"/>
      <c r="I40" s="1628"/>
      <c r="J40" s="1628"/>
      <c r="K40" s="1628"/>
      <c r="L40" s="1628"/>
      <c r="M40" s="537"/>
    </row>
    <row r="41" spans="2:13" x14ac:dyDescent="0.25">
      <c r="B41" s="546"/>
      <c r="C41" s="546"/>
      <c r="D41" s="547"/>
      <c r="E41" s="541"/>
      <c r="F41" s="540"/>
      <c r="G41" s="537"/>
      <c r="H41" s="1629"/>
      <c r="I41" s="1629"/>
      <c r="J41" s="1629"/>
      <c r="K41" s="1629"/>
      <c r="L41" s="1629"/>
      <c r="M41" s="1629"/>
    </row>
    <row r="42" spans="2:13" ht="15.75" x14ac:dyDescent="0.25">
      <c r="B42" s="267"/>
      <c r="C42" s="267"/>
      <c r="D42" s="268"/>
      <c r="E42" s="269"/>
      <c r="F42" s="1549"/>
      <c r="G42" s="1549"/>
      <c r="H42" s="1549"/>
      <c r="I42" s="1549"/>
      <c r="J42" s="1549"/>
      <c r="K42" s="271"/>
      <c r="L42" s="271"/>
      <c r="M42" s="259"/>
    </row>
    <row r="43" spans="2:13" x14ac:dyDescent="0.25">
      <c r="E43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1:M41"/>
    <mergeCell ref="F42:J42"/>
  </mergeCells>
  <pageMargins left="0.63" right="0.7" top="0.75" bottom="0.75" header="0.3" footer="0.3"/>
  <pageSetup paperSize="3" scale="86" orientation="landscape" r:id="rId1"/>
  <drawing r:id="rId2"/>
</worksheet>
</file>

<file path=xl/worksheets/sheet2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0657BF-EBBA-4706-AFF0-71D69B9487AB}">
  <dimension ref="B1:O45"/>
  <sheetViews>
    <sheetView topLeftCell="A10" zoomScaleNormal="100" workbookViewId="0">
      <selection activeCell="E37" sqref="E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551" t="s">
        <v>0</v>
      </c>
      <c r="C6" s="1551"/>
      <c r="D6" s="1551"/>
      <c r="E6" s="1551"/>
      <c r="F6" s="1551"/>
      <c r="G6" s="1551"/>
      <c r="H6" s="1551"/>
      <c r="I6" s="1551"/>
      <c r="J6" s="1551"/>
      <c r="K6" s="1551"/>
      <c r="L6" s="1551"/>
      <c r="M6" s="1551"/>
      <c r="N6" s="1551"/>
      <c r="O6" s="259"/>
    </row>
    <row r="7" spans="2:15" x14ac:dyDescent="0.25">
      <c r="B7" s="1551" t="s">
        <v>1</v>
      </c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  <c r="O7" s="259"/>
    </row>
    <row r="8" spans="2:15" x14ac:dyDescent="0.25">
      <c r="B8" s="1551" t="s">
        <v>3</v>
      </c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  <c r="O8" s="259"/>
    </row>
    <row r="9" spans="2:15" x14ac:dyDescent="0.25">
      <c r="B9" s="1551" t="s">
        <v>1457</v>
      </c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  <c r="O9" s="259"/>
    </row>
    <row r="10" spans="2:15" x14ac:dyDescent="0.25">
      <c r="B10" s="1637" t="s">
        <v>412</v>
      </c>
      <c r="C10" s="1637"/>
      <c r="D10" s="1637"/>
      <c r="E10" s="1637"/>
      <c r="F10" s="1637"/>
      <c r="G10" s="1637"/>
      <c r="H10" s="1637"/>
      <c r="I10" s="1637"/>
      <c r="J10" s="1637"/>
      <c r="K10" s="1637"/>
      <c r="L10" s="1637"/>
      <c r="M10" s="1637"/>
      <c r="N10" s="1637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712" t="s">
        <v>7</v>
      </c>
      <c r="C12" s="1709" t="s">
        <v>937</v>
      </c>
      <c r="D12" s="1709" t="s">
        <v>9</v>
      </c>
      <c r="E12" s="1067" t="s">
        <v>832</v>
      </c>
      <c r="F12" s="1721" t="s">
        <v>12</v>
      </c>
      <c r="G12" s="1720" t="s">
        <v>13</v>
      </c>
      <c r="H12" s="1720" t="s">
        <v>14</v>
      </c>
      <c r="I12" s="1720" t="s">
        <v>15</v>
      </c>
      <c r="J12" s="1720" t="s">
        <v>16</v>
      </c>
      <c r="K12" s="1720" t="s">
        <v>17</v>
      </c>
      <c r="L12" s="1720" t="s">
        <v>18</v>
      </c>
      <c r="M12" s="1720" t="s">
        <v>19</v>
      </c>
      <c r="N12" s="1712" t="s">
        <v>20</v>
      </c>
    </row>
    <row r="13" spans="2:15" x14ac:dyDescent="0.25">
      <c r="B13" s="1712"/>
      <c r="C13" s="1709"/>
      <c r="D13" s="1709"/>
      <c r="E13" s="1067" t="s">
        <v>21</v>
      </c>
      <c r="F13" s="1721" t="s">
        <v>21</v>
      </c>
      <c r="G13" s="1720"/>
      <c r="H13" s="1720"/>
      <c r="I13" s="1720"/>
      <c r="J13" s="1720"/>
      <c r="K13" s="1720"/>
      <c r="L13" s="1720"/>
      <c r="M13" s="1720"/>
      <c r="N13" s="1712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8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6"/>
      <c r="E17" s="453"/>
      <c r="F17" s="453"/>
      <c r="G17" s="526"/>
      <c r="H17" s="494"/>
      <c r="I17" s="495"/>
      <c r="J17" s="494"/>
      <c r="K17" s="494"/>
      <c r="L17" s="494"/>
      <c r="M17" s="494"/>
      <c r="N17" s="494"/>
    </row>
    <row r="18" spans="2:15" ht="22.5" customHeight="1" x14ac:dyDescent="0.25">
      <c r="B18" s="1088" t="s">
        <v>865</v>
      </c>
      <c r="C18" s="1087"/>
      <c r="D18" s="1049">
        <v>1</v>
      </c>
      <c r="E18" s="1067"/>
      <c r="F18" s="1104">
        <v>80000</v>
      </c>
      <c r="G18" s="1105">
        <f t="shared" si="0"/>
        <v>0</v>
      </c>
      <c r="H18" s="1104">
        <v>80000</v>
      </c>
      <c r="I18" s="1106">
        <v>2296</v>
      </c>
      <c r="J18" s="1106">
        <v>7400.87</v>
      </c>
      <c r="K18" s="1106">
        <v>2432</v>
      </c>
      <c r="L18" s="1106">
        <v>2134</v>
      </c>
      <c r="M18" s="1106">
        <v>14262.87</v>
      </c>
      <c r="N18" s="1107">
        <v>65737.13</v>
      </c>
    </row>
    <row r="19" spans="2:15" x14ac:dyDescent="0.25"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  <c r="O19" s="259"/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542" t="s">
        <v>1258</v>
      </c>
      <c r="C36" s="542"/>
      <c r="D36" s="542"/>
      <c r="E36" s="543"/>
      <c r="F36" s="543"/>
      <c r="G36" s="544"/>
      <c r="H36" s="545"/>
      <c r="I36" s="1626" t="s">
        <v>1225</v>
      </c>
      <c r="J36" s="1626"/>
      <c r="K36" s="1626"/>
      <c r="L36" s="1626"/>
      <c r="M36" s="1626"/>
      <c r="N36" s="1626"/>
      <c r="O36" s="544"/>
    </row>
    <row r="37" spans="2:15" x14ac:dyDescent="0.25">
      <c r="B37" s="546" t="s">
        <v>1444</v>
      </c>
      <c r="C37" s="546"/>
      <c r="D37" s="546"/>
      <c r="E37" s="538"/>
      <c r="F37" s="537"/>
      <c r="G37" s="537"/>
      <c r="H37" s="537"/>
      <c r="I37" s="1627" t="s">
        <v>852</v>
      </c>
      <c r="J37" s="1627"/>
      <c r="K37" s="1627"/>
      <c r="L37" s="1627"/>
      <c r="M37" s="1627"/>
      <c r="N37" s="1627"/>
      <c r="O37" s="539"/>
    </row>
    <row r="38" spans="2:15" x14ac:dyDescent="0.25">
      <c r="B38" s="542" t="s">
        <v>1230</v>
      </c>
      <c r="C38" s="542"/>
      <c r="D38" s="542"/>
      <c r="E38" s="537"/>
      <c r="F38" s="537"/>
      <c r="G38" s="537"/>
      <c r="H38" s="540"/>
      <c r="I38" s="1628" t="s">
        <v>1445</v>
      </c>
      <c r="J38" s="1628"/>
      <c r="K38" s="1628"/>
      <c r="L38" s="1628"/>
      <c r="M38" s="1628"/>
      <c r="N38" s="1628"/>
      <c r="O38" s="537"/>
    </row>
    <row r="39" spans="2:15" x14ac:dyDescent="0.25">
      <c r="B39" s="546"/>
      <c r="C39" s="546"/>
      <c r="D39" s="546"/>
      <c r="E39" s="547"/>
      <c r="F39" s="546"/>
      <c r="G39" s="541"/>
      <c r="H39" s="540"/>
      <c r="I39" s="537"/>
      <c r="J39" s="1629"/>
      <c r="K39" s="1629"/>
      <c r="L39" s="1629"/>
      <c r="M39" s="1629"/>
      <c r="N39" s="1629"/>
      <c r="O39" s="1629"/>
    </row>
    <row r="40" spans="2:15" ht="15.75" x14ac:dyDescent="0.25">
      <c r="B40" s="267"/>
      <c r="C40" s="267"/>
      <c r="D40" s="267"/>
      <c r="E40" s="268"/>
      <c r="F40" s="268"/>
      <c r="G40" s="269"/>
      <c r="H40" s="1549"/>
      <c r="I40" s="1549"/>
      <c r="J40" s="1549"/>
      <c r="K40" s="1549"/>
      <c r="L40" s="1549"/>
      <c r="M40" s="271"/>
      <c r="N40" s="271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  <row r="44" spans="2:15" x14ac:dyDescent="0.25"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0:L40"/>
    <mergeCell ref="H12:H13"/>
    <mergeCell ref="I12:I13"/>
    <mergeCell ref="J12:J13"/>
    <mergeCell ref="K12:K13"/>
    <mergeCell ref="L12:L13"/>
    <mergeCell ref="N12:N13"/>
    <mergeCell ref="I36:N36"/>
    <mergeCell ref="I37:N37"/>
    <mergeCell ref="I38:N38"/>
    <mergeCell ref="J39:O39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A055F9-F8B8-4BD1-8DB2-0FD4D184E49F}">
  <sheetPr>
    <pageSetUpPr fitToPage="1"/>
  </sheetPr>
  <dimension ref="B6:M36"/>
  <sheetViews>
    <sheetView showGridLines="0" zoomScale="118" zoomScaleNormal="118" workbookViewId="0">
      <selection activeCell="B26" sqref="B26:B27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56" t="s">
        <v>0</v>
      </c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2:13" x14ac:dyDescent="0.25">
      <c r="B7" s="1556" t="s">
        <v>1</v>
      </c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2:13" x14ac:dyDescent="0.25">
      <c r="B8" s="1556" t="s">
        <v>3</v>
      </c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2:13" x14ac:dyDescent="0.25">
      <c r="B9" s="1556" t="s">
        <v>1466</v>
      </c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2:13" x14ac:dyDescent="0.25">
      <c r="B10" s="1557" t="s">
        <v>1197</v>
      </c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  <c r="M10" s="1557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712" t="s">
        <v>7</v>
      </c>
      <c r="C12" s="1709" t="s">
        <v>802</v>
      </c>
      <c r="D12" s="1709" t="s">
        <v>10</v>
      </c>
      <c r="E12" s="1067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2:13" ht="15" customHeight="1" x14ac:dyDescent="0.25">
      <c r="B13" s="1712"/>
      <c r="C13" s="1709"/>
      <c r="D13" s="1709"/>
      <c r="E13" s="1067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82" t="s">
        <v>1255</v>
      </c>
      <c r="H31" s="1682"/>
      <c r="I31" s="1682"/>
      <c r="J31" s="1682"/>
      <c r="K31" s="1682"/>
      <c r="L31" s="1682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627" t="s">
        <v>852</v>
      </c>
      <c r="H32" s="1627"/>
      <c r="I32" s="1627"/>
      <c r="J32" s="1627"/>
      <c r="K32" s="1627"/>
      <c r="L32" s="1627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628" t="s">
        <v>1257</v>
      </c>
      <c r="H33" s="1628"/>
      <c r="I33" s="1628"/>
      <c r="J33" s="1628"/>
      <c r="K33" s="1628"/>
      <c r="L33" s="1628"/>
      <c r="M33" s="537"/>
    </row>
    <row r="34" spans="2:13" x14ac:dyDescent="0.25">
      <c r="B34" s="546"/>
      <c r="C34" s="546"/>
      <c r="D34" s="547"/>
      <c r="E34" s="541"/>
      <c r="F34" s="540"/>
      <c r="G34" s="537"/>
      <c r="H34" s="1629"/>
      <c r="I34" s="1629"/>
      <c r="J34" s="1629"/>
      <c r="K34" s="1629"/>
      <c r="L34" s="1629"/>
      <c r="M34" s="1629"/>
    </row>
    <row r="35" spans="2:13" ht="15.75" x14ac:dyDescent="0.25">
      <c r="B35" s="267"/>
      <c r="C35" s="267"/>
      <c r="D35" s="268"/>
      <c r="E35" s="269"/>
      <c r="F35" s="1549"/>
      <c r="G35" s="1549"/>
      <c r="H35" s="1549"/>
      <c r="I35" s="1549"/>
      <c r="J35" s="1549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18C17-D66E-40EB-AB2D-6298C6F3AC53}">
  <dimension ref="A1:N262"/>
  <sheetViews>
    <sheetView showGridLines="0" zoomScale="80" zoomScaleNormal="80" workbookViewId="0">
      <selection activeCell="A33" sqref="A33"/>
    </sheetView>
  </sheetViews>
  <sheetFormatPr baseColWidth="10" defaultRowHeight="15" x14ac:dyDescent="0.25"/>
  <cols>
    <col min="1" max="1" width="84.425781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685" t="s">
        <v>0</v>
      </c>
      <c r="B6" s="1685"/>
      <c r="C6" s="1685"/>
      <c r="D6" s="1685"/>
      <c r="E6" s="1685"/>
      <c r="F6" s="1685"/>
      <c r="G6" s="1685"/>
      <c r="H6" s="1685"/>
      <c r="I6" s="1685"/>
      <c r="J6" s="1685"/>
      <c r="K6" s="1685"/>
      <c r="L6" s="1685"/>
      <c r="M6" s="1685"/>
    </row>
    <row r="7" spans="1:14" ht="0.75" customHeight="1" x14ac:dyDescent="0.25">
      <c r="A7" s="1685"/>
      <c r="B7" s="1685"/>
      <c r="C7" s="1685"/>
      <c r="D7" s="1685"/>
      <c r="E7" s="1685"/>
      <c r="F7" s="1685"/>
      <c r="G7" s="1685"/>
      <c r="H7" s="1685"/>
      <c r="I7" s="1685"/>
      <c r="J7" s="1685"/>
      <c r="K7" s="1685"/>
      <c r="L7" s="1685"/>
      <c r="M7" s="1685"/>
      <c r="N7" s="1685"/>
    </row>
    <row r="8" spans="1:14" ht="15.75" x14ac:dyDescent="0.25">
      <c r="A8" s="1685" t="s">
        <v>1460</v>
      </c>
      <c r="B8" s="1685"/>
      <c r="C8" s="1685"/>
      <c r="D8" s="1685"/>
      <c r="E8" s="1685"/>
      <c r="F8" s="1685"/>
      <c r="G8" s="1685"/>
      <c r="H8" s="1685"/>
      <c r="I8" s="1685"/>
      <c r="J8" s="1685"/>
      <c r="K8" s="1685"/>
      <c r="L8" s="1685"/>
      <c r="M8" s="1685"/>
    </row>
    <row r="9" spans="1:14" ht="15.75" x14ac:dyDescent="0.25">
      <c r="A9" s="1685" t="s">
        <v>1469</v>
      </c>
      <c r="B9" s="1685"/>
      <c r="C9" s="1685"/>
      <c r="D9" s="1685"/>
      <c r="E9" s="1685"/>
      <c r="F9" s="1685"/>
      <c r="G9" s="1685"/>
      <c r="H9" s="1685"/>
      <c r="I9" s="1685"/>
      <c r="J9" s="1685"/>
      <c r="K9" s="1685"/>
      <c r="L9" s="1685"/>
      <c r="M9" s="1685"/>
    </row>
    <row r="10" spans="1:14" ht="15.75" x14ac:dyDescent="0.25">
      <c r="A10" s="1706" t="s">
        <v>404</v>
      </c>
      <c r="B10" s="1706"/>
      <c r="C10" s="1706"/>
      <c r="D10" s="1706"/>
      <c r="E10" s="1706"/>
      <c r="F10" s="1706"/>
      <c r="G10" s="1706"/>
      <c r="H10" s="1706"/>
      <c r="I10" s="1706"/>
      <c r="J10" s="1706"/>
      <c r="K10" s="1706"/>
      <c r="L10" s="1706"/>
      <c r="M10" s="170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707" t="s">
        <v>7</v>
      </c>
      <c r="B12" s="1707" t="s">
        <v>802</v>
      </c>
      <c r="C12" s="1707" t="s">
        <v>9</v>
      </c>
      <c r="D12" s="1707" t="s">
        <v>11</v>
      </c>
      <c r="E12" s="1057" t="s">
        <v>12</v>
      </c>
      <c r="F12" s="1704" t="s">
        <v>13</v>
      </c>
      <c r="G12" s="1705" t="s">
        <v>14</v>
      </c>
      <c r="H12" s="1705" t="s">
        <v>15</v>
      </c>
      <c r="I12" s="1723" t="s">
        <v>16</v>
      </c>
      <c r="J12" s="1705" t="s">
        <v>17</v>
      </c>
      <c r="K12" s="1705" t="s">
        <v>18</v>
      </c>
      <c r="L12" s="1723" t="s">
        <v>19</v>
      </c>
      <c r="M12" s="1705" t="s">
        <v>20</v>
      </c>
    </row>
    <row r="13" spans="1:14" ht="15.75" x14ac:dyDescent="0.25">
      <c r="A13" s="1707"/>
      <c r="B13" s="1707"/>
      <c r="C13" s="1707"/>
      <c r="D13" s="1707"/>
      <c r="E13" s="1057" t="s">
        <v>21</v>
      </c>
      <c r="F13" s="1704"/>
      <c r="G13" s="1705"/>
      <c r="H13" s="1705"/>
      <c r="I13" s="1723"/>
      <c r="J13" s="1705"/>
      <c r="K13" s="1705"/>
      <c r="L13" s="1723"/>
      <c r="M13" s="1705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>+H33+I33+J33+K33</f>
        <v>4990.6100000000006</v>
      </c>
      <c r="M33" s="953">
        <f t="shared" ref="M33:M40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>+H34+I34+J34+K34</f>
        <v>3632.4700000000003</v>
      </c>
      <c r="M34" s="953">
        <f t="shared" si="4"/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1">
        <v>2331.06</v>
      </c>
      <c r="M35" s="953">
        <f t="shared" si="4"/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>+H36+I36+J36+K36</f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3">
        <f t="shared" si="4"/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1">
        <f>+H40+I40+J40+K40</f>
        <v>3532.4700000000003</v>
      </c>
      <c r="M40" s="953">
        <f t="shared" si="4"/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6">SUM(G32:G40)</f>
        <v>538500</v>
      </c>
      <c r="H41" s="963">
        <f t="shared" si="6"/>
        <v>15454.950000000003</v>
      </c>
      <c r="I41" s="963">
        <f t="shared" si="6"/>
        <v>38824.790000000008</v>
      </c>
      <c r="J41" s="963">
        <f t="shared" si="6"/>
        <v>16370.399999999998</v>
      </c>
      <c r="K41" s="963">
        <f t="shared" si="6"/>
        <v>7186.84</v>
      </c>
      <c r="L41" s="963">
        <f t="shared" si="6"/>
        <v>77836.98000000001</v>
      </c>
      <c r="M41" s="963">
        <f t="shared" si="6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3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1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7">SUM(H44)</f>
        <v>2152.5</v>
      </c>
      <c r="I45" s="963">
        <f t="shared" si="7"/>
        <v>6309.38</v>
      </c>
      <c r="J45" s="965">
        <f t="shared" si="7"/>
        <v>2280</v>
      </c>
      <c r="K45" s="963">
        <f t="shared" si="7"/>
        <v>25</v>
      </c>
      <c r="L45" s="963">
        <f t="shared" si="7"/>
        <v>10766.880000000001</v>
      </c>
      <c r="M45" s="965">
        <f t="shared" si="7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3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1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1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8">SUM(F48:F49)</f>
        <v>0</v>
      </c>
      <c r="G50" s="965">
        <f t="shared" si="8"/>
        <v>61500</v>
      </c>
      <c r="H50" s="965">
        <f t="shared" si="8"/>
        <v>1765.05</v>
      </c>
      <c r="I50" s="1071">
        <f t="shared" si="8"/>
        <v>0</v>
      </c>
      <c r="J50" s="965">
        <f t="shared" si="8"/>
        <v>1869.6</v>
      </c>
      <c r="K50" s="963">
        <f t="shared" si="8"/>
        <v>1765.46</v>
      </c>
      <c r="L50" s="963">
        <f t="shared" si="8"/>
        <v>5400.1100000000006</v>
      </c>
      <c r="M50" s="965">
        <f t="shared" si="8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3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1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9">SUM(E53:E53)</f>
        <v>35000</v>
      </c>
      <c r="F54" s="964">
        <f t="shared" si="9"/>
        <v>0</v>
      </c>
      <c r="G54" s="965">
        <f t="shared" si="9"/>
        <v>35000</v>
      </c>
      <c r="H54" s="965">
        <f t="shared" si="9"/>
        <v>1004.5</v>
      </c>
      <c r="I54" s="1071">
        <f t="shared" si="9"/>
        <v>0</v>
      </c>
      <c r="J54" s="965">
        <f t="shared" si="9"/>
        <v>1064</v>
      </c>
      <c r="K54" s="963">
        <f t="shared" si="9"/>
        <v>25</v>
      </c>
      <c r="L54" s="963">
        <f t="shared" si="9"/>
        <v>2093.5</v>
      </c>
      <c r="M54" s="965">
        <f t="shared" si="9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3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1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1">
        <f>+H58+I58+J58+K58</f>
        <v>2386.65</v>
      </c>
      <c r="M58" s="953">
        <f t="shared" ref="M58:M59" si="10"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1">
        <f>+H59+I59+J59+K59</f>
        <v>2316.15</v>
      </c>
      <c r="M59" s="953">
        <f t="shared" si="10"/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3">
        <f>SUM(L57:L59)</f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3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3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1">
        <f t="shared" ref="L63:L73" si="12"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1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>SUM(L63:L73)</f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7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3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3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1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1">
        <f>+H88+I88+J88+K88</f>
        <v>1798</v>
      </c>
      <c r="M88" s="953">
        <f t="shared" si="17"/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936.62</v>
      </c>
      <c r="J89" s="963">
        <f t="shared" si="18"/>
        <v>10032</v>
      </c>
      <c r="K89" s="963">
        <f>SUM(K77:K88)</f>
        <v>14543.57</v>
      </c>
      <c r="L89" s="963">
        <f>SUM(L77:L88)</f>
        <v>34983.19</v>
      </c>
      <c r="M89" s="963">
        <f>SUM(M77:M88)</f>
        <v>295016.81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3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1">SUM(G106:G107)</f>
        <v>87000</v>
      </c>
      <c r="H108" s="963">
        <f t="shared" si="21"/>
        <v>2496.9</v>
      </c>
      <c r="I108" s="963">
        <f t="shared" si="21"/>
        <v>1873.24</v>
      </c>
      <c r="J108" s="963">
        <f t="shared" si="21"/>
        <v>2644.8</v>
      </c>
      <c r="K108" s="963">
        <f t="shared" si="21"/>
        <v>50</v>
      </c>
      <c r="L108" s="963">
        <f t="shared" si="21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2">SUM(G111:G111)</f>
        <v>80000</v>
      </c>
      <c r="H112" s="965">
        <f t="shared" si="22"/>
        <v>2296</v>
      </c>
      <c r="I112" s="963">
        <f t="shared" si="22"/>
        <v>6972</v>
      </c>
      <c r="J112" s="965">
        <f t="shared" si="22"/>
        <v>2432</v>
      </c>
      <c r="K112" s="963">
        <f t="shared" si="22"/>
        <v>1740.46</v>
      </c>
      <c r="L112" s="963">
        <f t="shared" si="22"/>
        <v>13440.46</v>
      </c>
      <c r="M112" s="965">
        <f t="shared" si="22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3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3"/>
        <v>45298.239999999998</v>
      </c>
    </row>
    <row r="118" spans="1:13" ht="18.75" x14ac:dyDescent="0.3">
      <c r="A118" s="958" t="s">
        <v>843</v>
      </c>
      <c r="B118" s="968" t="s">
        <v>806</v>
      </c>
      <c r="C118" s="960" t="s">
        <v>1199</v>
      </c>
      <c r="D118" s="960" t="s">
        <v>1069</v>
      </c>
      <c r="E118" s="951">
        <v>60000</v>
      </c>
      <c r="F118" s="952">
        <v>0</v>
      </c>
      <c r="G118" s="953">
        <v>60000</v>
      </c>
      <c r="H118" s="953">
        <v>1722</v>
      </c>
      <c r="I118" s="951">
        <v>3486.68</v>
      </c>
      <c r="J118" s="953">
        <v>1824</v>
      </c>
      <c r="K118" s="951">
        <v>25</v>
      </c>
      <c r="L118" s="951">
        <f>+H118+I118+J118+K118</f>
        <v>7057.68</v>
      </c>
      <c r="M118" s="953">
        <f t="shared" si="23"/>
        <v>52942.32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3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166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3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3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 t="shared" ref="E122:K122" si="24">SUM(E115:E121)</f>
        <v>507500</v>
      </c>
      <c r="F122" s="964">
        <f t="shared" si="24"/>
        <v>0</v>
      </c>
      <c r="G122" s="963">
        <f t="shared" si="24"/>
        <v>507500</v>
      </c>
      <c r="H122" s="963">
        <f t="shared" si="24"/>
        <v>14565.25</v>
      </c>
      <c r="I122" s="963">
        <f t="shared" si="24"/>
        <v>48609.98</v>
      </c>
      <c r="J122" s="963">
        <f t="shared" si="24"/>
        <v>15428</v>
      </c>
      <c r="K122" s="963">
        <f t="shared" si="24"/>
        <v>22252.239999999998</v>
      </c>
      <c r="L122" s="963">
        <f>SUM(L115:L121)</f>
        <v>100855.47</v>
      </c>
      <c r="M122" s="963">
        <f>SUM(M115:M121)</f>
        <v>406644.53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697</v>
      </c>
      <c r="B126" s="950" t="s">
        <v>807</v>
      </c>
      <c r="C126" s="960" t="s">
        <v>521</v>
      </c>
      <c r="D126" s="960" t="s">
        <v>307</v>
      </c>
      <c r="E126" s="951">
        <v>43500</v>
      </c>
      <c r="F126" s="952">
        <v>0</v>
      </c>
      <c r="G126" s="953">
        <v>43500</v>
      </c>
      <c r="H126" s="953">
        <v>1248.45</v>
      </c>
      <c r="I126" s="974">
        <v>936.62</v>
      </c>
      <c r="J126" s="953">
        <v>1322.4</v>
      </c>
      <c r="K126" s="951">
        <v>25</v>
      </c>
      <c r="L126" s="951">
        <f>+H126+I126+J126+K126</f>
        <v>3532.4700000000003</v>
      </c>
      <c r="M126" s="953">
        <f>+G126-L126</f>
        <v>39967.53</v>
      </c>
    </row>
    <row r="127" spans="1:13" ht="18.75" x14ac:dyDescent="0.3">
      <c r="A127" s="961" t="s">
        <v>749</v>
      </c>
      <c r="B127" s="950"/>
      <c r="C127" s="962">
        <v>2</v>
      </c>
      <c r="D127" s="962"/>
      <c r="E127" s="963">
        <f>SUM(E125:E126)</f>
        <v>93500</v>
      </c>
      <c r="F127" s="964">
        <f t="shared" ref="F127:M127" si="25">SUM(F125:F126)</f>
        <v>0</v>
      </c>
      <c r="G127" s="963">
        <f t="shared" si="25"/>
        <v>93500</v>
      </c>
      <c r="H127" s="963">
        <f t="shared" si="25"/>
        <v>2683.45</v>
      </c>
      <c r="I127" s="963">
        <f t="shared" si="25"/>
        <v>2790.62</v>
      </c>
      <c r="J127" s="963">
        <f t="shared" si="25"/>
        <v>2842.4</v>
      </c>
      <c r="K127" s="963">
        <f t="shared" si="25"/>
        <v>753</v>
      </c>
      <c r="L127" s="963">
        <f t="shared" si="25"/>
        <v>9069.4700000000012</v>
      </c>
      <c r="M127" s="963">
        <f t="shared" si="25"/>
        <v>84430.53</v>
      </c>
    </row>
    <row r="128" spans="1:13" ht="18.75" x14ac:dyDescent="0.3">
      <c r="A128" s="958"/>
      <c r="B128" s="950"/>
      <c r="C128" s="960"/>
      <c r="D128" s="960"/>
      <c r="E128" s="951"/>
      <c r="F128" s="952"/>
      <c r="G128" s="953"/>
      <c r="H128" s="953"/>
      <c r="I128" s="951"/>
      <c r="J128" s="963"/>
      <c r="K128" s="951"/>
      <c r="L128" s="951"/>
      <c r="M128" s="953"/>
    </row>
    <row r="129" spans="1:13" ht="18.75" x14ac:dyDescent="0.3">
      <c r="A129" s="961" t="s">
        <v>842</v>
      </c>
      <c r="B129" s="950"/>
      <c r="C129" s="967"/>
      <c r="D129" s="967"/>
      <c r="E129" s="963"/>
      <c r="F129" s="964"/>
      <c r="G129" s="965"/>
      <c r="H129" s="965"/>
      <c r="I129" s="963"/>
      <c r="J129" s="965"/>
      <c r="K129" s="963"/>
      <c r="L129" s="963"/>
      <c r="M129" s="965"/>
    </row>
    <row r="130" spans="1:13" ht="18.75" x14ac:dyDescent="0.3">
      <c r="A130" s="955" t="s">
        <v>1131</v>
      </c>
      <c r="B130" s="950" t="s">
        <v>806</v>
      </c>
      <c r="C130" s="960" t="s">
        <v>905</v>
      </c>
      <c r="D130" s="960" t="s">
        <v>307</v>
      </c>
      <c r="E130" s="951">
        <v>80000</v>
      </c>
      <c r="F130" s="974">
        <v>0</v>
      </c>
      <c r="G130" s="951">
        <v>80000</v>
      </c>
      <c r="H130" s="951">
        <v>2296</v>
      </c>
      <c r="I130" s="951">
        <v>7400.87</v>
      </c>
      <c r="J130" s="951">
        <v>2432</v>
      </c>
      <c r="K130" s="951">
        <v>828</v>
      </c>
      <c r="L130" s="951">
        <f t="shared" ref="L130:L134" si="26">+H130+I130+J130+K130</f>
        <v>12956.869999999999</v>
      </c>
      <c r="M130" s="951">
        <f>+G130-L130</f>
        <v>67043.13</v>
      </c>
    </row>
    <row r="131" spans="1:13" ht="18.75" x14ac:dyDescent="0.3">
      <c r="A131" s="955" t="s">
        <v>773</v>
      </c>
      <c r="B131" s="950" t="s">
        <v>807</v>
      </c>
      <c r="C131" s="960" t="s">
        <v>774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1">
        <v>2559.6799999999998</v>
      </c>
      <c r="J131" s="951">
        <v>1672</v>
      </c>
      <c r="K131" s="951">
        <v>125</v>
      </c>
      <c r="L131" s="951">
        <v>5935.18</v>
      </c>
      <c r="M131" s="951">
        <f t="shared" ref="M131:M134" si="27">+G131-L131</f>
        <v>49064.82</v>
      </c>
    </row>
    <row r="132" spans="1:13" ht="18.75" x14ac:dyDescent="0.3">
      <c r="A132" s="955" t="s">
        <v>1142</v>
      </c>
      <c r="B132" s="950" t="s">
        <v>806</v>
      </c>
      <c r="C132" s="960" t="s">
        <v>1036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728</v>
      </c>
      <c r="L132" s="951">
        <f t="shared" si="26"/>
        <v>6538.18</v>
      </c>
      <c r="M132" s="951">
        <f t="shared" si="27"/>
        <v>48461.82</v>
      </c>
    </row>
    <row r="133" spans="1:13" ht="18.75" x14ac:dyDescent="0.3">
      <c r="A133" s="955" t="s">
        <v>444</v>
      </c>
      <c r="B133" s="950" t="s">
        <v>806</v>
      </c>
      <c r="C133" s="960" t="s">
        <v>662</v>
      </c>
      <c r="D133" s="960" t="s">
        <v>307</v>
      </c>
      <c r="E133" s="951">
        <v>37500</v>
      </c>
      <c r="F133" s="974">
        <v>0</v>
      </c>
      <c r="G133" s="951">
        <v>37500</v>
      </c>
      <c r="H133" s="951">
        <v>1076.25</v>
      </c>
      <c r="I133" s="974">
        <v>89.81</v>
      </c>
      <c r="J133" s="951">
        <v>1140</v>
      </c>
      <c r="K133" s="951">
        <v>25</v>
      </c>
      <c r="L133" s="951">
        <f t="shared" si="26"/>
        <v>2331.06</v>
      </c>
      <c r="M133" s="951">
        <f t="shared" si="27"/>
        <v>35168.94</v>
      </c>
    </row>
    <row r="134" spans="1:13" ht="18.75" x14ac:dyDescent="0.3">
      <c r="A134" s="955" t="s">
        <v>875</v>
      </c>
      <c r="B134" s="950" t="s">
        <v>807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2291.13</v>
      </c>
      <c r="L134" s="951">
        <f t="shared" si="26"/>
        <v>8101.31</v>
      </c>
      <c r="M134" s="951">
        <f t="shared" si="27"/>
        <v>46898.69</v>
      </c>
    </row>
    <row r="135" spans="1:13" ht="18.75" x14ac:dyDescent="0.3">
      <c r="A135" s="961" t="s">
        <v>749</v>
      </c>
      <c r="B135" s="950"/>
      <c r="C135" s="962">
        <v>5</v>
      </c>
      <c r="D135" s="962"/>
      <c r="E135" s="963">
        <f>SUM(E130:E134)</f>
        <v>282500</v>
      </c>
      <c r="F135" s="964">
        <f>SUM(F134:F134)</f>
        <v>0</v>
      </c>
      <c r="G135" s="963">
        <f t="shared" ref="G135:L135" si="28">SUM(G130:G134)</f>
        <v>282500</v>
      </c>
      <c r="H135" s="963">
        <f t="shared" si="28"/>
        <v>8107.75</v>
      </c>
      <c r="I135" s="963">
        <f t="shared" si="28"/>
        <v>15169.72</v>
      </c>
      <c r="J135" s="963">
        <f t="shared" si="28"/>
        <v>8588</v>
      </c>
      <c r="K135" s="963">
        <f t="shared" si="28"/>
        <v>3997.13</v>
      </c>
      <c r="L135" s="963">
        <f t="shared" si="28"/>
        <v>35862.6</v>
      </c>
      <c r="M135" s="963">
        <f>SUM(M130:M134)</f>
        <v>246637.40000000002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29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29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0">SUM(G138:G140)</f>
        <v>290000</v>
      </c>
      <c r="H141" s="965">
        <f t="shared" si="30"/>
        <v>8323</v>
      </c>
      <c r="I141" s="963">
        <f t="shared" si="30"/>
        <v>36255.85</v>
      </c>
      <c r="J141" s="965">
        <f t="shared" si="30"/>
        <v>8816</v>
      </c>
      <c r="K141" s="963">
        <f t="shared" si="30"/>
        <v>7705.56</v>
      </c>
      <c r="L141" s="963">
        <f t="shared" si="30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1" t="s">
        <v>847</v>
      </c>
      <c r="B145" s="992"/>
      <c r="C145" s="962">
        <v>1</v>
      </c>
      <c r="D145" s="962"/>
      <c r="E145" s="963">
        <f t="shared" ref="E145:M145" si="31">SUM(E144)</f>
        <v>80000</v>
      </c>
      <c r="F145" s="993">
        <f t="shared" si="31"/>
        <v>0</v>
      </c>
      <c r="G145" s="994">
        <f t="shared" si="31"/>
        <v>80000</v>
      </c>
      <c r="H145" s="994">
        <f t="shared" si="31"/>
        <v>2296</v>
      </c>
      <c r="I145" s="963">
        <f t="shared" si="31"/>
        <v>7400.87</v>
      </c>
      <c r="J145" s="994">
        <f t="shared" si="31"/>
        <v>2432</v>
      </c>
      <c r="K145" s="963">
        <f t="shared" si="31"/>
        <v>2097.1999999999998</v>
      </c>
      <c r="L145" s="963">
        <f>SUM(L144)</f>
        <v>14226.07</v>
      </c>
      <c r="M145" s="994">
        <f t="shared" si="31"/>
        <v>65773.929999999993</v>
      </c>
    </row>
    <row r="146" spans="1:13" ht="18.75" x14ac:dyDescent="0.3">
      <c r="A146" s="961"/>
      <c r="B146" s="950"/>
      <c r="C146" s="962"/>
      <c r="D146" s="962"/>
      <c r="E146" s="963"/>
      <c r="F146" s="964"/>
      <c r="G146" s="965"/>
      <c r="H146" s="965"/>
      <c r="I146" s="963"/>
      <c r="J146" s="965"/>
      <c r="K146" s="963"/>
      <c r="L146" s="963"/>
      <c r="M146" s="965"/>
    </row>
    <row r="147" spans="1:13" ht="18.75" x14ac:dyDescent="0.3">
      <c r="A147" s="982" t="s">
        <v>1245</v>
      </c>
      <c r="B147" s="950"/>
      <c r="C147" s="967"/>
      <c r="D147" s="967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55" t="s">
        <v>528</v>
      </c>
      <c r="B148" s="950" t="s">
        <v>806</v>
      </c>
      <c r="C148" s="960" t="s">
        <v>551</v>
      </c>
      <c r="D148" s="960" t="s">
        <v>307</v>
      </c>
      <c r="E148" s="951">
        <v>43500</v>
      </c>
      <c r="F148" s="952">
        <v>0</v>
      </c>
      <c r="G148" s="953">
        <v>43500</v>
      </c>
      <c r="H148" s="953">
        <v>1248.45</v>
      </c>
      <c r="I148" s="974">
        <v>936.62</v>
      </c>
      <c r="J148" s="953">
        <v>1322.4</v>
      </c>
      <c r="K148" s="951">
        <v>25</v>
      </c>
      <c r="L148" s="951">
        <f>+H148+I148+J148+K148</f>
        <v>3532.4700000000003</v>
      </c>
      <c r="M148" s="953">
        <f>+G148-L148</f>
        <v>39967.53</v>
      </c>
    </row>
    <row r="149" spans="1:13" ht="18.75" x14ac:dyDescent="0.3">
      <c r="A149" s="961" t="s">
        <v>749</v>
      </c>
      <c r="B149" s="950"/>
      <c r="C149" s="962">
        <v>1</v>
      </c>
      <c r="D149" s="962"/>
      <c r="E149" s="963">
        <f t="shared" ref="E149:J149" si="32">SUM(E148:E148)</f>
        <v>43500</v>
      </c>
      <c r="F149" s="964">
        <f t="shared" si="32"/>
        <v>0</v>
      </c>
      <c r="G149" s="965">
        <f t="shared" si="32"/>
        <v>43500</v>
      </c>
      <c r="H149" s="965">
        <f t="shared" si="32"/>
        <v>1248.45</v>
      </c>
      <c r="I149" s="1091">
        <f t="shared" si="32"/>
        <v>936.62</v>
      </c>
      <c r="J149" s="996">
        <f t="shared" si="32"/>
        <v>1322.4</v>
      </c>
      <c r="K149" s="963">
        <f>SUM(K148:K148)</f>
        <v>25</v>
      </c>
      <c r="L149" s="963">
        <f>SUM(L148)</f>
        <v>3532.4700000000003</v>
      </c>
      <c r="M149" s="965">
        <v>39967.53</v>
      </c>
    </row>
    <row r="150" spans="1:13" ht="18.75" x14ac:dyDescent="0.3">
      <c r="A150" s="958"/>
      <c r="B150" s="950"/>
      <c r="C150" s="960"/>
      <c r="D150" s="960"/>
      <c r="E150" s="951"/>
      <c r="F150" s="952"/>
      <c r="G150" s="953"/>
      <c r="H150" s="953"/>
      <c r="I150" s="951"/>
      <c r="J150" s="953"/>
      <c r="K150" s="951"/>
      <c r="L150" s="951"/>
      <c r="M150" s="953"/>
    </row>
    <row r="151" spans="1:13" ht="18.75" x14ac:dyDescent="0.3">
      <c r="A151" s="997" t="s">
        <v>1459</v>
      </c>
      <c r="B151" s="950"/>
      <c r="C151" s="967"/>
      <c r="D151" s="967"/>
      <c r="E151" s="963"/>
      <c r="F151" s="964"/>
      <c r="G151" s="965"/>
      <c r="H151" s="965"/>
      <c r="I151" s="963"/>
      <c r="J151" s="965"/>
      <c r="K151" s="963"/>
      <c r="L151" s="963"/>
      <c r="M151" s="965"/>
    </row>
    <row r="152" spans="1:13" ht="18.75" x14ac:dyDescent="0.3">
      <c r="A152" s="955" t="s">
        <v>114</v>
      </c>
      <c r="B152" s="950" t="s">
        <v>807</v>
      </c>
      <c r="C152" s="960" t="s">
        <v>778</v>
      </c>
      <c r="D152" s="960" t="s">
        <v>307</v>
      </c>
      <c r="E152" s="951">
        <v>80000</v>
      </c>
      <c r="F152" s="952">
        <v>0</v>
      </c>
      <c r="G152" s="953">
        <v>80000</v>
      </c>
      <c r="H152" s="953">
        <v>2296</v>
      </c>
      <c r="I152" s="951">
        <v>7400.87</v>
      </c>
      <c r="J152" s="953">
        <v>2432</v>
      </c>
      <c r="K152" s="951">
        <v>1296.7</v>
      </c>
      <c r="L152" s="951">
        <f>+H152+I152+J152+K152</f>
        <v>13425.57</v>
      </c>
      <c r="M152" s="953">
        <f>+G152-L152</f>
        <v>66574.429999999993</v>
      </c>
    </row>
    <row r="153" spans="1:13" ht="18.75" x14ac:dyDescent="0.3">
      <c r="A153" s="955" t="s">
        <v>73</v>
      </c>
      <c r="B153" s="950" t="s">
        <v>807</v>
      </c>
      <c r="C153" s="960" t="s">
        <v>778</v>
      </c>
      <c r="D153" s="960" t="s">
        <v>307</v>
      </c>
      <c r="E153" s="951">
        <v>70000</v>
      </c>
      <c r="F153" s="974">
        <v>0</v>
      </c>
      <c r="G153" s="951">
        <v>70000</v>
      </c>
      <c r="H153" s="951">
        <v>2009</v>
      </c>
      <c r="I153" s="951">
        <v>5368.48</v>
      </c>
      <c r="J153" s="951">
        <v>2128</v>
      </c>
      <c r="K153" s="951">
        <v>1296.7</v>
      </c>
      <c r="L153" s="951">
        <f>+H153+I153+J153+K153</f>
        <v>10802.18</v>
      </c>
      <c r="M153" s="953">
        <f t="shared" ref="M153:M154" si="33">+G153-L153</f>
        <v>59197.82</v>
      </c>
    </row>
    <row r="154" spans="1:13" ht="18.75" x14ac:dyDescent="0.3">
      <c r="A154" s="955" t="s">
        <v>530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974">
        <v>936.62</v>
      </c>
      <c r="J154" s="953">
        <v>1322.4</v>
      </c>
      <c r="K154" s="951">
        <v>2025</v>
      </c>
      <c r="L154" s="951">
        <f>+H154+I154+J154+K154</f>
        <v>5532.47</v>
      </c>
      <c r="M154" s="953">
        <f t="shared" si="33"/>
        <v>37967.53</v>
      </c>
    </row>
    <row r="155" spans="1:13" ht="18.75" x14ac:dyDescent="0.3">
      <c r="A155" s="955" t="s">
        <v>1324</v>
      </c>
      <c r="B155" s="950" t="s">
        <v>806</v>
      </c>
      <c r="C155" s="960" t="s">
        <v>1325</v>
      </c>
      <c r="D155" s="960" t="s">
        <v>321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25</v>
      </c>
      <c r="L155" s="951">
        <f>+H155+I155+J155+K155</f>
        <v>3532.4700000000003</v>
      </c>
      <c r="M155" s="953">
        <f>+G155-L155</f>
        <v>39967.53</v>
      </c>
    </row>
    <row r="156" spans="1:13" ht="18.75" x14ac:dyDescent="0.3">
      <c r="A156" s="961" t="s">
        <v>749</v>
      </c>
      <c r="B156" s="950"/>
      <c r="C156" s="962">
        <v>4</v>
      </c>
      <c r="D156" s="962"/>
      <c r="E156" s="963">
        <f>SUM(E152:E155)</f>
        <v>237000</v>
      </c>
      <c r="F156" s="993">
        <f t="shared" ref="F156" si="34">SUM(F155)</f>
        <v>0</v>
      </c>
      <c r="G156" s="963">
        <f t="shared" ref="G156:L156" si="35">SUM(G152:G155)</f>
        <v>237000</v>
      </c>
      <c r="H156" s="963">
        <f t="shared" si="35"/>
        <v>6801.9</v>
      </c>
      <c r="I156" s="963">
        <f t="shared" si="35"/>
        <v>14642.59</v>
      </c>
      <c r="J156" s="963">
        <f t="shared" si="35"/>
        <v>7204.7999999999993</v>
      </c>
      <c r="K156" s="963">
        <f t="shared" si="35"/>
        <v>4643.3999999999996</v>
      </c>
      <c r="L156" s="963">
        <f t="shared" si="35"/>
        <v>33292.69</v>
      </c>
      <c r="M156" s="963">
        <f>SUM(M152:M155)</f>
        <v>203707.31</v>
      </c>
    </row>
    <row r="157" spans="1:13" ht="18.75" x14ac:dyDescent="0.3">
      <c r="A157" s="958"/>
      <c r="B157" s="950"/>
      <c r="C157" s="960"/>
      <c r="D157" s="960"/>
      <c r="E157" s="951"/>
      <c r="F157" s="952"/>
      <c r="G157" s="953"/>
      <c r="H157" s="953"/>
      <c r="I157" s="951"/>
      <c r="J157" s="953"/>
      <c r="K157" s="951"/>
      <c r="L157" s="951"/>
      <c r="M157" s="953"/>
    </row>
    <row r="158" spans="1:13" ht="18.75" x14ac:dyDescent="0.3">
      <c r="A158" s="982" t="s">
        <v>1138</v>
      </c>
      <c r="B158" s="950"/>
      <c r="C158" s="967"/>
      <c r="D158" s="967"/>
      <c r="E158" s="963"/>
      <c r="F158" s="964"/>
      <c r="G158" s="965"/>
      <c r="H158" s="965"/>
      <c r="I158" s="963"/>
      <c r="J158" s="965"/>
      <c r="K158" s="963"/>
      <c r="L158" s="963"/>
      <c r="M158" s="965"/>
    </row>
    <row r="159" spans="1:13" ht="18.75" x14ac:dyDescent="0.3">
      <c r="A159" s="958" t="s">
        <v>241</v>
      </c>
      <c r="B159" s="950" t="s">
        <v>806</v>
      </c>
      <c r="C159" s="960" t="s">
        <v>71</v>
      </c>
      <c r="D159" s="960" t="s">
        <v>1069</v>
      </c>
      <c r="E159" s="951">
        <v>80000</v>
      </c>
      <c r="F159" s="952">
        <v>0</v>
      </c>
      <c r="G159" s="953">
        <v>80000</v>
      </c>
      <c r="H159" s="953">
        <v>2296</v>
      </c>
      <c r="I159" s="951">
        <v>7400.87</v>
      </c>
      <c r="J159" s="953">
        <v>2432</v>
      </c>
      <c r="K159" s="951">
        <v>728</v>
      </c>
      <c r="L159" s="951">
        <f>+H159+I159+J159+K159</f>
        <v>12856.869999999999</v>
      </c>
      <c r="M159" s="953">
        <f>+G159-L159</f>
        <v>67143.13</v>
      </c>
    </row>
    <row r="160" spans="1:13" ht="18.75" x14ac:dyDescent="0.3">
      <c r="A160" s="955" t="s">
        <v>77</v>
      </c>
      <c r="B160" s="986" t="s">
        <v>807</v>
      </c>
      <c r="C160" s="960" t="s">
        <v>967</v>
      </c>
      <c r="D160" s="960" t="s">
        <v>1069</v>
      </c>
      <c r="E160" s="951">
        <v>70000</v>
      </c>
      <c r="F160" s="974">
        <v>0</v>
      </c>
      <c r="G160" s="1070">
        <v>70000</v>
      </c>
      <c r="H160" s="956">
        <v>2009</v>
      </c>
      <c r="I160" s="956">
        <v>5368.48</v>
      </c>
      <c r="J160" s="951">
        <v>2128</v>
      </c>
      <c r="K160" s="956">
        <v>828</v>
      </c>
      <c r="L160" s="951">
        <f>+H160+I160+J160+K160</f>
        <v>10333.48</v>
      </c>
      <c r="M160" s="953">
        <f>+G160-L160</f>
        <v>59666.520000000004</v>
      </c>
    </row>
    <row r="161" spans="1:13" ht="18.75" x14ac:dyDescent="0.3">
      <c r="A161" s="961" t="s">
        <v>749</v>
      </c>
      <c r="B161" s="950"/>
      <c r="C161" s="962">
        <v>2</v>
      </c>
      <c r="D161" s="962"/>
      <c r="E161" s="963">
        <f>SUM(E159:E160)</f>
        <v>150000</v>
      </c>
      <c r="F161" s="1071">
        <v>0</v>
      </c>
      <c r="G161" s="963">
        <f t="shared" ref="G161:K161" si="36">SUM(G159:G160)</f>
        <v>150000</v>
      </c>
      <c r="H161" s="963">
        <f t="shared" si="36"/>
        <v>4305</v>
      </c>
      <c r="I161" s="963">
        <f t="shared" si="36"/>
        <v>12769.349999999999</v>
      </c>
      <c r="J161" s="963">
        <f t="shared" si="36"/>
        <v>4560</v>
      </c>
      <c r="K161" s="963">
        <f t="shared" si="36"/>
        <v>1556</v>
      </c>
      <c r="L161" s="963">
        <f>SUM(L159:L160)</f>
        <v>23190.35</v>
      </c>
      <c r="M161" s="963">
        <f>SUM(M159:M160)</f>
        <v>126809.65000000001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1"/>
      <c r="J162" s="953"/>
      <c r="K162" s="951"/>
      <c r="L162" s="951"/>
      <c r="M162" s="953"/>
    </row>
    <row r="163" spans="1:13" ht="18.75" customHeight="1" x14ac:dyDescent="0.3">
      <c r="A163" s="982" t="s">
        <v>1133</v>
      </c>
      <c r="B163" s="950"/>
      <c r="C163" s="967"/>
      <c r="D163" s="967"/>
      <c r="E163" s="963"/>
      <c r="F163" s="964"/>
      <c r="G163" s="965"/>
      <c r="H163" s="965"/>
      <c r="I163" s="963"/>
      <c r="J163" s="965"/>
      <c r="K163" s="963"/>
      <c r="L163" s="963"/>
      <c r="M163" s="965"/>
    </row>
    <row r="164" spans="1:13" ht="18.75" x14ac:dyDescent="0.3">
      <c r="A164" s="955" t="s">
        <v>217</v>
      </c>
      <c r="B164" s="950" t="s">
        <v>807</v>
      </c>
      <c r="C164" s="960" t="s">
        <v>633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1">
        <v>7400.87</v>
      </c>
      <c r="J164" s="953">
        <v>2432</v>
      </c>
      <c r="K164" s="951">
        <v>3310.58</v>
      </c>
      <c r="L164" s="951">
        <f>+H164+I164+J164+K164</f>
        <v>15439.449999999999</v>
      </c>
      <c r="M164" s="953">
        <f>+G164-L164</f>
        <v>64560.55</v>
      </c>
    </row>
    <row r="165" spans="1:13" ht="18.75" x14ac:dyDescent="0.3">
      <c r="A165" s="955" t="s">
        <v>1082</v>
      </c>
      <c r="B165" s="950" t="s">
        <v>806</v>
      </c>
      <c r="C165" s="960" t="s">
        <v>551</v>
      </c>
      <c r="D165" s="960" t="s">
        <v>307</v>
      </c>
      <c r="E165" s="951">
        <v>43500</v>
      </c>
      <c r="F165" s="952">
        <v>0</v>
      </c>
      <c r="G165" s="953">
        <v>43500</v>
      </c>
      <c r="H165" s="953">
        <v>1248.45</v>
      </c>
      <c r="I165" s="974">
        <v>936.62</v>
      </c>
      <c r="J165" s="953">
        <v>1322.4</v>
      </c>
      <c r="K165" s="951">
        <v>25</v>
      </c>
      <c r="L165" s="951">
        <f>+H165+I165+J165+K165</f>
        <v>3532.4700000000003</v>
      </c>
      <c r="M165" s="953">
        <f>+G165-L165</f>
        <v>39967.53</v>
      </c>
    </row>
    <row r="166" spans="1:13" ht="18.75" x14ac:dyDescent="0.3">
      <c r="A166" s="961" t="s">
        <v>749</v>
      </c>
      <c r="B166" s="950"/>
      <c r="C166" s="962">
        <v>2</v>
      </c>
      <c r="D166" s="962"/>
      <c r="E166" s="963">
        <f>SUM(E164:E165)</f>
        <v>123500</v>
      </c>
      <c r="F166" s="964">
        <f t="shared" ref="F166:K166" si="37">SUM(F164:F165)</f>
        <v>0</v>
      </c>
      <c r="G166" s="965">
        <f>SUM(G164:G165)</f>
        <v>123500</v>
      </c>
      <c r="H166" s="965">
        <f t="shared" si="37"/>
        <v>3544.45</v>
      </c>
      <c r="I166" s="963">
        <f t="shared" si="37"/>
        <v>8337.49</v>
      </c>
      <c r="J166" s="965">
        <f t="shared" si="37"/>
        <v>3754.4</v>
      </c>
      <c r="K166" s="963">
        <f t="shared" si="37"/>
        <v>3335.58</v>
      </c>
      <c r="L166" s="963">
        <f>SUM(L164:L165)</f>
        <v>18971.919999999998</v>
      </c>
      <c r="M166" s="965">
        <f>SUM(M164:M165)</f>
        <v>104528.08</v>
      </c>
    </row>
    <row r="167" spans="1:13" ht="18.75" x14ac:dyDescent="0.3">
      <c r="A167" s="961"/>
      <c r="B167" s="950"/>
      <c r="C167" s="967"/>
      <c r="D167" s="967"/>
      <c r="E167" s="963"/>
      <c r="F167" s="964"/>
      <c r="G167" s="965"/>
      <c r="H167" s="965"/>
      <c r="I167" s="963"/>
      <c r="J167" s="965"/>
      <c r="K167" s="963"/>
      <c r="L167" s="963"/>
      <c r="M167" s="965"/>
    </row>
    <row r="168" spans="1:13" ht="18.75" x14ac:dyDescent="0.3">
      <c r="A168" s="961" t="s">
        <v>1012</v>
      </c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55" t="s">
        <v>134</v>
      </c>
      <c r="B169" s="950" t="s">
        <v>807</v>
      </c>
      <c r="C169" s="960" t="s">
        <v>489</v>
      </c>
      <c r="D169" s="960" t="s">
        <v>307</v>
      </c>
      <c r="E169" s="951">
        <v>80000</v>
      </c>
      <c r="F169" s="974">
        <v>0</v>
      </c>
      <c r="G169" s="951">
        <v>80000</v>
      </c>
      <c r="H169" s="951">
        <v>2296</v>
      </c>
      <c r="I169" s="951">
        <v>7400.87</v>
      </c>
      <c r="J169" s="951">
        <v>2432</v>
      </c>
      <c r="K169" s="951">
        <v>2568.4</v>
      </c>
      <c r="L169" s="951">
        <f t="shared" ref="L169:L179" si="38">+H169+I169+J169+K169</f>
        <v>14697.269999999999</v>
      </c>
      <c r="M169" s="951">
        <f>+G169-L169</f>
        <v>65302.73</v>
      </c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si="38"/>
        <v>3532.4700000000003</v>
      </c>
      <c r="M170" s="951">
        <f t="shared" ref="M170:M179" si="39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8"/>
        <v>3532.4700000000003</v>
      </c>
      <c r="M171" s="951">
        <f t="shared" si="39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8"/>
        <v>3532.4700000000003</v>
      </c>
      <c r="M172" s="951">
        <f t="shared" si="39"/>
        <v>39967.53</v>
      </c>
    </row>
    <row r="173" spans="1:13" ht="18.75" x14ac:dyDescent="0.3">
      <c r="A173" s="1069" t="s">
        <v>585</v>
      </c>
      <c r="B173" s="950" t="s">
        <v>806</v>
      </c>
      <c r="C173" s="960" t="s">
        <v>517</v>
      </c>
      <c r="D173" s="960" t="s">
        <v>307</v>
      </c>
      <c r="E173" s="951">
        <v>37500</v>
      </c>
      <c r="F173" s="974">
        <v>0</v>
      </c>
      <c r="G173" s="951">
        <v>37500</v>
      </c>
      <c r="H173" s="951">
        <v>1076.25</v>
      </c>
      <c r="I173" s="974">
        <v>89.81</v>
      </c>
      <c r="J173" s="951">
        <v>1140</v>
      </c>
      <c r="K173" s="951">
        <v>728</v>
      </c>
      <c r="L173" s="951">
        <f t="shared" si="38"/>
        <v>3034.06</v>
      </c>
      <c r="M173" s="951">
        <f t="shared" si="39"/>
        <v>34465.94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8"/>
        <v>7854.75</v>
      </c>
      <c r="M174" s="951">
        <f t="shared" si="39"/>
        <v>35645.25</v>
      </c>
    </row>
    <row r="175" spans="1:13" ht="18.75" x14ac:dyDescent="0.3">
      <c r="A175" s="998" t="s">
        <v>1022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52">
        <v>0</v>
      </c>
      <c r="G175" s="953">
        <v>37500</v>
      </c>
      <c r="H175" s="953">
        <v>1076.25</v>
      </c>
      <c r="I175" s="974">
        <v>89.81</v>
      </c>
      <c r="J175" s="953">
        <v>1140</v>
      </c>
      <c r="K175" s="951">
        <v>25</v>
      </c>
      <c r="L175" s="951">
        <f t="shared" si="38"/>
        <v>2331.06</v>
      </c>
      <c r="M175" s="951">
        <f t="shared" si="39"/>
        <v>35168.94</v>
      </c>
    </row>
    <row r="176" spans="1:13" ht="18.75" x14ac:dyDescent="0.3">
      <c r="A176" s="998" t="s">
        <v>1326</v>
      </c>
      <c r="B176" s="950" t="s">
        <v>1296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8"/>
        <v>3532.4700000000003</v>
      </c>
      <c r="M176" s="951">
        <f t="shared" si="39"/>
        <v>39967.53</v>
      </c>
    </row>
    <row r="177" spans="1:13" ht="18.75" x14ac:dyDescent="0.3">
      <c r="A177" s="998" t="s">
        <v>1327</v>
      </c>
      <c r="B177" s="950" t="s">
        <v>806</v>
      </c>
      <c r="C177" s="960" t="s">
        <v>517</v>
      </c>
      <c r="D177" s="960" t="s">
        <v>321</v>
      </c>
      <c r="E177" s="951">
        <v>43500</v>
      </c>
      <c r="F177" s="952">
        <v>0</v>
      </c>
      <c r="G177" s="953">
        <v>43500</v>
      </c>
      <c r="H177" s="953">
        <v>1248.45</v>
      </c>
      <c r="I177" s="974">
        <v>936.62</v>
      </c>
      <c r="J177" s="953">
        <v>1322.4</v>
      </c>
      <c r="K177" s="951">
        <v>25</v>
      </c>
      <c r="L177" s="951">
        <f t="shared" si="38"/>
        <v>3532.4700000000003</v>
      </c>
      <c r="M177" s="951">
        <f t="shared" si="39"/>
        <v>39967.53</v>
      </c>
    </row>
    <row r="178" spans="1:13" ht="18.75" x14ac:dyDescent="0.3">
      <c r="A178" s="998" t="s">
        <v>1328</v>
      </c>
      <c r="B178" s="950" t="s">
        <v>1296</v>
      </c>
      <c r="C178" s="960" t="s">
        <v>517</v>
      </c>
      <c r="D178" s="960" t="s">
        <v>321</v>
      </c>
      <c r="E178" s="951">
        <v>37500</v>
      </c>
      <c r="F178" s="952">
        <v>0</v>
      </c>
      <c r="G178" s="953">
        <v>37500</v>
      </c>
      <c r="H178" s="953">
        <v>1076.25</v>
      </c>
      <c r="I178" s="974">
        <v>89.81</v>
      </c>
      <c r="J178" s="953">
        <v>1140</v>
      </c>
      <c r="K178" s="951">
        <v>25</v>
      </c>
      <c r="L178" s="951">
        <f t="shared" si="38"/>
        <v>2331.06</v>
      </c>
      <c r="M178" s="951">
        <f t="shared" si="39"/>
        <v>35168.94</v>
      </c>
    </row>
    <row r="179" spans="1:13" ht="18.75" x14ac:dyDescent="0.3">
      <c r="A179" s="1069" t="s">
        <v>1386</v>
      </c>
      <c r="B179" s="950" t="s">
        <v>806</v>
      </c>
      <c r="C179" s="960" t="s">
        <v>517</v>
      </c>
      <c r="D179" s="960" t="s">
        <v>321</v>
      </c>
      <c r="E179" s="951">
        <v>37500</v>
      </c>
      <c r="F179" s="974">
        <v>0</v>
      </c>
      <c r="G179" s="951">
        <v>37500</v>
      </c>
      <c r="H179" s="951">
        <v>1076.25</v>
      </c>
      <c r="I179" s="974">
        <v>89.81</v>
      </c>
      <c r="J179" s="951">
        <v>1140</v>
      </c>
      <c r="K179" s="951">
        <v>25</v>
      </c>
      <c r="L179" s="951">
        <f t="shared" si="38"/>
        <v>2331.06</v>
      </c>
      <c r="M179" s="951">
        <f t="shared" si="39"/>
        <v>35168.94</v>
      </c>
    </row>
    <row r="180" spans="1:13" ht="18.75" x14ac:dyDescent="0.3">
      <c r="A180" s="961" t="s">
        <v>749</v>
      </c>
      <c r="B180" s="950"/>
      <c r="C180" s="962">
        <v>11</v>
      </c>
      <c r="D180" s="962"/>
      <c r="E180" s="963">
        <f>SUM(E169:E179)</f>
        <v>491000</v>
      </c>
      <c r="F180" s="964">
        <v>0</v>
      </c>
      <c r="G180" s="963">
        <f>SUM(G169:G179)</f>
        <v>491000</v>
      </c>
      <c r="H180" s="963">
        <f t="shared" ref="H180:L180" si="40">SUM(H169:H179)</f>
        <v>14091.7</v>
      </c>
      <c r="I180" s="963">
        <f t="shared" si="40"/>
        <v>12865.19</v>
      </c>
      <c r="J180" s="963">
        <f t="shared" si="40"/>
        <v>14926.4</v>
      </c>
      <c r="K180" s="963">
        <f t="shared" si="40"/>
        <v>8358.32</v>
      </c>
      <c r="L180" s="963">
        <f t="shared" si="40"/>
        <v>50241.61</v>
      </c>
      <c r="M180" s="963">
        <f>SUM(M169:M179)</f>
        <v>440758.39</v>
      </c>
    </row>
    <row r="181" spans="1:13" ht="18.75" x14ac:dyDescent="0.3">
      <c r="A181" s="958"/>
      <c r="B181" s="950"/>
      <c r="C181" s="960"/>
      <c r="D181" s="960"/>
      <c r="E181" s="963"/>
      <c r="F181" s="964"/>
      <c r="G181" s="965"/>
      <c r="H181" s="965"/>
      <c r="I181" s="963"/>
      <c r="J181" s="965"/>
      <c r="K181" s="963"/>
      <c r="L181" s="963"/>
      <c r="M181" s="965"/>
    </row>
    <row r="182" spans="1:13" ht="18.75" x14ac:dyDescent="0.3">
      <c r="A182" s="961" t="s">
        <v>1221</v>
      </c>
      <c r="B182" s="950"/>
      <c r="C182" s="967"/>
      <c r="D182" s="967"/>
      <c r="E182" s="963"/>
      <c r="F182" s="964"/>
      <c r="G182" s="965"/>
      <c r="H182" s="965"/>
      <c r="I182" s="963"/>
      <c r="J182" s="965"/>
      <c r="K182" s="963"/>
      <c r="L182" s="963"/>
      <c r="M182" s="965"/>
    </row>
    <row r="183" spans="1:13" ht="18.75" x14ac:dyDescent="0.3">
      <c r="A183" s="1027" t="s">
        <v>1478</v>
      </c>
      <c r="B183" s="950" t="s">
        <v>806</v>
      </c>
      <c r="C183" s="1024" t="s">
        <v>721</v>
      </c>
      <c r="D183" s="960" t="s">
        <v>1069</v>
      </c>
      <c r="E183" s="951">
        <v>120000</v>
      </c>
      <c r="F183" s="952">
        <v>0</v>
      </c>
      <c r="G183" s="1031">
        <v>120000</v>
      </c>
      <c r="H183" s="953">
        <v>3444</v>
      </c>
      <c r="I183" s="1032">
        <v>16809.87</v>
      </c>
      <c r="J183" s="953">
        <v>3648</v>
      </c>
      <c r="K183" s="951">
        <v>25</v>
      </c>
      <c r="L183" s="1032">
        <f t="shared" ref="L183:L188" si="41">+H183+I183+J183+K183</f>
        <v>23926.87</v>
      </c>
      <c r="M183" s="1031">
        <f>+G183-L183</f>
        <v>96073.13</v>
      </c>
    </row>
    <row r="184" spans="1:13" ht="18.75" x14ac:dyDescent="0.3">
      <c r="A184" s="1027" t="s">
        <v>87</v>
      </c>
      <c r="B184" s="950" t="s">
        <v>806</v>
      </c>
      <c r="C184" s="1024" t="s">
        <v>720</v>
      </c>
      <c r="D184" s="960" t="s">
        <v>1069</v>
      </c>
      <c r="E184" s="951">
        <v>120000</v>
      </c>
      <c r="F184" s="974">
        <v>0</v>
      </c>
      <c r="G184" s="1032">
        <v>120000</v>
      </c>
      <c r="H184" s="951">
        <v>3444</v>
      </c>
      <c r="I184" s="1032">
        <v>16809.87</v>
      </c>
      <c r="J184" s="951">
        <v>3648</v>
      </c>
      <c r="K184" s="951">
        <v>25</v>
      </c>
      <c r="L184" s="1032">
        <f t="shared" si="41"/>
        <v>23926.87</v>
      </c>
      <c r="M184" s="1031">
        <f t="shared" ref="M184:M220" si="42">+G184-L184</f>
        <v>96073.13</v>
      </c>
    </row>
    <row r="185" spans="1:13" ht="18.75" x14ac:dyDescent="0.3">
      <c r="A185" s="1027" t="s">
        <v>829</v>
      </c>
      <c r="B185" s="999" t="s">
        <v>806</v>
      </c>
      <c r="C185" s="1024" t="s">
        <v>596</v>
      </c>
      <c r="D185" s="960" t="s">
        <v>1066</v>
      </c>
      <c r="E185" s="951">
        <v>75000</v>
      </c>
      <c r="F185" s="974">
        <v>0</v>
      </c>
      <c r="G185" s="1032">
        <v>75000</v>
      </c>
      <c r="H185" s="951">
        <v>2152.5</v>
      </c>
      <c r="I185" s="1032">
        <v>6309.38</v>
      </c>
      <c r="J185" s="951">
        <v>2280</v>
      </c>
      <c r="K185" s="951">
        <v>25</v>
      </c>
      <c r="L185" s="1032">
        <f t="shared" si="41"/>
        <v>10766.880000000001</v>
      </c>
      <c r="M185" s="1031">
        <f t="shared" si="42"/>
        <v>64233.119999999995</v>
      </c>
    </row>
    <row r="186" spans="1:13" ht="18.75" x14ac:dyDescent="0.3">
      <c r="A186" s="1027" t="s">
        <v>244</v>
      </c>
      <c r="B186" s="950" t="s">
        <v>806</v>
      </c>
      <c r="C186" s="1024" t="s">
        <v>489</v>
      </c>
      <c r="D186" s="960" t="s">
        <v>1064</v>
      </c>
      <c r="E186" s="951">
        <v>80000</v>
      </c>
      <c r="F186" s="974">
        <v>0</v>
      </c>
      <c r="G186" s="1032">
        <v>80000</v>
      </c>
      <c r="H186" s="951">
        <v>2296</v>
      </c>
      <c r="I186" s="1032">
        <v>7400.87</v>
      </c>
      <c r="J186" s="951">
        <v>2432</v>
      </c>
      <c r="K186" s="951">
        <v>25</v>
      </c>
      <c r="L186" s="1032">
        <f t="shared" si="41"/>
        <v>12153.869999999999</v>
      </c>
      <c r="M186" s="1031">
        <f t="shared" si="42"/>
        <v>67846.13</v>
      </c>
    </row>
    <row r="187" spans="1:13" ht="18.75" x14ac:dyDescent="0.3">
      <c r="A187" s="1027" t="s">
        <v>84</v>
      </c>
      <c r="B187" s="950" t="s">
        <v>806</v>
      </c>
      <c r="C187" s="1024" t="s">
        <v>117</v>
      </c>
      <c r="D187" s="960" t="s">
        <v>307</v>
      </c>
      <c r="E187" s="951">
        <v>70000</v>
      </c>
      <c r="F187" s="974">
        <v>0</v>
      </c>
      <c r="G187" s="951">
        <v>70000</v>
      </c>
      <c r="H187" s="951">
        <v>2009</v>
      </c>
      <c r="I187" s="1032">
        <v>5368.48</v>
      </c>
      <c r="J187" s="951">
        <v>2128</v>
      </c>
      <c r="K187" s="951">
        <v>25</v>
      </c>
      <c r="L187" s="1032">
        <f t="shared" si="41"/>
        <v>9530.48</v>
      </c>
      <c r="M187" s="1031">
        <f t="shared" si="42"/>
        <v>60469.520000000004</v>
      </c>
    </row>
    <row r="188" spans="1:13" ht="18.75" x14ac:dyDescent="0.3">
      <c r="A188" s="1027" t="s">
        <v>136</v>
      </c>
      <c r="B188" s="950" t="s">
        <v>807</v>
      </c>
      <c r="C188" s="1024" t="s">
        <v>117</v>
      </c>
      <c r="D188" s="960" t="s">
        <v>1069</v>
      </c>
      <c r="E188" s="951">
        <v>80000</v>
      </c>
      <c r="F188" s="974">
        <v>0</v>
      </c>
      <c r="G188" s="951">
        <v>80000</v>
      </c>
      <c r="H188" s="951">
        <v>2296</v>
      </c>
      <c r="I188" s="1032">
        <v>6564.09</v>
      </c>
      <c r="J188" s="951">
        <v>2432</v>
      </c>
      <c r="K188" s="951">
        <v>4158.92</v>
      </c>
      <c r="L188" s="1032">
        <f t="shared" si="41"/>
        <v>15451.01</v>
      </c>
      <c r="M188" s="1031">
        <f t="shared" si="42"/>
        <v>64548.99</v>
      </c>
    </row>
    <row r="189" spans="1:13" ht="18.75" x14ac:dyDescent="0.3">
      <c r="A189" s="1027" t="s">
        <v>94</v>
      </c>
      <c r="B189" s="950" t="s">
        <v>807</v>
      </c>
      <c r="C189" s="1024" t="s">
        <v>71</v>
      </c>
      <c r="D189" s="960" t="s">
        <v>1069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5025.38</v>
      </c>
      <c r="J189" s="951">
        <v>2128</v>
      </c>
      <c r="K189" s="951">
        <v>1740.46</v>
      </c>
      <c r="L189" s="1032">
        <v>10902.84</v>
      </c>
      <c r="M189" s="1031">
        <f t="shared" si="42"/>
        <v>59097.16</v>
      </c>
    </row>
    <row r="190" spans="1:13" ht="18.75" x14ac:dyDescent="0.3">
      <c r="A190" s="1027" t="s">
        <v>799</v>
      </c>
      <c r="B190" s="950" t="s">
        <v>806</v>
      </c>
      <c r="C190" s="1024" t="s">
        <v>633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6972</v>
      </c>
      <c r="J190" s="951">
        <v>2432</v>
      </c>
      <c r="K190" s="951">
        <v>1740.46</v>
      </c>
      <c r="L190" s="1032">
        <f>+H190+I190+J190+K190</f>
        <v>13440.46</v>
      </c>
      <c r="M190" s="1031">
        <f t="shared" si="42"/>
        <v>66559.540000000008</v>
      </c>
    </row>
    <row r="191" spans="1:13" ht="17.25" customHeight="1" x14ac:dyDescent="0.3">
      <c r="A191" s="1028" t="s">
        <v>177</v>
      </c>
      <c r="B191" s="1001" t="s">
        <v>807</v>
      </c>
      <c r="C191" s="1025" t="s">
        <v>1119</v>
      </c>
      <c r="D191" s="1024" t="s">
        <v>1069</v>
      </c>
      <c r="E191" s="1078">
        <v>55000</v>
      </c>
      <c r="F191" s="1079">
        <v>0</v>
      </c>
      <c r="G191" s="1080">
        <v>55000</v>
      </c>
      <c r="H191" s="1081">
        <v>1578.5</v>
      </c>
      <c r="I191" s="1074">
        <v>2559.6799999999998</v>
      </c>
      <c r="J191" s="1078">
        <v>1672</v>
      </c>
      <c r="K191" s="1081">
        <v>25</v>
      </c>
      <c r="L191" s="1032">
        <f t="shared" ref="L191:L216" si="43">+H191+I191+J191+K191</f>
        <v>5835.18</v>
      </c>
      <c r="M191" s="1031">
        <f t="shared" si="42"/>
        <v>49164.82</v>
      </c>
    </row>
    <row r="192" spans="1:13" ht="18.75" x14ac:dyDescent="0.3">
      <c r="A192" s="1027" t="s">
        <v>173</v>
      </c>
      <c r="B192" s="950" t="s">
        <v>807</v>
      </c>
      <c r="C192" s="1024" t="s">
        <v>521</v>
      </c>
      <c r="D192" s="960" t="s">
        <v>307</v>
      </c>
      <c r="E192" s="951">
        <v>37500</v>
      </c>
      <c r="F192" s="974">
        <v>0</v>
      </c>
      <c r="G192" s="1032">
        <v>37500</v>
      </c>
      <c r="H192" s="951">
        <v>1076.25</v>
      </c>
      <c r="I192" s="1036">
        <v>0</v>
      </c>
      <c r="J192" s="951">
        <v>1140</v>
      </c>
      <c r="K192" s="951">
        <v>1740.46</v>
      </c>
      <c r="L192" s="1032">
        <f t="shared" si="43"/>
        <v>3956.71</v>
      </c>
      <c r="M192" s="1031">
        <f t="shared" si="42"/>
        <v>33543.29</v>
      </c>
    </row>
    <row r="193" spans="1:13" ht="18.75" x14ac:dyDescent="0.3">
      <c r="A193" s="1027" t="s">
        <v>1062</v>
      </c>
      <c r="B193" s="950" t="s">
        <v>807</v>
      </c>
      <c r="C193" s="1024" t="s">
        <v>521</v>
      </c>
      <c r="D193" s="960" t="s">
        <v>307</v>
      </c>
      <c r="E193" s="951">
        <v>31500</v>
      </c>
      <c r="F193" s="974">
        <v>0</v>
      </c>
      <c r="G193" s="1032">
        <v>31500</v>
      </c>
      <c r="H193" s="951">
        <v>904.05</v>
      </c>
      <c r="I193" s="1036">
        <v>0</v>
      </c>
      <c r="J193" s="951">
        <v>957.6</v>
      </c>
      <c r="K193" s="951">
        <v>25</v>
      </c>
      <c r="L193" s="1032">
        <f t="shared" si="43"/>
        <v>1886.65</v>
      </c>
      <c r="M193" s="1031">
        <f t="shared" si="42"/>
        <v>29613.35</v>
      </c>
    </row>
    <row r="194" spans="1:13" ht="18.75" x14ac:dyDescent="0.3">
      <c r="A194" s="1027" t="s">
        <v>1148</v>
      </c>
      <c r="B194" s="950" t="s">
        <v>807</v>
      </c>
      <c r="C194" s="1024" t="s">
        <v>276</v>
      </c>
      <c r="D194" s="960" t="s">
        <v>307</v>
      </c>
      <c r="E194" s="951">
        <v>31500</v>
      </c>
      <c r="F194" s="952">
        <v>0</v>
      </c>
      <c r="G194" s="1031">
        <v>31500</v>
      </c>
      <c r="H194" s="953">
        <v>904.05</v>
      </c>
      <c r="I194" s="1036">
        <v>0</v>
      </c>
      <c r="J194" s="953">
        <v>957.6</v>
      </c>
      <c r="K194" s="951">
        <v>25</v>
      </c>
      <c r="L194" s="1032">
        <f t="shared" si="43"/>
        <v>1886.65</v>
      </c>
      <c r="M194" s="1031">
        <f t="shared" si="42"/>
        <v>29613.35</v>
      </c>
    </row>
    <row r="195" spans="1:13" ht="18.75" x14ac:dyDescent="0.3">
      <c r="A195" s="1027" t="s">
        <v>1149</v>
      </c>
      <c r="B195" s="950" t="s">
        <v>807</v>
      </c>
      <c r="C195" s="1024" t="s">
        <v>276</v>
      </c>
      <c r="D195" s="960" t="s">
        <v>307</v>
      </c>
      <c r="E195" s="951">
        <v>31500</v>
      </c>
      <c r="F195" s="952">
        <v>0</v>
      </c>
      <c r="G195" s="1031">
        <v>31500</v>
      </c>
      <c r="H195" s="953">
        <v>904.05</v>
      </c>
      <c r="I195" s="1036">
        <v>0</v>
      </c>
      <c r="J195" s="953">
        <v>957.6</v>
      </c>
      <c r="K195" s="951">
        <v>25</v>
      </c>
      <c r="L195" s="1032">
        <f t="shared" si="43"/>
        <v>1886.65</v>
      </c>
      <c r="M195" s="1031">
        <f t="shared" si="42"/>
        <v>29613.35</v>
      </c>
    </row>
    <row r="196" spans="1:13" ht="18.75" x14ac:dyDescent="0.3">
      <c r="A196" s="1027" t="s">
        <v>1165</v>
      </c>
      <c r="B196" s="950" t="s">
        <v>807</v>
      </c>
      <c r="C196" s="1024" t="s">
        <v>276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936.62</v>
      </c>
      <c r="J196" s="951">
        <v>1322.4</v>
      </c>
      <c r="K196" s="951">
        <v>25</v>
      </c>
      <c r="L196" s="1032">
        <f t="shared" si="43"/>
        <v>3532.4700000000003</v>
      </c>
      <c r="M196" s="1031">
        <f t="shared" si="42"/>
        <v>39967.53</v>
      </c>
    </row>
    <row r="197" spans="1:13" ht="18.75" x14ac:dyDescent="0.3">
      <c r="A197" s="1027" t="s">
        <v>1440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v>2331.06</v>
      </c>
      <c r="M197" s="1031">
        <f t="shared" si="42"/>
        <v>35168.94</v>
      </c>
    </row>
    <row r="198" spans="1:13" ht="18.75" x14ac:dyDescent="0.3">
      <c r="A198" s="1029" t="s">
        <v>1329</v>
      </c>
      <c r="B198" s="950" t="s">
        <v>1330</v>
      </c>
      <c r="C198" s="1024" t="s">
        <v>1325</v>
      </c>
      <c r="D198" s="960" t="s">
        <v>307</v>
      </c>
      <c r="E198" s="951">
        <v>43500</v>
      </c>
      <c r="F198" s="952">
        <v>0</v>
      </c>
      <c r="G198" s="1031">
        <v>43500</v>
      </c>
      <c r="H198" s="953">
        <v>1248.45</v>
      </c>
      <c r="I198" s="1036">
        <v>936.62</v>
      </c>
      <c r="J198" s="953">
        <v>1322.4</v>
      </c>
      <c r="K198" s="951">
        <v>25</v>
      </c>
      <c r="L198" s="1032">
        <f t="shared" si="43"/>
        <v>3532.4700000000003</v>
      </c>
      <c r="M198" s="1031">
        <f t="shared" si="42"/>
        <v>39967.53</v>
      </c>
    </row>
    <row r="199" spans="1:13" ht="18.75" x14ac:dyDescent="0.3">
      <c r="A199" s="1027" t="s">
        <v>1337</v>
      </c>
      <c r="B199" s="950" t="s">
        <v>806</v>
      </c>
      <c r="C199" s="1024" t="s">
        <v>1325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f t="shared" si="43"/>
        <v>2331.06</v>
      </c>
      <c r="M199" s="1031">
        <f t="shared" si="42"/>
        <v>35168.94</v>
      </c>
    </row>
    <row r="200" spans="1:13" ht="18.75" x14ac:dyDescent="0.3">
      <c r="A200" s="1027" t="s">
        <v>1345</v>
      </c>
      <c r="B200" s="950" t="s">
        <v>806</v>
      </c>
      <c r="C200" s="1024" t="s">
        <v>1325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f t="shared" si="43"/>
        <v>2331.06</v>
      </c>
      <c r="M200" s="1031">
        <f t="shared" si="42"/>
        <v>35168.94</v>
      </c>
    </row>
    <row r="201" spans="1:13" ht="18.75" x14ac:dyDescent="0.3">
      <c r="A201" s="1027" t="s">
        <v>1351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3"/>
        <v>2331.06</v>
      </c>
      <c r="M201" s="1031">
        <f t="shared" si="42"/>
        <v>35168.94</v>
      </c>
    </row>
    <row r="202" spans="1:13" ht="18.75" x14ac:dyDescent="0.3">
      <c r="A202" s="1027" t="s">
        <v>1336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3"/>
        <v>2331.06</v>
      </c>
      <c r="M202" s="1031">
        <f t="shared" si="42"/>
        <v>35168.94</v>
      </c>
    </row>
    <row r="203" spans="1:13" ht="18.75" x14ac:dyDescent="0.3">
      <c r="A203" s="1027" t="s">
        <v>1387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3"/>
        <v>2331.06</v>
      </c>
      <c r="M203" s="1031">
        <f t="shared" si="42"/>
        <v>35168.94</v>
      </c>
    </row>
    <row r="204" spans="1:13" ht="18.75" x14ac:dyDescent="0.3">
      <c r="A204" s="1029" t="s">
        <v>1331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52">
        <v>0</v>
      </c>
      <c r="G204" s="1031">
        <v>43500</v>
      </c>
      <c r="H204" s="953">
        <v>1248.45</v>
      </c>
      <c r="I204" s="1036">
        <v>936.62</v>
      </c>
      <c r="J204" s="953">
        <v>1322.4</v>
      </c>
      <c r="K204" s="951">
        <v>25</v>
      </c>
      <c r="L204" s="1032">
        <f t="shared" si="43"/>
        <v>3532.4700000000003</v>
      </c>
      <c r="M204" s="1031">
        <f t="shared" si="42"/>
        <v>39967.53</v>
      </c>
    </row>
    <row r="205" spans="1:13" ht="18.75" x14ac:dyDescent="0.3">
      <c r="A205" s="1029" t="s">
        <v>698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52">
        <v>0</v>
      </c>
      <c r="G205" s="1031">
        <v>25000</v>
      </c>
      <c r="H205" s="953">
        <v>717.5</v>
      </c>
      <c r="I205" s="1036">
        <v>0</v>
      </c>
      <c r="J205" s="953">
        <v>760</v>
      </c>
      <c r="K205" s="951">
        <v>25</v>
      </c>
      <c r="L205" s="1032">
        <f t="shared" si="43"/>
        <v>1502.5</v>
      </c>
      <c r="M205" s="1031">
        <f t="shared" si="42"/>
        <v>23497.5</v>
      </c>
    </row>
    <row r="206" spans="1:13" ht="18.75" x14ac:dyDescent="0.3">
      <c r="A206" s="1029" t="s">
        <v>915</v>
      </c>
      <c r="B206" s="999" t="s">
        <v>807</v>
      </c>
      <c r="C206" s="1024" t="s">
        <v>105</v>
      </c>
      <c r="D206" s="960" t="s">
        <v>1067</v>
      </c>
      <c r="E206" s="951">
        <v>25000</v>
      </c>
      <c r="F206" s="952">
        <v>0</v>
      </c>
      <c r="G206" s="1031">
        <v>25000</v>
      </c>
      <c r="H206" s="953">
        <v>717.5</v>
      </c>
      <c r="I206" s="1036">
        <v>0</v>
      </c>
      <c r="J206" s="953">
        <v>760</v>
      </c>
      <c r="K206" s="951">
        <v>25</v>
      </c>
      <c r="L206" s="1032">
        <f t="shared" si="43"/>
        <v>1502.5</v>
      </c>
      <c r="M206" s="1031">
        <f t="shared" si="42"/>
        <v>23497.5</v>
      </c>
    </row>
    <row r="207" spans="1:13" ht="18.75" x14ac:dyDescent="0.3">
      <c r="A207" s="1029" t="s">
        <v>1058</v>
      </c>
      <c r="B207" s="999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3"/>
        <v>1502.5</v>
      </c>
      <c r="M207" s="1031">
        <f t="shared" si="42"/>
        <v>23497.5</v>
      </c>
    </row>
    <row r="208" spans="1:13" ht="18.75" x14ac:dyDescent="0.3">
      <c r="A208" s="1027" t="s">
        <v>587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43"/>
        <v>1502.5</v>
      </c>
      <c r="M208" s="1031">
        <f t="shared" si="42"/>
        <v>23497.5</v>
      </c>
    </row>
    <row r="209" spans="1:13" ht="18.75" x14ac:dyDescent="0.3">
      <c r="A209" s="1027" t="s">
        <v>1150</v>
      </c>
      <c r="B209" s="950" t="s">
        <v>1151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43"/>
        <v>1502.5</v>
      </c>
      <c r="M209" s="1031">
        <f t="shared" si="42"/>
        <v>23497.5</v>
      </c>
    </row>
    <row r="210" spans="1:13" ht="18.75" x14ac:dyDescent="0.3">
      <c r="A210" s="1024" t="s">
        <v>830</v>
      </c>
      <c r="B210" s="950" t="s">
        <v>806</v>
      </c>
      <c r="C210" s="1026" t="s">
        <v>92</v>
      </c>
      <c r="D210" s="960" t="s">
        <v>1067</v>
      </c>
      <c r="E210" s="978">
        <v>30000</v>
      </c>
      <c r="F210" s="979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25</v>
      </c>
      <c r="L210" s="1032">
        <f t="shared" si="43"/>
        <v>1798</v>
      </c>
      <c r="M210" s="1031">
        <f t="shared" si="42"/>
        <v>28202</v>
      </c>
    </row>
    <row r="211" spans="1:13" ht="18.75" x14ac:dyDescent="0.3">
      <c r="A211" s="1024" t="s">
        <v>1056</v>
      </c>
      <c r="B211" s="950" t="s">
        <v>806</v>
      </c>
      <c r="C211" s="1026" t="s">
        <v>92</v>
      </c>
      <c r="D211" s="960" t="s">
        <v>1067</v>
      </c>
      <c r="E211" s="978">
        <v>30000</v>
      </c>
      <c r="F211" s="979">
        <v>0</v>
      </c>
      <c r="G211" s="1032">
        <v>30000</v>
      </c>
      <c r="H211" s="951">
        <v>861</v>
      </c>
      <c r="I211" s="1036">
        <v>0</v>
      </c>
      <c r="J211" s="951">
        <v>912</v>
      </c>
      <c r="K211" s="951">
        <v>25</v>
      </c>
      <c r="L211" s="1032">
        <f t="shared" si="43"/>
        <v>1798</v>
      </c>
      <c r="M211" s="1031">
        <f t="shared" si="42"/>
        <v>28202</v>
      </c>
    </row>
    <row r="212" spans="1:13" ht="18.75" x14ac:dyDescent="0.3">
      <c r="A212" s="1027" t="s">
        <v>800</v>
      </c>
      <c r="B212" s="950" t="s">
        <v>806</v>
      </c>
      <c r="C212" s="1024" t="s">
        <v>268</v>
      </c>
      <c r="D212" s="960" t="s">
        <v>1067</v>
      </c>
      <c r="E212" s="951">
        <v>30000</v>
      </c>
      <c r="F212" s="974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3"/>
        <v>1798</v>
      </c>
      <c r="M212" s="1031">
        <f t="shared" si="42"/>
        <v>28202</v>
      </c>
    </row>
    <row r="213" spans="1:13" ht="18.75" x14ac:dyDescent="0.3">
      <c r="A213" s="1029" t="s">
        <v>1333</v>
      </c>
      <c r="B213" s="950" t="s">
        <v>1296</v>
      </c>
      <c r="C213" s="1024" t="s">
        <v>268</v>
      </c>
      <c r="D213" s="960" t="s">
        <v>1067</v>
      </c>
      <c r="E213" s="951">
        <v>30000</v>
      </c>
      <c r="F213" s="952">
        <v>0</v>
      </c>
      <c r="G213" s="1031">
        <v>30000</v>
      </c>
      <c r="H213" s="953">
        <v>861</v>
      </c>
      <c r="I213" s="1036">
        <v>0</v>
      </c>
      <c r="J213" s="953">
        <v>912</v>
      </c>
      <c r="K213" s="951">
        <v>25</v>
      </c>
      <c r="L213" s="1032">
        <f t="shared" si="43"/>
        <v>1798</v>
      </c>
      <c r="M213" s="1031">
        <f t="shared" si="42"/>
        <v>28202</v>
      </c>
    </row>
    <row r="214" spans="1:13" ht="18.75" x14ac:dyDescent="0.3">
      <c r="A214" s="1029" t="s">
        <v>91</v>
      </c>
      <c r="B214" s="950" t="s">
        <v>806</v>
      </c>
      <c r="C214" s="1024" t="s">
        <v>92</v>
      </c>
      <c r="D214" s="960" t="s">
        <v>1067</v>
      </c>
      <c r="E214" s="951">
        <v>30000</v>
      </c>
      <c r="F214" s="952">
        <v>0</v>
      </c>
      <c r="G214" s="1031">
        <v>30000</v>
      </c>
      <c r="H214" s="953">
        <v>861</v>
      </c>
      <c r="I214" s="1036">
        <v>0</v>
      </c>
      <c r="J214" s="953">
        <v>912</v>
      </c>
      <c r="K214" s="951">
        <v>2134</v>
      </c>
      <c r="L214" s="1032">
        <f t="shared" si="43"/>
        <v>3907</v>
      </c>
      <c r="M214" s="1031">
        <f t="shared" si="42"/>
        <v>26093</v>
      </c>
    </row>
    <row r="215" spans="1:13" ht="18.75" x14ac:dyDescent="0.3">
      <c r="A215" s="1029" t="s">
        <v>1346</v>
      </c>
      <c r="B215" s="950" t="s">
        <v>806</v>
      </c>
      <c r="C215" s="1024" t="s">
        <v>92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3"/>
        <v>1798</v>
      </c>
      <c r="M215" s="1031">
        <f t="shared" si="42"/>
        <v>28202</v>
      </c>
    </row>
    <row r="216" spans="1:13" ht="18.75" x14ac:dyDescent="0.3">
      <c r="A216" s="1029" t="s">
        <v>1350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3"/>
        <v>1798</v>
      </c>
      <c r="M216" s="1031">
        <f t="shared" si="42"/>
        <v>28202</v>
      </c>
    </row>
    <row r="217" spans="1:13" ht="18.75" x14ac:dyDescent="0.3">
      <c r="A217" s="1027" t="s">
        <v>1388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v>1798</v>
      </c>
      <c r="M217" s="1031">
        <f t="shared" si="42"/>
        <v>28202</v>
      </c>
    </row>
    <row r="218" spans="1:13" ht="18.75" x14ac:dyDescent="0.3">
      <c r="A218" s="1027" t="s">
        <v>1389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v>1798</v>
      </c>
      <c r="M218" s="1031">
        <f t="shared" si="42"/>
        <v>28202</v>
      </c>
    </row>
    <row r="219" spans="1:13" ht="18.75" x14ac:dyDescent="0.3">
      <c r="A219" s="1027" t="s">
        <v>1390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2"/>
        <v>28202</v>
      </c>
    </row>
    <row r="220" spans="1:13" ht="18.75" x14ac:dyDescent="0.3">
      <c r="A220" s="1027" t="s">
        <v>1420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2"/>
        <v>28202</v>
      </c>
    </row>
    <row r="221" spans="1:13" ht="18.75" x14ac:dyDescent="0.3">
      <c r="A221" s="961" t="s">
        <v>749</v>
      </c>
      <c r="B221" s="999"/>
      <c r="C221" s="962">
        <v>38</v>
      </c>
      <c r="D221" s="962"/>
      <c r="E221" s="963">
        <f>SUM(E183:E220)</f>
        <v>1692500</v>
      </c>
      <c r="F221" s="1071">
        <v>0</v>
      </c>
      <c r="G221" s="963">
        <f t="shared" ref="G221:L221" si="44">SUM(G183:G220)</f>
        <v>1692500</v>
      </c>
      <c r="H221" s="963">
        <f t="shared" si="44"/>
        <v>48574.75</v>
      </c>
      <c r="I221" s="963">
        <f t="shared" si="44"/>
        <v>77168.339999999967</v>
      </c>
      <c r="J221" s="963">
        <f t="shared" si="44"/>
        <v>51452</v>
      </c>
      <c r="K221" s="963">
        <f t="shared" si="44"/>
        <v>12339.3</v>
      </c>
      <c r="L221" s="963">
        <f t="shared" si="44"/>
        <v>189534.38999999996</v>
      </c>
      <c r="M221" s="963">
        <f>SUM(M183:M220)</f>
        <v>1502965.6099999999</v>
      </c>
    </row>
    <row r="222" spans="1:13" ht="18.75" x14ac:dyDescent="0.3">
      <c r="A222" s="961"/>
      <c r="B222" s="958"/>
      <c r="C222" s="962"/>
      <c r="D222" s="962"/>
      <c r="E222" s="963"/>
      <c r="F222" s="964"/>
      <c r="G222" s="965"/>
      <c r="H222" s="965"/>
      <c r="I222" s="963"/>
      <c r="J222" s="965"/>
      <c r="K222" s="963"/>
      <c r="L222" s="963"/>
      <c r="M222" s="965"/>
    </row>
    <row r="223" spans="1:13" ht="27.75" customHeight="1" x14ac:dyDescent="0.3">
      <c r="A223" s="1058" t="s">
        <v>865</v>
      </c>
      <c r="B223" s="1059"/>
      <c r="C223" s="1058">
        <v>131</v>
      </c>
      <c r="D223" s="1058"/>
      <c r="E223" s="1076">
        <f>+E19+E25+E29+E41+E45+E50+E54+E60+E74+E89+E94+E99+E103+E108+E112+E122+E127+E135+E141+E145+E149+E156+E161+E166+E180+E221</f>
        <v>6773500</v>
      </c>
      <c r="F223" s="1072">
        <v>0</v>
      </c>
      <c r="G223" s="1076">
        <f>+G19+G25+G29+G41+G45+G50+G54+G60+G74+G89+G94+G99+G103+G108+G112+G122+G127+G135+G141+G145+G149+G156+G161+G166+G180+G221</f>
        <v>6773500</v>
      </c>
      <c r="H223" s="1076">
        <f>+H19+H25+H29+H41+H45+H50+H54+H60+H74+H89+H94+H99+H103+H108+H112+H122+H127+H135+H141+H145+H149+H156+H161+H166+H180+H221</f>
        <v>194399.45</v>
      </c>
      <c r="I223" s="1076">
        <f t="shared" ref="I223:L223" si="45">+I19+I25+I29+I41+I45+I50+I54+I60+I74+I89+I94+I99+I103+I108+I112+I122+I127+I135+I141+I145+I149+I156+I161+I166+I180+I221</f>
        <v>425428.40999999992</v>
      </c>
      <c r="J223" s="1076">
        <f t="shared" si="45"/>
        <v>203392.71999999997</v>
      </c>
      <c r="K223" s="1076">
        <f t="shared" si="45"/>
        <v>133305.65</v>
      </c>
      <c r="L223" s="1076">
        <f t="shared" si="45"/>
        <v>956526.23</v>
      </c>
      <c r="M223" s="1076">
        <f>+M19+M25+M29+M41+M45+M50+M54+M60+M74+M89+M94+M99+M103+M108+M112+M122+M127+M135+M141+M145+M149+M156+M161+M166+M180+M221</f>
        <v>5816973.7699999996</v>
      </c>
    </row>
    <row r="224" spans="1:13" ht="15.75" x14ac:dyDescent="0.25">
      <c r="A224" s="853"/>
      <c r="B224" s="871"/>
      <c r="C224" s="853"/>
      <c r="D224" s="853"/>
      <c r="E224" s="869"/>
      <c r="F224" s="853"/>
      <c r="G224" s="853"/>
      <c r="H224" s="853"/>
      <c r="I224" s="869"/>
      <c r="J224" s="1022"/>
      <c r="K224" s="1093"/>
      <c r="L224" s="1093"/>
      <c r="M224" s="1022"/>
    </row>
    <row r="225" spans="1:13" ht="15.75" x14ac:dyDescent="0.25">
      <c r="A225" s="853"/>
      <c r="B225" s="871"/>
      <c r="C225" s="853"/>
      <c r="D225" s="853"/>
      <c r="E225" s="869"/>
      <c r="F225" s="853"/>
      <c r="G225" s="853"/>
      <c r="H225" s="853"/>
      <c r="I225" s="869"/>
      <c r="J225" s="1022"/>
      <c r="K225" s="1093"/>
      <c r="L225" s="1093"/>
      <c r="M225" s="1022"/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1092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271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703" t="s">
        <v>1271</v>
      </c>
      <c r="B247" s="1703"/>
      <c r="C247" s="874"/>
      <c r="D247" s="874"/>
      <c r="E247" s="875"/>
      <c r="F247" s="873"/>
      <c r="G247" s="873"/>
      <c r="H247" s="1683" t="s">
        <v>852</v>
      </c>
      <c r="I247" s="1683"/>
      <c r="J247" s="1683"/>
      <c r="K247" s="1683"/>
      <c r="L247" s="1683"/>
      <c r="M247" s="1683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684" t="s">
        <v>1370</v>
      </c>
      <c r="J248" s="1684"/>
      <c r="K248" s="1684"/>
      <c r="L248" s="1684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71.25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A6:M6"/>
    <mergeCell ref="A7:N7"/>
    <mergeCell ref="A8:M8"/>
    <mergeCell ref="A9:M9"/>
    <mergeCell ref="A10:M10"/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95" max="12" man="1"/>
  </rowBreaks>
  <drawing r:id="rId2"/>
</worksheet>
</file>

<file path=xl/worksheets/sheet2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5D6A94-2101-4881-9E1C-11FBE85B4E2D}">
  <dimension ref="A1:S158"/>
  <sheetViews>
    <sheetView zoomScale="98" zoomScaleNormal="98" zoomScaleSheetLayoutView="89" workbookViewId="0">
      <selection activeCell="L1" sqref="L1:L4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50.7109375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2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2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2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3"/>
      <c r="M4" s="311"/>
      <c r="N4" s="311"/>
      <c r="O4" s="311"/>
    </row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1470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709" t="s">
        <v>7</v>
      </c>
      <c r="B11" s="1709" t="s">
        <v>937</v>
      </c>
      <c r="C11" s="1712" t="s">
        <v>9</v>
      </c>
      <c r="D11" s="1709" t="s">
        <v>832</v>
      </c>
      <c r="E11" s="1709" t="s">
        <v>834</v>
      </c>
      <c r="F11" s="1709" t="s">
        <v>209</v>
      </c>
      <c r="G11" s="1051" t="s">
        <v>12</v>
      </c>
      <c r="H11" s="1711" t="s">
        <v>13</v>
      </c>
      <c r="I11" s="1710" t="s">
        <v>14</v>
      </c>
      <c r="J11" s="1710" t="s">
        <v>15</v>
      </c>
      <c r="K11" s="1710" t="s">
        <v>16</v>
      </c>
      <c r="L11" s="1722" t="s">
        <v>17</v>
      </c>
      <c r="M11" s="1710" t="s">
        <v>18</v>
      </c>
      <c r="N11" s="1710" t="s">
        <v>19</v>
      </c>
      <c r="O11" s="1710" t="s">
        <v>20</v>
      </c>
    </row>
    <row r="12" spans="1:15" x14ac:dyDescent="0.25">
      <c r="A12" s="1709"/>
      <c r="B12" s="1709"/>
      <c r="C12" s="1712"/>
      <c r="D12" s="1709"/>
      <c r="E12" s="1709"/>
      <c r="F12" s="1709"/>
      <c r="G12" s="1051" t="s">
        <v>21</v>
      </c>
      <c r="H12" s="1711"/>
      <c r="I12" s="1710"/>
      <c r="J12" s="1710"/>
      <c r="K12" s="1710"/>
      <c r="L12" s="1722"/>
      <c r="M12" s="1710"/>
      <c r="N12" s="1710"/>
      <c r="O12" s="1710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695"/>
      <c r="M31" s="1099"/>
      <c r="N31" s="695"/>
      <c r="O31" s="695"/>
    </row>
    <row r="32" spans="1:15" ht="21" customHeight="1" x14ac:dyDescent="0.25">
      <c r="A32" s="466" t="s">
        <v>839</v>
      </c>
      <c r="B32" s="465"/>
      <c r="C32" s="492"/>
      <c r="D32" s="465"/>
      <c r="E32" s="500"/>
      <c r="F32" s="855"/>
      <c r="G32" s="695"/>
      <c r="H32" s="696"/>
      <c r="I32" s="695"/>
      <c r="J32" s="695"/>
      <c r="K32" s="695"/>
      <c r="L32" s="695"/>
      <c r="M32" s="1099"/>
      <c r="N32" s="695"/>
      <c r="O32" s="695"/>
    </row>
    <row r="33" spans="1:15" ht="27.75" customHeight="1" x14ac:dyDescent="0.25">
      <c r="A33" s="286" t="s">
        <v>816</v>
      </c>
      <c r="B33" s="281" t="s">
        <v>807</v>
      </c>
      <c r="C33" s="282" t="s">
        <v>1475</v>
      </c>
      <c r="D33" s="281" t="s">
        <v>1063</v>
      </c>
      <c r="E33" s="500">
        <v>45597</v>
      </c>
      <c r="F33" s="855">
        <v>45748</v>
      </c>
      <c r="G33" s="626">
        <v>150000</v>
      </c>
      <c r="H33" s="627">
        <v>0</v>
      </c>
      <c r="I33" s="626">
        <v>150000</v>
      </c>
      <c r="J33" s="626">
        <v>4305</v>
      </c>
      <c r="K33" s="626">
        <v>23437.75</v>
      </c>
      <c r="L33" s="626">
        <v>4560</v>
      </c>
      <c r="M33" s="1100">
        <v>3912.66</v>
      </c>
      <c r="N33" s="626">
        <v>36215.410000000003</v>
      </c>
      <c r="O33" s="626">
        <v>113784.59</v>
      </c>
    </row>
    <row r="34" spans="1:15" ht="21" customHeight="1" x14ac:dyDescent="0.25">
      <c r="A34" s="453" t="s">
        <v>813</v>
      </c>
      <c r="B34" s="465"/>
      <c r="C34" s="492">
        <v>1</v>
      </c>
      <c r="D34" s="465"/>
      <c r="E34" s="500"/>
      <c r="F34" s="855"/>
      <c r="G34" s="695">
        <v>150000</v>
      </c>
      <c r="H34" s="696">
        <v>0</v>
      </c>
      <c r="I34" s="695">
        <v>150000</v>
      </c>
      <c r="J34" s="695">
        <v>4305</v>
      </c>
      <c r="K34" s="695">
        <v>23437.75</v>
      </c>
      <c r="L34" s="695">
        <v>4560</v>
      </c>
      <c r="M34" s="1099">
        <v>3912.66</v>
      </c>
      <c r="N34" s="695">
        <v>36215.410000000003</v>
      </c>
      <c r="O34" s="695">
        <v>113784.59</v>
      </c>
    </row>
    <row r="35" spans="1:15" ht="21" customHeight="1" x14ac:dyDescent="0.25">
      <c r="A35" s="496"/>
      <c r="B35" s="497"/>
      <c r="C35" s="282"/>
      <c r="D35" s="281"/>
      <c r="E35" s="858"/>
      <c r="F35" s="855"/>
      <c r="G35" s="626"/>
      <c r="H35" s="487"/>
      <c r="I35" s="457"/>
      <c r="J35" s="457"/>
      <c r="K35" s="457"/>
      <c r="L35" s="468"/>
      <c r="M35" s="675"/>
      <c r="N35" s="457"/>
      <c r="O35" s="457"/>
    </row>
    <row r="36" spans="1:15" ht="21" customHeight="1" x14ac:dyDescent="0.25">
      <c r="A36" s="453" t="s">
        <v>1128</v>
      </c>
      <c r="B36" s="453"/>
      <c r="C36" s="280"/>
      <c r="D36" s="280"/>
      <c r="E36" s="858"/>
      <c r="F36" s="855"/>
      <c r="G36" s="280"/>
      <c r="H36" s="457"/>
      <c r="I36" s="487"/>
      <c r="J36" s="457"/>
      <c r="K36" s="457"/>
      <c r="L36" s="468"/>
      <c r="M36" s="675"/>
      <c r="N36" s="457"/>
      <c r="O36" s="457"/>
    </row>
    <row r="37" spans="1:15" ht="21" customHeight="1" x14ac:dyDescent="0.25">
      <c r="A37" s="280" t="s">
        <v>461</v>
      </c>
      <c r="B37" s="281" t="s">
        <v>807</v>
      </c>
      <c r="C37" s="282" t="s">
        <v>1366</v>
      </c>
      <c r="D37" s="281" t="s">
        <v>1063</v>
      </c>
      <c r="E37" s="855">
        <v>45597</v>
      </c>
      <c r="F37" s="855">
        <v>45748</v>
      </c>
      <c r="G37" s="468">
        <v>115000</v>
      </c>
      <c r="H37" s="456">
        <v>0</v>
      </c>
      <c r="I37" s="489">
        <v>115000</v>
      </c>
      <c r="J37" s="489">
        <v>3300.5</v>
      </c>
      <c r="K37" s="489">
        <v>15633.74</v>
      </c>
      <c r="L37" s="628">
        <v>3496</v>
      </c>
      <c r="M37" s="1101">
        <v>1431</v>
      </c>
      <c r="N37" s="457">
        <f>+J37+K37+L37+M37</f>
        <v>23861.239999999998</v>
      </c>
      <c r="O37" s="457">
        <f>+I37-N37</f>
        <v>91138.760000000009</v>
      </c>
    </row>
    <row r="38" spans="1:15" ht="21" customHeight="1" x14ac:dyDescent="0.25">
      <c r="A38" s="280" t="s">
        <v>1283</v>
      </c>
      <c r="B38" s="281" t="s">
        <v>807</v>
      </c>
      <c r="C38" s="282" t="s">
        <v>1418</v>
      </c>
      <c r="D38" s="281" t="s">
        <v>1281</v>
      </c>
      <c r="E38" s="855">
        <v>45200</v>
      </c>
      <c r="F38" s="855">
        <v>45717</v>
      </c>
      <c r="G38" s="468">
        <v>50000</v>
      </c>
      <c r="H38" s="456">
        <v>0</v>
      </c>
      <c r="I38" s="489">
        <v>50000</v>
      </c>
      <c r="J38" s="489">
        <v>1435</v>
      </c>
      <c r="K38" s="489">
        <v>1854</v>
      </c>
      <c r="L38" s="628">
        <v>1520</v>
      </c>
      <c r="M38" s="1101">
        <v>728</v>
      </c>
      <c r="N38" s="457">
        <f>+J38+K38+L38+M38</f>
        <v>5537</v>
      </c>
      <c r="O38" s="457">
        <f>+I38-N38</f>
        <v>44463</v>
      </c>
    </row>
    <row r="39" spans="1:15" ht="21" customHeight="1" x14ac:dyDescent="0.25">
      <c r="A39" s="453" t="s">
        <v>813</v>
      </c>
      <c r="B39" s="453"/>
      <c r="C39" s="453">
        <v>2</v>
      </c>
      <c r="D39" s="525"/>
      <c r="E39" s="500"/>
      <c r="F39" s="855"/>
      <c r="G39" s="695">
        <f>SUM(G37:G38)</f>
        <v>165000</v>
      </c>
      <c r="H39" s="696">
        <f t="shared" ref="H39" si="5">SUM(H38)</f>
        <v>0</v>
      </c>
      <c r="I39" s="695">
        <f t="shared" ref="I39:O39" si="6">SUM(I37:I38)</f>
        <v>165000</v>
      </c>
      <c r="J39" s="695">
        <f t="shared" si="6"/>
        <v>4735.5</v>
      </c>
      <c r="K39" s="695">
        <f t="shared" si="6"/>
        <v>17487.739999999998</v>
      </c>
      <c r="L39" s="695">
        <f t="shared" si="6"/>
        <v>5016</v>
      </c>
      <c r="M39" s="1099">
        <f>SUM(M37:M38)</f>
        <v>2159</v>
      </c>
      <c r="N39" s="695">
        <f t="shared" si="6"/>
        <v>29398.239999999998</v>
      </c>
      <c r="O39" s="695">
        <f t="shared" si="6"/>
        <v>135601.76</v>
      </c>
    </row>
    <row r="40" spans="1:15" ht="21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698"/>
      <c r="M40" s="1102"/>
      <c r="N40" s="463"/>
      <c r="O40" s="463"/>
    </row>
    <row r="41" spans="1:15" ht="21" customHeight="1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1099"/>
      <c r="N41" s="695"/>
      <c r="O41" s="695"/>
    </row>
    <row r="42" spans="1:15" ht="21" customHeight="1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45200</v>
      </c>
      <c r="F42" s="855">
        <v>45717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626">
        <v>2888</v>
      </c>
      <c r="M42" s="1100">
        <v>8637.92</v>
      </c>
      <c r="N42" s="457">
        <f>+J42+K42+L42+M42</f>
        <v>25181.659999999996</v>
      </c>
      <c r="O42" s="498">
        <f>+I42-N42</f>
        <v>69818.34</v>
      </c>
    </row>
    <row r="43" spans="1:15" ht="21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>SUM(G42)</f>
        <v>95000</v>
      </c>
      <c r="H43" s="696">
        <f>SUM(H42)</f>
        <v>0</v>
      </c>
      <c r="I43" s="697">
        <f t="shared" ref="I43:O43" si="7">SUM(I42)</f>
        <v>95000</v>
      </c>
      <c r="J43" s="697">
        <f t="shared" si="7"/>
        <v>2726.5</v>
      </c>
      <c r="K43" s="697">
        <f t="shared" si="7"/>
        <v>10929.24</v>
      </c>
      <c r="L43" s="697">
        <f t="shared" si="7"/>
        <v>2888</v>
      </c>
      <c r="M43" s="676">
        <f>SUM(M42)</f>
        <v>8637.92</v>
      </c>
      <c r="N43" s="697">
        <f t="shared" si="7"/>
        <v>25181.659999999996</v>
      </c>
      <c r="O43" s="697">
        <f t="shared" si="7"/>
        <v>69818.34</v>
      </c>
    </row>
    <row r="44" spans="1:15" ht="21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68"/>
      <c r="M44" s="675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76"/>
      <c r="N45" s="697"/>
      <c r="O45" s="697"/>
    </row>
    <row r="46" spans="1:15" ht="31.5" customHeight="1" x14ac:dyDescent="0.25">
      <c r="A46" s="286" t="s">
        <v>624</v>
      </c>
      <c r="B46" s="281" t="s">
        <v>806</v>
      </c>
      <c r="C46" s="749" t="s">
        <v>1425</v>
      </c>
      <c r="D46" s="281" t="s">
        <v>1063</v>
      </c>
      <c r="E46" s="855">
        <v>45474</v>
      </c>
      <c r="F46" s="855">
        <v>45658</v>
      </c>
      <c r="G46" s="626">
        <v>120000</v>
      </c>
      <c r="H46" s="627">
        <v>0</v>
      </c>
      <c r="I46" s="468">
        <v>120000</v>
      </c>
      <c r="J46" s="468">
        <v>3444</v>
      </c>
      <c r="K46" s="468">
        <v>16809.87</v>
      </c>
      <c r="L46" s="628">
        <v>3648</v>
      </c>
      <c r="M46" s="675">
        <v>2568.4</v>
      </c>
      <c r="N46" s="468">
        <f>+J46+K46+L46+M46</f>
        <v>26470.27</v>
      </c>
      <c r="O46" s="626">
        <f>+I46-N46</f>
        <v>93529.73</v>
      </c>
    </row>
    <row r="47" spans="1:15" ht="21" customHeight="1" x14ac:dyDescent="0.25">
      <c r="A47" s="496" t="s">
        <v>1352</v>
      </c>
      <c r="B47" s="497" t="s">
        <v>806</v>
      </c>
      <c r="C47" s="286" t="s">
        <v>1464</v>
      </c>
      <c r="D47" s="281" t="s">
        <v>1063</v>
      </c>
      <c r="E47" s="855">
        <v>45597</v>
      </c>
      <c r="F47" s="855">
        <v>45748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628">
        <v>1672</v>
      </c>
      <c r="M47" s="675">
        <v>25</v>
      </c>
      <c r="N47" s="457">
        <v>5835.18</v>
      </c>
      <c r="O47" s="498">
        <f>+I47-N47</f>
        <v>49164.82</v>
      </c>
    </row>
    <row r="48" spans="1:15" ht="21" customHeight="1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175000</v>
      </c>
      <c r="H48" s="696">
        <f t="shared" ref="H48" si="8">SUM(H47)</f>
        <v>0</v>
      </c>
      <c r="I48" s="697">
        <f t="shared" ref="I48:O48" si="9">SUM(I46:I47)</f>
        <v>175000</v>
      </c>
      <c r="J48" s="697">
        <f t="shared" si="9"/>
        <v>5022.5</v>
      </c>
      <c r="K48" s="697">
        <f t="shared" si="9"/>
        <v>19369.55</v>
      </c>
      <c r="L48" s="697">
        <f t="shared" si="9"/>
        <v>5320</v>
      </c>
      <c r="M48" s="676">
        <f>SUM(M46:M47)</f>
        <v>2593.4</v>
      </c>
      <c r="N48" s="697">
        <f t="shared" si="9"/>
        <v>32305.45</v>
      </c>
      <c r="O48" s="697">
        <f t="shared" si="9"/>
        <v>142694.54999999999</v>
      </c>
    </row>
    <row r="49" spans="1:15" ht="21" customHeight="1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68"/>
      <c r="M49" s="675"/>
      <c r="N49" s="457"/>
      <c r="O49" s="457"/>
    </row>
    <row r="50" spans="1:15" ht="21" customHeight="1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76"/>
      <c r="N50" s="697"/>
      <c r="O50" s="697"/>
    </row>
    <row r="51" spans="1:15" ht="32.25" customHeight="1" x14ac:dyDescent="0.25">
      <c r="A51" s="280" t="s">
        <v>1396</v>
      </c>
      <c r="B51" s="281" t="s">
        <v>806</v>
      </c>
      <c r="C51" s="282" t="s">
        <v>1357</v>
      </c>
      <c r="D51" s="281" t="s">
        <v>1063</v>
      </c>
      <c r="E51" s="855">
        <v>45444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ref="N51:N57" si="10">+J51+K51+L51+M51</f>
        <v>25398.49</v>
      </c>
      <c r="O51" s="498">
        <f t="shared" ref="O51:O57" si="11">+I51-N51</f>
        <v>99601.51</v>
      </c>
    </row>
    <row r="52" spans="1:15" ht="32.25" customHeight="1" x14ac:dyDescent="0.25">
      <c r="A52" s="280" t="s">
        <v>1395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si="10"/>
        <v>25398.49</v>
      </c>
      <c r="O52" s="498">
        <f t="shared" si="11"/>
        <v>99601.51</v>
      </c>
    </row>
    <row r="53" spans="1:15" ht="32.25" customHeight="1" x14ac:dyDescent="0.25">
      <c r="A53" s="280" t="s">
        <v>1354</v>
      </c>
      <c r="B53" s="281" t="s">
        <v>806</v>
      </c>
      <c r="C53" s="282" t="s">
        <v>1355</v>
      </c>
      <c r="D53" s="281" t="s">
        <v>1063</v>
      </c>
      <c r="E53" s="855">
        <v>45597</v>
      </c>
      <c r="F53" s="855">
        <v>45748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0"/>
        <v>25398.49</v>
      </c>
      <c r="O53" s="498">
        <f t="shared" si="11"/>
        <v>99601.51</v>
      </c>
    </row>
    <row r="54" spans="1:15" ht="32.25" customHeight="1" x14ac:dyDescent="0.25">
      <c r="A54" s="280" t="s">
        <v>548</v>
      </c>
      <c r="B54" s="281" t="s">
        <v>806</v>
      </c>
      <c r="C54" s="282" t="s">
        <v>1355</v>
      </c>
      <c r="D54" s="281" t="s">
        <v>1063</v>
      </c>
      <c r="E54" s="855">
        <v>45597</v>
      </c>
      <c r="F54" s="855">
        <v>45748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0"/>
        <v>25398.49</v>
      </c>
      <c r="O54" s="498">
        <f t="shared" si="11"/>
        <v>99601.51</v>
      </c>
    </row>
    <row r="55" spans="1:15" ht="32.25" customHeight="1" x14ac:dyDescent="0.25">
      <c r="A55" s="280" t="s">
        <v>1356</v>
      </c>
      <c r="B55" s="281" t="s">
        <v>806</v>
      </c>
      <c r="C55" s="282" t="s">
        <v>1357</v>
      </c>
      <c r="D55" s="281" t="s">
        <v>1063</v>
      </c>
      <c r="E55" s="855">
        <v>45597</v>
      </c>
      <c r="F55" s="855">
        <v>45748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0"/>
        <v>25398.49</v>
      </c>
      <c r="O55" s="498">
        <f t="shared" si="11"/>
        <v>99601.51</v>
      </c>
    </row>
    <row r="56" spans="1:15" ht="32.25" customHeight="1" x14ac:dyDescent="0.25">
      <c r="A56" s="280" t="s">
        <v>243</v>
      </c>
      <c r="B56" s="281" t="s">
        <v>806</v>
      </c>
      <c r="C56" s="282" t="s">
        <v>1357</v>
      </c>
      <c r="D56" s="281" t="s">
        <v>1063</v>
      </c>
      <c r="E56" s="855">
        <v>45597</v>
      </c>
      <c r="F56" s="855">
        <v>45748</v>
      </c>
      <c r="G56" s="626">
        <v>115000</v>
      </c>
      <c r="H56" s="487">
        <v>0</v>
      </c>
      <c r="I56" s="1038">
        <v>115000</v>
      </c>
      <c r="J56" s="1038">
        <v>3300.5</v>
      </c>
      <c r="K56" s="1038">
        <v>15633.74</v>
      </c>
      <c r="L56" s="1039">
        <v>3496</v>
      </c>
      <c r="M56" s="1103">
        <v>25</v>
      </c>
      <c r="N56" s="468">
        <f t="shared" si="10"/>
        <v>22455.239999999998</v>
      </c>
      <c r="O56" s="498">
        <f t="shared" si="11"/>
        <v>92544.760000000009</v>
      </c>
    </row>
    <row r="57" spans="1:15" ht="32.25" customHeight="1" x14ac:dyDescent="0.25">
      <c r="A57" s="280" t="s">
        <v>116</v>
      </c>
      <c r="B57" s="281" t="s">
        <v>807</v>
      </c>
      <c r="C57" s="282" t="s">
        <v>1357</v>
      </c>
      <c r="D57" s="281" t="s">
        <v>1063</v>
      </c>
      <c r="E57" s="855">
        <v>45597</v>
      </c>
      <c r="F57" s="855">
        <v>45748</v>
      </c>
      <c r="G57" s="626">
        <v>115000</v>
      </c>
      <c r="H57" s="627">
        <v>0</v>
      </c>
      <c r="I57" s="1038">
        <v>115000</v>
      </c>
      <c r="J57" s="1038">
        <v>3300.5</v>
      </c>
      <c r="K57" s="1038">
        <v>15204.88</v>
      </c>
      <c r="L57" s="1039">
        <v>3496</v>
      </c>
      <c r="M57" s="1103">
        <v>1740.46</v>
      </c>
      <c r="N57" s="468">
        <f t="shared" si="10"/>
        <v>23741.839999999997</v>
      </c>
      <c r="O57" s="626">
        <f t="shared" si="11"/>
        <v>91258.16</v>
      </c>
    </row>
    <row r="58" spans="1:15" ht="33" customHeight="1" x14ac:dyDescent="0.25">
      <c r="A58" s="280" t="s">
        <v>1479</v>
      </c>
      <c r="B58" s="281" t="s">
        <v>807</v>
      </c>
      <c r="C58" s="282" t="s">
        <v>1357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8">
        <v>17985.990000000002</v>
      </c>
      <c r="L58" s="1039">
        <v>3800</v>
      </c>
      <c r="M58" s="1103">
        <v>25</v>
      </c>
      <c r="N58" s="468">
        <v>25398.49</v>
      </c>
      <c r="O58" s="498">
        <v>99601.51</v>
      </c>
    </row>
    <row r="59" spans="1:15" ht="21" customHeight="1" x14ac:dyDescent="0.25">
      <c r="A59" s="466" t="s">
        <v>813</v>
      </c>
      <c r="B59" s="465"/>
      <c r="C59" s="492">
        <v>8</v>
      </c>
      <c r="D59" s="465"/>
      <c r="E59" s="500"/>
      <c r="F59" s="855"/>
      <c r="G59" s="697">
        <f>SUM(G51:G58)</f>
        <v>980000</v>
      </c>
      <c r="H59" s="495">
        <v>0</v>
      </c>
      <c r="I59" s="697">
        <f t="shared" ref="I59:O59" si="12">SUM(I51:I58)</f>
        <v>980000</v>
      </c>
      <c r="J59" s="697">
        <f t="shared" si="12"/>
        <v>28126</v>
      </c>
      <c r="K59" s="697">
        <f t="shared" si="12"/>
        <v>138754.56000000003</v>
      </c>
      <c r="L59" s="697">
        <f t="shared" si="12"/>
        <v>29792</v>
      </c>
      <c r="M59" s="697">
        <f t="shared" si="12"/>
        <v>1915.46</v>
      </c>
      <c r="N59" s="697">
        <f t="shared" si="12"/>
        <v>198588.02</v>
      </c>
      <c r="O59" s="697">
        <f t="shared" si="12"/>
        <v>781411.9800000001</v>
      </c>
    </row>
    <row r="60" spans="1:15" ht="21" customHeight="1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ht="21" customHeight="1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45597</v>
      </c>
      <c r="F62" s="855">
        <v>45748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30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45597</v>
      </c>
      <c r="F63" s="855">
        <v>45748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30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45566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21" customHeight="1" x14ac:dyDescent="0.25">
      <c r="A65" s="466" t="s">
        <v>813</v>
      </c>
      <c r="B65" s="465"/>
      <c r="C65" s="492">
        <v>3</v>
      </c>
      <c r="D65" s="465"/>
      <c r="E65" s="500"/>
      <c r="F65" s="855"/>
      <c r="G65" s="695">
        <f>SUM(G62:G64)</f>
        <v>285000</v>
      </c>
      <c r="H65" s="495">
        <v>0</v>
      </c>
      <c r="I65" s="695">
        <f t="shared" ref="I65:O65" si="13">SUM(I62:I64)</f>
        <v>285000</v>
      </c>
      <c r="J65" s="695">
        <f t="shared" si="13"/>
        <v>8179.5</v>
      </c>
      <c r="K65" s="695">
        <f t="shared" si="13"/>
        <v>33662.68</v>
      </c>
      <c r="L65" s="695">
        <f t="shared" si="13"/>
        <v>8664</v>
      </c>
      <c r="M65" s="1099">
        <f t="shared" si="13"/>
        <v>75</v>
      </c>
      <c r="N65" s="695">
        <f t="shared" si="13"/>
        <v>50581.18</v>
      </c>
      <c r="O65" s="695">
        <f t="shared" si="13"/>
        <v>234418.82</v>
      </c>
    </row>
    <row r="66" spans="1:15" ht="21" customHeight="1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697"/>
      <c r="M67" s="676"/>
      <c r="N67" s="463"/>
      <c r="O67" s="463"/>
    </row>
    <row r="68" spans="1:15" ht="21" customHeight="1" x14ac:dyDescent="0.25">
      <c r="A68" s="496" t="s">
        <v>568</v>
      </c>
      <c r="B68" s="497" t="s">
        <v>807</v>
      </c>
      <c r="C68" s="282" t="s">
        <v>1427</v>
      </c>
      <c r="D68" s="281" t="s">
        <v>1063</v>
      </c>
      <c r="E68" s="855">
        <v>45597</v>
      </c>
      <c r="F68" s="855">
        <v>45748</v>
      </c>
      <c r="G68" s="626">
        <v>185000</v>
      </c>
      <c r="H68" s="487">
        <v>0</v>
      </c>
      <c r="I68" s="457">
        <v>185000</v>
      </c>
      <c r="J68" s="457">
        <v>5309.5</v>
      </c>
      <c r="K68" s="457">
        <v>32099.49</v>
      </c>
      <c r="L68" s="468">
        <v>5624</v>
      </c>
      <c r="M68" s="675">
        <v>4557.26</v>
      </c>
      <c r="N68" s="457">
        <f>+J68+K68+L68+M68</f>
        <v>47590.250000000007</v>
      </c>
      <c r="O68" s="457">
        <f>+I68-N68</f>
        <v>137409.75</v>
      </c>
    </row>
    <row r="69" spans="1:15" ht="21" customHeight="1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4">SUM(H68)</f>
        <v>0</v>
      </c>
      <c r="I69" s="695">
        <f t="shared" si="14"/>
        <v>185000</v>
      </c>
      <c r="J69" s="695">
        <f t="shared" si="14"/>
        <v>5309.5</v>
      </c>
      <c r="K69" s="695">
        <f t="shared" si="14"/>
        <v>32099.49</v>
      </c>
      <c r="L69" s="695">
        <f t="shared" si="14"/>
        <v>5624</v>
      </c>
      <c r="M69" s="1099">
        <f>SUM(M68)</f>
        <v>4557.26</v>
      </c>
      <c r="N69" s="695">
        <f t="shared" si="14"/>
        <v>47590.250000000007</v>
      </c>
      <c r="O69" s="695">
        <f t="shared" si="14"/>
        <v>137409.75</v>
      </c>
    </row>
    <row r="70" spans="1:15" ht="21" customHeight="1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695"/>
      <c r="M70" s="1099"/>
      <c r="N70" s="494"/>
      <c r="O70" s="494"/>
    </row>
    <row r="71" spans="1:15" ht="30" customHeight="1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45597</v>
      </c>
      <c r="F72" s="855">
        <v>45748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626">
        <v>1824</v>
      </c>
      <c r="M72" s="1100">
        <v>25</v>
      </c>
      <c r="N72" s="457">
        <f>+J72+K72+L72+M72</f>
        <v>7057.68</v>
      </c>
      <c r="O72" s="457">
        <f>+I72-N72</f>
        <v>52942.32</v>
      </c>
    </row>
    <row r="73" spans="1:15" ht="21" customHeight="1" x14ac:dyDescent="0.25">
      <c r="A73" s="573" t="s">
        <v>1397</v>
      </c>
      <c r="B73" s="602" t="s">
        <v>806</v>
      </c>
      <c r="C73" s="625" t="s">
        <v>157</v>
      </c>
      <c r="D73" s="281" t="s">
        <v>1063</v>
      </c>
      <c r="E73" s="855">
        <v>45444</v>
      </c>
      <c r="F73" s="855">
        <v>45627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ht="21" customHeight="1" x14ac:dyDescent="0.25">
      <c r="A74" s="466" t="s">
        <v>813</v>
      </c>
      <c r="B74" s="465"/>
      <c r="C74" s="492">
        <v>2</v>
      </c>
      <c r="D74" s="492"/>
      <c r="E74" s="1016"/>
      <c r="F74" s="860"/>
      <c r="G74" s="695">
        <f>SUM(G72:G73)</f>
        <v>120000</v>
      </c>
      <c r="H74" s="696">
        <f t="shared" ref="H74" si="15">SUM(H73)</f>
        <v>0</v>
      </c>
      <c r="I74" s="695">
        <f t="shared" ref="I74:O74" si="16">SUM(I72:I73)</f>
        <v>120000</v>
      </c>
      <c r="J74" s="695">
        <f t="shared" si="16"/>
        <v>3444</v>
      </c>
      <c r="K74" s="695">
        <f t="shared" si="16"/>
        <v>6973.36</v>
      </c>
      <c r="L74" s="695">
        <f t="shared" si="16"/>
        <v>3648</v>
      </c>
      <c r="M74" s="1099">
        <f>SUM(M72:M73)</f>
        <v>50</v>
      </c>
      <c r="N74" s="695">
        <f t="shared" si="16"/>
        <v>14115.36</v>
      </c>
      <c r="O74" s="695">
        <f t="shared" si="16"/>
        <v>105884.64</v>
      </c>
    </row>
    <row r="75" spans="1:15" ht="21" customHeight="1" x14ac:dyDescent="0.25">
      <c r="A75" s="490"/>
      <c r="B75" s="491"/>
      <c r="C75" s="49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1421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21" customHeight="1" x14ac:dyDescent="0.25">
      <c r="A77" s="286" t="s">
        <v>715</v>
      </c>
      <c r="B77" s="281" t="s">
        <v>807</v>
      </c>
      <c r="C77" s="282" t="s">
        <v>1422</v>
      </c>
      <c r="D77" s="281" t="s">
        <v>1063</v>
      </c>
      <c r="E77" s="859">
        <v>45505</v>
      </c>
      <c r="F77" s="860">
        <v>45323</v>
      </c>
      <c r="G77" s="626">
        <v>100000</v>
      </c>
      <c r="H77" s="487">
        <v>0</v>
      </c>
      <c r="I77" s="498">
        <v>100000</v>
      </c>
      <c r="J77" s="498">
        <v>2870</v>
      </c>
      <c r="K77" s="498">
        <v>11676.5</v>
      </c>
      <c r="L77" s="626">
        <v>3040</v>
      </c>
      <c r="M77" s="1100">
        <v>5026.04</v>
      </c>
      <c r="N77" s="457">
        <v>22612.54</v>
      </c>
      <c r="O77" s="498">
        <v>77387.460000000006</v>
      </c>
    </row>
    <row r="78" spans="1:15" ht="21" customHeight="1" x14ac:dyDescent="0.25">
      <c r="A78" s="466" t="s">
        <v>813</v>
      </c>
      <c r="B78" s="281"/>
      <c r="C78" s="492">
        <v>1</v>
      </c>
      <c r="D78" s="281"/>
      <c r="E78" s="859"/>
      <c r="F78" s="860"/>
      <c r="G78" s="695">
        <v>100000</v>
      </c>
      <c r="H78" s="495">
        <v>0</v>
      </c>
      <c r="I78" s="494">
        <v>100000</v>
      </c>
      <c r="J78" s="494">
        <v>2870</v>
      </c>
      <c r="K78" s="494">
        <v>11676.5</v>
      </c>
      <c r="L78" s="695">
        <v>3040</v>
      </c>
      <c r="M78" s="1099">
        <v>5026.04</v>
      </c>
      <c r="N78" s="463">
        <v>22612.54</v>
      </c>
      <c r="O78" s="494">
        <v>77387.460000000006</v>
      </c>
    </row>
    <row r="79" spans="1:15" ht="21" customHeight="1" x14ac:dyDescent="0.25">
      <c r="A79" s="286"/>
      <c r="B79" s="281"/>
      <c r="C79" s="282"/>
      <c r="D79" s="492"/>
      <c r="E79" s="859"/>
      <c r="F79" s="860"/>
      <c r="G79" s="695"/>
      <c r="H79" s="495"/>
      <c r="I79" s="494"/>
      <c r="J79" s="494"/>
      <c r="K79" s="494"/>
      <c r="L79" s="695"/>
      <c r="M79" s="1099"/>
      <c r="N79" s="494"/>
      <c r="O79" s="494"/>
    </row>
    <row r="80" spans="1:15" ht="21" customHeight="1" x14ac:dyDescent="0.25">
      <c r="A80" s="490" t="s">
        <v>1476</v>
      </c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ht="32.25" customHeight="1" x14ac:dyDescent="0.25">
      <c r="A81" s="496" t="s">
        <v>1399</v>
      </c>
      <c r="B81" s="497" t="s">
        <v>807</v>
      </c>
      <c r="C81" s="282" t="s">
        <v>1400</v>
      </c>
      <c r="D81" s="282" t="s">
        <v>1281</v>
      </c>
      <c r="E81" s="855">
        <v>45444</v>
      </c>
      <c r="F81" s="855">
        <v>45627</v>
      </c>
      <c r="G81" s="626">
        <v>120000</v>
      </c>
      <c r="H81" s="487">
        <v>0</v>
      </c>
      <c r="I81" s="498">
        <v>120000</v>
      </c>
      <c r="J81" s="498">
        <v>3444</v>
      </c>
      <c r="K81" s="498">
        <v>16809.87</v>
      </c>
      <c r="L81" s="626">
        <v>3648</v>
      </c>
      <c r="M81" s="1100">
        <v>4169.3999999999996</v>
      </c>
      <c r="N81" s="457">
        <v>28071.27</v>
      </c>
      <c r="O81" s="457">
        <f>+I81-N81</f>
        <v>91928.73</v>
      </c>
    </row>
    <row r="82" spans="1:15" ht="21" customHeight="1" x14ac:dyDescent="0.25">
      <c r="A82" s="466" t="s">
        <v>813</v>
      </c>
      <c r="B82" s="491"/>
      <c r="C82" s="492">
        <v>1</v>
      </c>
      <c r="D82" s="492"/>
      <c r="E82" s="859"/>
      <c r="F82" s="860"/>
      <c r="G82" s="695">
        <f>SUM(G81)</f>
        <v>120000</v>
      </c>
      <c r="H82" s="696">
        <f t="shared" ref="H82:N82" si="17">SUM(H81)</f>
        <v>0</v>
      </c>
      <c r="I82" s="695">
        <f t="shared" si="17"/>
        <v>120000</v>
      </c>
      <c r="J82" s="695">
        <f t="shared" si="17"/>
        <v>3444</v>
      </c>
      <c r="K82" s="695">
        <f t="shared" si="17"/>
        <v>16809.87</v>
      </c>
      <c r="L82" s="695">
        <f t="shared" si="17"/>
        <v>3648</v>
      </c>
      <c r="M82" s="1099">
        <f>SUM(M81)</f>
        <v>4169.3999999999996</v>
      </c>
      <c r="N82" s="695">
        <f t="shared" si="17"/>
        <v>28071.27</v>
      </c>
      <c r="O82" s="695">
        <f>SUM(O81)</f>
        <v>91928.73</v>
      </c>
    </row>
    <row r="83" spans="1:15" ht="33" customHeight="1" x14ac:dyDescent="0.25">
      <c r="A83" s="1014" t="s">
        <v>1477</v>
      </c>
      <c r="B83" s="1015"/>
      <c r="C83" s="492"/>
      <c r="D83" s="465"/>
      <c r="E83" s="1016"/>
      <c r="F83" s="860"/>
      <c r="G83" s="695"/>
      <c r="H83" s="696"/>
      <c r="I83" s="697"/>
      <c r="J83" s="697"/>
      <c r="K83" s="697"/>
      <c r="L83" s="698"/>
      <c r="M83" s="676"/>
      <c r="N83" s="697"/>
      <c r="O83" s="697"/>
    </row>
    <row r="84" spans="1:15" ht="21" customHeight="1" x14ac:dyDescent="0.25">
      <c r="A84" s="1017" t="s">
        <v>1045</v>
      </c>
      <c r="B84" s="1018" t="s">
        <v>806</v>
      </c>
      <c r="C84" s="282" t="s">
        <v>78</v>
      </c>
      <c r="D84" s="281" t="s">
        <v>1063</v>
      </c>
      <c r="E84" s="855">
        <v>45597</v>
      </c>
      <c r="F84" s="855">
        <v>45748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675">
        <v>25</v>
      </c>
      <c r="N84" s="468">
        <f t="shared" ref="N84:N89" si="18">+J84+K84+L84+M84</f>
        <v>9530.48</v>
      </c>
      <c r="O84" s="468">
        <f t="shared" ref="O84:O89" si="19">+I84-N84</f>
        <v>60469.520000000004</v>
      </c>
    </row>
    <row r="85" spans="1:15" ht="21" customHeight="1" x14ac:dyDescent="0.25">
      <c r="A85" s="286" t="s">
        <v>611</v>
      </c>
      <c r="B85" s="281" t="s">
        <v>807</v>
      </c>
      <c r="C85" s="282" t="s">
        <v>918</v>
      </c>
      <c r="D85" s="281" t="s">
        <v>1063</v>
      </c>
      <c r="E85" s="855">
        <v>45597</v>
      </c>
      <c r="F85" s="855">
        <v>45748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si="18"/>
        <v>9530.48</v>
      </c>
      <c r="O85" s="468">
        <f t="shared" si="19"/>
        <v>60469.520000000004</v>
      </c>
    </row>
    <row r="86" spans="1:15" ht="21" customHeight="1" x14ac:dyDescent="0.25">
      <c r="A86" s="286" t="s">
        <v>610</v>
      </c>
      <c r="B86" s="281" t="s">
        <v>806</v>
      </c>
      <c r="C86" s="282" t="s">
        <v>918</v>
      </c>
      <c r="D86" s="281" t="s">
        <v>1063</v>
      </c>
      <c r="E86" s="855">
        <v>45597</v>
      </c>
      <c r="F86" s="855">
        <v>45748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8"/>
        <v>9530.48</v>
      </c>
      <c r="O86" s="468">
        <f t="shared" si="19"/>
        <v>60469.520000000004</v>
      </c>
    </row>
    <row r="87" spans="1:15" ht="21" customHeight="1" x14ac:dyDescent="0.25">
      <c r="A87" s="286" t="s">
        <v>1292</v>
      </c>
      <c r="B87" s="281" t="s">
        <v>806</v>
      </c>
      <c r="C87" s="282" t="s">
        <v>918</v>
      </c>
      <c r="D87" s="281" t="s">
        <v>1063</v>
      </c>
      <c r="E87" s="855">
        <v>45566</v>
      </c>
      <c r="F87" s="855">
        <v>45717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675">
        <v>25</v>
      </c>
      <c r="N87" s="468">
        <f t="shared" si="18"/>
        <v>8294.08</v>
      </c>
      <c r="O87" s="468">
        <f t="shared" si="19"/>
        <v>56705.919999999998</v>
      </c>
    </row>
    <row r="88" spans="1:15" ht="21" customHeight="1" x14ac:dyDescent="0.25">
      <c r="A88" s="286" t="s">
        <v>1295</v>
      </c>
      <c r="B88" s="281" t="s">
        <v>1296</v>
      </c>
      <c r="C88" s="282" t="s">
        <v>918</v>
      </c>
      <c r="D88" s="281" t="s">
        <v>1063</v>
      </c>
      <c r="E88" s="855">
        <v>45566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8"/>
        <v>8294.08</v>
      </c>
      <c r="O88" s="468">
        <f t="shared" si="19"/>
        <v>56705.919999999998</v>
      </c>
    </row>
    <row r="89" spans="1:15" ht="21" customHeight="1" x14ac:dyDescent="0.25">
      <c r="A89" s="286" t="s">
        <v>1293</v>
      </c>
      <c r="B89" s="281" t="s">
        <v>807</v>
      </c>
      <c r="C89" s="282" t="s">
        <v>1294</v>
      </c>
      <c r="D89" s="281" t="s">
        <v>1063</v>
      </c>
      <c r="E89" s="855">
        <v>45566</v>
      </c>
      <c r="F89" s="855">
        <v>45717</v>
      </c>
      <c r="G89" s="626">
        <v>55000</v>
      </c>
      <c r="H89" s="627">
        <v>0</v>
      </c>
      <c r="I89" s="468">
        <v>55000</v>
      </c>
      <c r="J89" s="468">
        <v>1578.5</v>
      </c>
      <c r="K89" s="468">
        <v>2559.6799999999998</v>
      </c>
      <c r="L89" s="628">
        <v>1672</v>
      </c>
      <c r="M89" s="675">
        <v>25</v>
      </c>
      <c r="N89" s="468">
        <f t="shared" si="18"/>
        <v>5835.18</v>
      </c>
      <c r="O89" s="468">
        <f t="shared" si="19"/>
        <v>49164.82</v>
      </c>
    </row>
    <row r="90" spans="1:15" ht="21" customHeight="1" x14ac:dyDescent="0.25">
      <c r="A90" s="466" t="s">
        <v>813</v>
      </c>
      <c r="B90" s="465"/>
      <c r="C90" s="492">
        <v>6</v>
      </c>
      <c r="D90" s="465"/>
      <c r="E90" s="1016"/>
      <c r="F90" s="860"/>
      <c r="G90" s="695">
        <f>SUM(G84:G89)</f>
        <v>395000</v>
      </c>
      <c r="H90" s="696">
        <f t="shared" ref="H90" si="20">SUM(H89)</f>
        <v>0</v>
      </c>
      <c r="I90" s="695">
        <f t="shared" ref="I90:N90" si="21">SUM(I84:I89)</f>
        <v>395000</v>
      </c>
      <c r="J90" s="695">
        <f t="shared" si="21"/>
        <v>11336.5</v>
      </c>
      <c r="K90" s="695">
        <f t="shared" si="21"/>
        <v>27520.28</v>
      </c>
      <c r="L90" s="695">
        <f t="shared" si="21"/>
        <v>12008</v>
      </c>
      <c r="M90" s="1099">
        <f>SUM(M84:M89)</f>
        <v>150</v>
      </c>
      <c r="N90" s="695">
        <f t="shared" si="21"/>
        <v>51014.78</v>
      </c>
      <c r="O90" s="695">
        <f>SUM(O84:O89)</f>
        <v>343985.22</v>
      </c>
    </row>
    <row r="91" spans="1:15" ht="21" customHeight="1" x14ac:dyDescent="0.25">
      <c r="A91" s="490"/>
      <c r="B91" s="491"/>
      <c r="C91" s="492"/>
      <c r="D91" s="465"/>
      <c r="E91" s="856"/>
      <c r="F91" s="857"/>
      <c r="G91" s="695"/>
      <c r="H91" s="495"/>
      <c r="I91" s="463"/>
      <c r="J91" s="463"/>
      <c r="K91" s="463"/>
      <c r="L91" s="698"/>
      <c r="M91" s="676"/>
      <c r="N91" s="463"/>
      <c r="O91" s="463"/>
    </row>
    <row r="92" spans="1:15" ht="30" customHeight="1" x14ac:dyDescent="0.25">
      <c r="A92" s="1014" t="s">
        <v>825</v>
      </c>
      <c r="B92" s="1015"/>
      <c r="C92" s="492"/>
      <c r="D92" s="465"/>
      <c r="E92" s="1019"/>
      <c r="F92" s="857"/>
      <c r="G92" s="695"/>
      <c r="H92" s="696"/>
      <c r="I92" s="697"/>
      <c r="J92" s="697"/>
      <c r="K92" s="697"/>
      <c r="L92" s="698"/>
      <c r="M92" s="676"/>
      <c r="N92" s="697"/>
      <c r="O92" s="697"/>
    </row>
    <row r="93" spans="1:15" ht="21" customHeight="1" x14ac:dyDescent="0.25">
      <c r="A93" s="496" t="s">
        <v>608</v>
      </c>
      <c r="B93" s="497" t="s">
        <v>806</v>
      </c>
      <c r="C93" s="282" t="s">
        <v>117</v>
      </c>
      <c r="D93" s="281" t="s">
        <v>1063</v>
      </c>
      <c r="E93" s="855">
        <v>45597</v>
      </c>
      <c r="F93" s="855">
        <v>45748</v>
      </c>
      <c r="G93" s="626">
        <v>70000</v>
      </c>
      <c r="H93" s="487">
        <v>0</v>
      </c>
      <c r="I93" s="457">
        <v>70000</v>
      </c>
      <c r="J93" s="457">
        <v>2009</v>
      </c>
      <c r="K93" s="457">
        <v>5368.48</v>
      </c>
      <c r="L93" s="628">
        <v>2128</v>
      </c>
      <c r="M93" s="675">
        <v>525</v>
      </c>
      <c r="N93" s="457">
        <f>+J93+K93+L93+M93</f>
        <v>10030.48</v>
      </c>
      <c r="O93" s="457">
        <f>+I93-N93</f>
        <v>59969.520000000004</v>
      </c>
    </row>
    <row r="94" spans="1:15" ht="21" customHeight="1" x14ac:dyDescent="0.25">
      <c r="A94" s="466" t="s">
        <v>813</v>
      </c>
      <c r="B94" s="465"/>
      <c r="C94" s="492">
        <v>1</v>
      </c>
      <c r="D94" s="465"/>
      <c r="E94" s="1016"/>
      <c r="F94" s="860"/>
      <c r="G94" s="695">
        <f>SUM(G93)</f>
        <v>70000</v>
      </c>
      <c r="H94" s="696">
        <f t="shared" ref="H94:O94" si="22">SUM(H93)</f>
        <v>0</v>
      </c>
      <c r="I94" s="695">
        <f t="shared" si="22"/>
        <v>70000</v>
      </c>
      <c r="J94" s="695">
        <f t="shared" si="22"/>
        <v>2009</v>
      </c>
      <c r="K94" s="695">
        <f t="shared" si="22"/>
        <v>5368.48</v>
      </c>
      <c r="L94" s="695">
        <f t="shared" si="22"/>
        <v>2128</v>
      </c>
      <c r="M94" s="1099">
        <f>SUM(M93)</f>
        <v>525</v>
      </c>
      <c r="N94" s="695">
        <f>SUM(N93)</f>
        <v>10030.48</v>
      </c>
      <c r="O94" s="695">
        <f t="shared" si="22"/>
        <v>59969.520000000004</v>
      </c>
    </row>
    <row r="95" spans="1:15" ht="21" customHeight="1" x14ac:dyDescent="0.25">
      <c r="A95" s="490"/>
      <c r="B95" s="491"/>
      <c r="C95" s="492"/>
      <c r="D95" s="465"/>
      <c r="E95" s="859"/>
      <c r="F95" s="860"/>
      <c r="G95" s="695"/>
      <c r="H95" s="495"/>
      <c r="I95" s="494"/>
      <c r="J95" s="494"/>
      <c r="K95" s="494"/>
      <c r="L95" s="695"/>
      <c r="M95" s="1099"/>
      <c r="N95" s="494"/>
      <c r="O95" s="494"/>
    </row>
    <row r="96" spans="1:15" ht="21" customHeight="1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698"/>
      <c r="M96" s="676"/>
      <c r="N96" s="463"/>
      <c r="O96" s="463"/>
    </row>
    <row r="97" spans="1:19" ht="21" customHeight="1" x14ac:dyDescent="0.25">
      <c r="A97" s="286" t="s">
        <v>1042</v>
      </c>
      <c r="B97" s="281" t="s">
        <v>806</v>
      </c>
      <c r="C97" s="282" t="s">
        <v>1463</v>
      </c>
      <c r="D97" s="281" t="s">
        <v>1063</v>
      </c>
      <c r="E97" s="855">
        <v>45597</v>
      </c>
      <c r="F97" s="855">
        <v>45748</v>
      </c>
      <c r="G97" s="626">
        <v>120000</v>
      </c>
      <c r="H97" s="627">
        <v>0</v>
      </c>
      <c r="I97" s="468">
        <v>120000</v>
      </c>
      <c r="J97" s="468">
        <v>3444</v>
      </c>
      <c r="K97" s="468">
        <v>16809.87</v>
      </c>
      <c r="L97" s="468">
        <v>3648</v>
      </c>
      <c r="M97" s="675">
        <v>25</v>
      </c>
      <c r="N97" s="468">
        <f t="shared" ref="N97" si="23">+J97+K97+L97+M97</f>
        <v>23926.87</v>
      </c>
      <c r="O97" s="468">
        <f t="shared" ref="O97" si="24">+I97-N97</f>
        <v>96073.13</v>
      </c>
    </row>
    <row r="98" spans="1:19" ht="21" customHeight="1" x14ac:dyDescent="0.25">
      <c r="A98" s="286" t="s">
        <v>947</v>
      </c>
      <c r="B98" s="281" t="s">
        <v>806</v>
      </c>
      <c r="C98" s="282" t="s">
        <v>489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5025.38</v>
      </c>
      <c r="L98" s="468">
        <v>2128</v>
      </c>
      <c r="M98" s="675">
        <v>1740.46</v>
      </c>
      <c r="N98" s="457">
        <f>+J98+K98+L98+M98</f>
        <v>10902.84</v>
      </c>
      <c r="O98" s="468">
        <f>+I98-N98</f>
        <v>59097.16</v>
      </c>
    </row>
    <row r="99" spans="1:19" ht="21" customHeight="1" x14ac:dyDescent="0.25">
      <c r="A99" s="286" t="s">
        <v>1031</v>
      </c>
      <c r="B99" s="281" t="s">
        <v>807</v>
      </c>
      <c r="C99" s="282" t="s">
        <v>1032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675">
        <v>25</v>
      </c>
      <c r="N99" s="457">
        <f t="shared" ref="N99:N118" si="25">+J99+K99+L99+M99</f>
        <v>9530.48</v>
      </c>
      <c r="O99" s="468">
        <f t="shared" ref="O99:O109" si="26">+I99-N99</f>
        <v>60469.520000000004</v>
      </c>
    </row>
    <row r="100" spans="1:19" ht="21" customHeight="1" x14ac:dyDescent="0.25">
      <c r="A100" s="286" t="s">
        <v>1162</v>
      </c>
      <c r="B100" s="281" t="s">
        <v>806</v>
      </c>
      <c r="C100" s="282" t="s">
        <v>1163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5"/>
        <v>9530.48</v>
      </c>
      <c r="O100" s="468">
        <f t="shared" si="26"/>
        <v>60469.520000000004</v>
      </c>
    </row>
    <row r="101" spans="1:19" ht="21" customHeight="1" x14ac:dyDescent="0.25">
      <c r="A101" s="286" t="s">
        <v>1041</v>
      </c>
      <c r="B101" s="281" t="s">
        <v>806</v>
      </c>
      <c r="C101" s="282" t="s">
        <v>117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5025.38</v>
      </c>
      <c r="L101" s="468">
        <v>2128</v>
      </c>
      <c r="M101" s="675">
        <v>1740.46</v>
      </c>
      <c r="N101" s="457">
        <f t="shared" si="25"/>
        <v>10902.84</v>
      </c>
      <c r="O101" s="468">
        <f t="shared" si="26"/>
        <v>59097.16</v>
      </c>
    </row>
    <row r="102" spans="1:19" ht="21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675">
        <v>3455.92</v>
      </c>
      <c r="N102" s="457">
        <f t="shared" si="25"/>
        <v>12275.210000000001</v>
      </c>
      <c r="O102" s="468">
        <f t="shared" si="26"/>
        <v>57724.79</v>
      </c>
    </row>
    <row r="103" spans="1:19" ht="21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675">
        <v>1740.46</v>
      </c>
      <c r="N103" s="457">
        <f t="shared" si="25"/>
        <v>10902.84</v>
      </c>
      <c r="O103" s="468">
        <f t="shared" si="26"/>
        <v>59097.16</v>
      </c>
      <c r="P103" s="862"/>
      <c r="Q103" s="862"/>
      <c r="R103" s="862"/>
      <c r="S103" s="862"/>
    </row>
    <row r="104" spans="1:19" ht="21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5"/>
        <v>9530.48</v>
      </c>
      <c r="O104" s="468">
        <f t="shared" si="26"/>
        <v>60469.520000000004</v>
      </c>
      <c r="P104" s="862"/>
      <c r="Q104" s="862"/>
      <c r="R104" s="862"/>
      <c r="S104" s="862"/>
    </row>
    <row r="105" spans="1:19" ht="21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5"/>
        <v>9530.48</v>
      </c>
      <c r="O106" s="468">
        <f t="shared" si="26"/>
        <v>60469.520000000004</v>
      </c>
    </row>
    <row r="107" spans="1:19" ht="21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675">
        <v>25</v>
      </c>
      <c r="N107" s="457">
        <f t="shared" si="25"/>
        <v>9530.48</v>
      </c>
      <c r="O107" s="468">
        <f t="shared" si="26"/>
        <v>60469.520000000004</v>
      </c>
    </row>
    <row r="108" spans="1:19" ht="21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5"/>
        <v>9530.48</v>
      </c>
      <c r="O108" s="468">
        <f t="shared" si="26"/>
        <v>60469.520000000004</v>
      </c>
    </row>
    <row r="109" spans="1:19" ht="21" customHeight="1" x14ac:dyDescent="0.25">
      <c r="A109" s="286" t="s">
        <v>1298</v>
      </c>
      <c r="B109" s="281" t="s">
        <v>807</v>
      </c>
      <c r="C109" s="282" t="s">
        <v>918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5"/>
        <v>8294.08</v>
      </c>
      <c r="O109" s="468">
        <f t="shared" si="26"/>
        <v>56705.919999999998</v>
      </c>
    </row>
    <row r="110" spans="1:19" ht="21" customHeight="1" x14ac:dyDescent="0.25">
      <c r="A110" s="286" t="s">
        <v>1304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5"/>
        <v>8294.08</v>
      </c>
      <c r="O110" s="468">
        <f>+I110-N110</f>
        <v>56705.919999999998</v>
      </c>
    </row>
    <row r="111" spans="1:19" ht="21" customHeight="1" x14ac:dyDescent="0.25">
      <c r="A111" s="286" t="s">
        <v>1305</v>
      </c>
      <c r="B111" s="281" t="s">
        <v>806</v>
      </c>
      <c r="C111" s="282" t="s">
        <v>417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5"/>
        <v>8294.08</v>
      </c>
      <c r="O111" s="468">
        <f t="shared" ref="O111:O127" si="27">+I111-N111</f>
        <v>56705.919999999998</v>
      </c>
    </row>
    <row r="112" spans="1:19" ht="21" customHeight="1" x14ac:dyDescent="0.25">
      <c r="A112" s="286" t="s">
        <v>1306</v>
      </c>
      <c r="B112" s="281" t="s">
        <v>1296</v>
      </c>
      <c r="C112" s="282" t="s">
        <v>417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5"/>
        <v>8294.08</v>
      </c>
      <c r="O112" s="468">
        <f t="shared" si="27"/>
        <v>56705.919999999998</v>
      </c>
    </row>
    <row r="113" spans="1:15" ht="21" customHeight="1" x14ac:dyDescent="0.25">
      <c r="A113" s="286" t="s">
        <v>1307</v>
      </c>
      <c r="B113" s="281" t="s">
        <v>807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5"/>
        <v>8294.08</v>
      </c>
      <c r="O113" s="468">
        <f t="shared" si="27"/>
        <v>56705.919999999998</v>
      </c>
    </row>
    <row r="114" spans="1:15" ht="21" customHeight="1" x14ac:dyDescent="0.25">
      <c r="A114" s="286" t="s">
        <v>1308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5"/>
        <v>8294.08</v>
      </c>
      <c r="O114" s="468">
        <f t="shared" si="27"/>
        <v>56705.919999999998</v>
      </c>
    </row>
    <row r="115" spans="1:15" ht="21" customHeight="1" x14ac:dyDescent="0.25">
      <c r="A115" s="286" t="s">
        <v>1310</v>
      </c>
      <c r="B115" s="281" t="s">
        <v>1296</v>
      </c>
      <c r="C115" s="282" t="s">
        <v>918</v>
      </c>
      <c r="D115" s="281" t="s">
        <v>1063</v>
      </c>
      <c r="E115" s="855">
        <v>45566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5"/>
        <v>8294.08</v>
      </c>
      <c r="O115" s="468">
        <f t="shared" si="27"/>
        <v>56705.919999999998</v>
      </c>
    </row>
    <row r="116" spans="1:15" ht="21" customHeight="1" x14ac:dyDescent="0.25">
      <c r="A116" s="286" t="s">
        <v>1311</v>
      </c>
      <c r="B116" s="281" t="s">
        <v>806</v>
      </c>
      <c r="C116" s="282" t="s">
        <v>918</v>
      </c>
      <c r="D116" s="281" t="s">
        <v>1063</v>
      </c>
      <c r="E116" s="855">
        <v>45566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5"/>
        <v>8294.08</v>
      </c>
      <c r="O116" s="468">
        <f t="shared" si="27"/>
        <v>56705.919999999998</v>
      </c>
    </row>
    <row r="117" spans="1:15" ht="21" customHeight="1" x14ac:dyDescent="0.25">
      <c r="A117" s="286" t="s">
        <v>1312</v>
      </c>
      <c r="B117" s="281" t="s">
        <v>807</v>
      </c>
      <c r="C117" s="282" t="s">
        <v>918</v>
      </c>
      <c r="D117" s="281" t="s">
        <v>1063</v>
      </c>
      <c r="E117" s="855">
        <v>45566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5"/>
        <v>8294.08</v>
      </c>
      <c r="O117" s="468">
        <f t="shared" si="27"/>
        <v>56705.919999999998</v>
      </c>
    </row>
    <row r="118" spans="1:15" ht="21" customHeight="1" x14ac:dyDescent="0.25">
      <c r="A118" s="286" t="s">
        <v>1313</v>
      </c>
      <c r="B118" s="281" t="s">
        <v>807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5"/>
        <v>8294.08</v>
      </c>
      <c r="O118" s="468">
        <f t="shared" si="27"/>
        <v>56705.919999999998</v>
      </c>
    </row>
    <row r="119" spans="1:15" ht="21" customHeight="1" x14ac:dyDescent="0.25">
      <c r="A119" s="286" t="s">
        <v>1362</v>
      </c>
      <c r="B119" s="281" t="s">
        <v>806</v>
      </c>
      <c r="C119" s="282" t="s">
        <v>823</v>
      </c>
      <c r="D119" s="281" t="s">
        <v>1063</v>
      </c>
      <c r="E119" s="855">
        <v>45597</v>
      </c>
      <c r="F119" s="855">
        <v>45748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>+J119+K119+L119+M119</f>
        <v>8294.08</v>
      </c>
      <c r="O119" s="468">
        <f>+I119-N119</f>
        <v>56705.919999999998</v>
      </c>
    </row>
    <row r="120" spans="1:15" ht="21" customHeight="1" x14ac:dyDescent="0.25">
      <c r="A120" s="286" t="s">
        <v>1401</v>
      </c>
      <c r="B120" s="281" t="s">
        <v>807</v>
      </c>
      <c r="C120" s="280" t="s">
        <v>417</v>
      </c>
      <c r="D120" s="281" t="s">
        <v>1063</v>
      </c>
      <c r="E120" s="855">
        <v>45597</v>
      </c>
      <c r="F120" s="855">
        <v>45748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68">
        <f t="shared" ref="N120:N121" si="28">+J120+K120+L120+M120</f>
        <v>8294.08</v>
      </c>
      <c r="O120" s="468">
        <f t="shared" ref="O120:O121" si="29">+I120-N120</f>
        <v>56705.919999999998</v>
      </c>
    </row>
    <row r="121" spans="1:15" ht="21" customHeight="1" x14ac:dyDescent="0.25">
      <c r="A121" s="286" t="s">
        <v>1441</v>
      </c>
      <c r="B121" s="281" t="s">
        <v>806</v>
      </c>
      <c r="C121" s="280" t="s">
        <v>417</v>
      </c>
      <c r="D121" s="281" t="s">
        <v>1063</v>
      </c>
      <c r="E121" s="855">
        <v>45597</v>
      </c>
      <c r="F121" s="855">
        <v>45748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468">
        <v>2128</v>
      </c>
      <c r="M121" s="675">
        <v>25</v>
      </c>
      <c r="N121" s="468">
        <f t="shared" si="28"/>
        <v>9530.48</v>
      </c>
      <c r="O121" s="468">
        <f t="shared" si="29"/>
        <v>60469.520000000004</v>
      </c>
    </row>
    <row r="122" spans="1:15" ht="21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45597</v>
      </c>
      <c r="F122" s="855">
        <v>45748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ht="21" customHeight="1" x14ac:dyDescent="0.25">
      <c r="A123" s="286" t="s">
        <v>1409</v>
      </c>
      <c r="B123" s="281" t="s">
        <v>807</v>
      </c>
      <c r="C123" s="282" t="s">
        <v>918</v>
      </c>
      <c r="D123" s="281" t="s">
        <v>1063</v>
      </c>
      <c r="E123" s="855">
        <v>45474</v>
      </c>
      <c r="F123" s="855">
        <v>45658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675">
        <v>25</v>
      </c>
      <c r="N123" s="468">
        <f t="shared" ref="N123" si="30">+J123+K123+L123+M123</f>
        <v>8294.08</v>
      </c>
      <c r="O123" s="468">
        <f t="shared" ref="O123" si="31">+I123-N123</f>
        <v>56705.919999999998</v>
      </c>
    </row>
    <row r="124" spans="1:15" ht="30" customHeight="1" x14ac:dyDescent="0.25">
      <c r="A124" s="286" t="s">
        <v>1410</v>
      </c>
      <c r="B124" s="281" t="s">
        <v>806</v>
      </c>
      <c r="C124" s="282" t="s">
        <v>1357</v>
      </c>
      <c r="D124" s="281" t="s">
        <v>1063</v>
      </c>
      <c r="E124" s="855">
        <v>45597</v>
      </c>
      <c r="F124" s="855">
        <v>45748</v>
      </c>
      <c r="G124" s="626">
        <v>125000</v>
      </c>
      <c r="H124" s="627">
        <v>0</v>
      </c>
      <c r="I124" s="468">
        <v>125000</v>
      </c>
      <c r="J124" s="1038">
        <v>3587.5</v>
      </c>
      <c r="K124" s="627">
        <v>0</v>
      </c>
      <c r="L124" s="1038">
        <v>3800</v>
      </c>
      <c r="M124" s="1103">
        <v>25</v>
      </c>
      <c r="N124" s="1038">
        <v>7412.5</v>
      </c>
      <c r="O124" s="1038">
        <v>117587.5</v>
      </c>
    </row>
    <row r="125" spans="1:15" ht="21" customHeight="1" x14ac:dyDescent="0.25">
      <c r="A125" s="286" t="s">
        <v>948</v>
      </c>
      <c r="B125" s="281" t="s">
        <v>806</v>
      </c>
      <c r="C125" s="282" t="s">
        <v>529</v>
      </c>
      <c r="D125" s="281" t="s">
        <v>1063</v>
      </c>
      <c r="E125" s="855">
        <v>45597</v>
      </c>
      <c r="F125" s="855">
        <v>45748</v>
      </c>
      <c r="G125" s="626">
        <v>45000</v>
      </c>
      <c r="H125" s="627">
        <v>0</v>
      </c>
      <c r="I125" s="468">
        <v>45000</v>
      </c>
      <c r="J125" s="468">
        <v>1291.5</v>
      </c>
      <c r="K125" s="468">
        <v>1148.33</v>
      </c>
      <c r="L125" s="468">
        <v>1368</v>
      </c>
      <c r="M125" s="675">
        <v>25</v>
      </c>
      <c r="N125" s="457">
        <f t="shared" ref="N125:N130" si="32">+J125+K125+L125+M125</f>
        <v>3832.83</v>
      </c>
      <c r="O125" s="468">
        <f t="shared" si="27"/>
        <v>41167.17</v>
      </c>
    </row>
    <row r="126" spans="1:15" ht="21" customHeight="1" x14ac:dyDescent="0.25">
      <c r="A126" s="286" t="s">
        <v>726</v>
      </c>
      <c r="B126" s="281" t="s">
        <v>806</v>
      </c>
      <c r="C126" s="280" t="s">
        <v>449</v>
      </c>
      <c r="D126" s="281" t="s">
        <v>1063</v>
      </c>
      <c r="E126" s="855">
        <v>45597</v>
      </c>
      <c r="F126" s="855">
        <v>45748</v>
      </c>
      <c r="G126" s="626">
        <v>45000</v>
      </c>
      <c r="H126" s="627">
        <v>0</v>
      </c>
      <c r="I126" s="468">
        <v>45000</v>
      </c>
      <c r="J126" s="468">
        <v>1291.5</v>
      </c>
      <c r="K126" s="468">
        <v>891.01</v>
      </c>
      <c r="L126" s="468">
        <v>1368</v>
      </c>
      <c r="M126" s="675">
        <v>1740.46</v>
      </c>
      <c r="N126" s="457">
        <f t="shared" si="32"/>
        <v>5290.97</v>
      </c>
      <c r="O126" s="468">
        <f t="shared" si="27"/>
        <v>39709.03</v>
      </c>
    </row>
    <row r="127" spans="1:15" ht="21" customHeight="1" x14ac:dyDescent="0.25">
      <c r="A127" s="286" t="s">
        <v>1299</v>
      </c>
      <c r="B127" s="281" t="s">
        <v>1296</v>
      </c>
      <c r="C127" s="282" t="s">
        <v>1358</v>
      </c>
      <c r="D127" s="281" t="s">
        <v>1063</v>
      </c>
      <c r="E127" s="855">
        <v>45566</v>
      </c>
      <c r="F127" s="855">
        <v>45717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675">
        <v>25</v>
      </c>
      <c r="N127" s="457">
        <f t="shared" si="32"/>
        <v>3532.4700000000003</v>
      </c>
      <c r="O127" s="468">
        <f t="shared" si="27"/>
        <v>39967.53</v>
      </c>
    </row>
    <row r="128" spans="1:15" ht="21" customHeight="1" x14ac:dyDescent="0.25">
      <c r="A128" s="286" t="s">
        <v>1301</v>
      </c>
      <c r="B128" s="281" t="s">
        <v>1296</v>
      </c>
      <c r="C128" s="282" t="s">
        <v>1358</v>
      </c>
      <c r="D128" s="281" t="s">
        <v>1063</v>
      </c>
      <c r="E128" s="855">
        <v>45566</v>
      </c>
      <c r="F128" s="855">
        <v>45717</v>
      </c>
      <c r="G128" s="626">
        <v>43500</v>
      </c>
      <c r="H128" s="627">
        <v>0</v>
      </c>
      <c r="I128" s="468">
        <v>43500</v>
      </c>
      <c r="J128" s="468">
        <v>1248.45</v>
      </c>
      <c r="K128" s="468">
        <v>936.62</v>
      </c>
      <c r="L128" s="468">
        <v>1322.4</v>
      </c>
      <c r="M128" s="675">
        <v>25</v>
      </c>
      <c r="N128" s="457">
        <f t="shared" si="32"/>
        <v>3532.4700000000003</v>
      </c>
      <c r="O128" s="468">
        <f>+I128-N128</f>
        <v>39967.53</v>
      </c>
    </row>
    <row r="129" spans="1:16" ht="21" customHeight="1" x14ac:dyDescent="0.25">
      <c r="A129" s="286" t="s">
        <v>1302</v>
      </c>
      <c r="B129" s="281" t="s">
        <v>1296</v>
      </c>
      <c r="C129" s="282" t="s">
        <v>1359</v>
      </c>
      <c r="D129" s="281" t="s">
        <v>1063</v>
      </c>
      <c r="E129" s="855">
        <v>45566</v>
      </c>
      <c r="F129" s="855">
        <v>45717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2"/>
        <v>3532.4700000000003</v>
      </c>
      <c r="O129" s="468">
        <f>+I129-N129</f>
        <v>39967.53</v>
      </c>
    </row>
    <row r="130" spans="1:16" ht="21" customHeight="1" x14ac:dyDescent="0.25">
      <c r="A130" s="286" t="s">
        <v>1442</v>
      </c>
      <c r="B130" s="281" t="s">
        <v>806</v>
      </c>
      <c r="C130" s="282" t="s">
        <v>105</v>
      </c>
      <c r="D130" s="281" t="s">
        <v>1063</v>
      </c>
      <c r="E130" s="855">
        <v>45536</v>
      </c>
      <c r="F130" s="855">
        <v>45689</v>
      </c>
      <c r="G130" s="626">
        <v>25000</v>
      </c>
      <c r="H130" s="627">
        <v>0</v>
      </c>
      <c r="I130" s="468">
        <v>25000</v>
      </c>
      <c r="J130" s="468">
        <v>717.5</v>
      </c>
      <c r="K130" s="627">
        <v>0</v>
      </c>
      <c r="L130" s="468">
        <v>760</v>
      </c>
      <c r="M130" s="675">
        <v>25</v>
      </c>
      <c r="N130" s="457">
        <f t="shared" si="32"/>
        <v>1502.5</v>
      </c>
      <c r="O130" s="468">
        <f>+I130-N130</f>
        <v>23497.5</v>
      </c>
    </row>
    <row r="131" spans="1:16" ht="21" customHeight="1" x14ac:dyDescent="0.25">
      <c r="A131" s="490" t="s">
        <v>813</v>
      </c>
      <c r="B131" s="491"/>
      <c r="C131" s="492">
        <v>34</v>
      </c>
      <c r="D131" s="570"/>
      <c r="E131" s="570"/>
      <c r="F131" s="570"/>
      <c r="G131" s="695">
        <f>SUM(G97:G130)</f>
        <v>2240500</v>
      </c>
      <c r="H131" s="696">
        <v>0</v>
      </c>
      <c r="I131" s="695">
        <f t="shared" ref="I131:O131" si="33">SUM(I97:I130)</f>
        <v>2240500</v>
      </c>
      <c r="J131" s="695">
        <f t="shared" si="33"/>
        <v>64302.349999999991</v>
      </c>
      <c r="K131" s="695">
        <f t="shared" si="33"/>
        <v>146351.45999999996</v>
      </c>
      <c r="L131" s="695">
        <f t="shared" si="33"/>
        <v>68111.199999999997</v>
      </c>
      <c r="M131" s="1099">
        <f t="shared" si="33"/>
        <v>11142.759999999998</v>
      </c>
      <c r="N131" s="695">
        <f t="shared" si="33"/>
        <v>289907.76999999973</v>
      </c>
      <c r="O131" s="695">
        <f t="shared" si="33"/>
        <v>1950592.2299999997</v>
      </c>
    </row>
    <row r="132" spans="1:16" x14ac:dyDescent="0.25">
      <c r="A132" s="490"/>
      <c r="B132" s="491"/>
      <c r="C132" s="492"/>
      <c r="D132" s="281"/>
      <c r="E132" s="281"/>
      <c r="F132" s="281"/>
      <c r="G132" s="695"/>
      <c r="H132" s="495"/>
      <c r="I132" s="494"/>
      <c r="J132" s="494"/>
      <c r="K132" s="494"/>
      <c r="L132" s="695"/>
      <c r="M132" s="1099"/>
      <c r="N132" s="494"/>
      <c r="O132" s="494"/>
    </row>
    <row r="133" spans="1:16" ht="23.25" customHeight="1" x14ac:dyDescent="0.25">
      <c r="A133" s="1052" t="s">
        <v>865</v>
      </c>
      <c r="B133" s="1053"/>
      <c r="C133" s="1125">
        <v>70</v>
      </c>
      <c r="D133" s="1125"/>
      <c r="E133" s="1125"/>
      <c r="F133" s="1125"/>
      <c r="G133" s="1126">
        <f>+G16+G20+G25+G30+G39+G43+G48+G59+G65+G69+G74+G78+G82+G90+G94+G131+G34</f>
        <v>5735500</v>
      </c>
      <c r="H133" s="1056">
        <v>0</v>
      </c>
      <c r="I133" s="1126">
        <f t="shared" ref="I133:O133" si="34">+I16+I20+I25+I30+I39+I43+I48+I59+I65+I69+I74+I78+I82+I90+I94+I131+I34</f>
        <v>5735500</v>
      </c>
      <c r="J133" s="1126">
        <f t="shared" si="34"/>
        <v>164608.84999999998</v>
      </c>
      <c r="K133" s="1126">
        <f t="shared" si="34"/>
        <v>569593.5199999999</v>
      </c>
      <c r="L133" s="1126">
        <f t="shared" si="34"/>
        <v>174359.2</v>
      </c>
      <c r="M133" s="1126">
        <f t="shared" si="34"/>
        <v>59704.5</v>
      </c>
      <c r="N133" s="1126">
        <f t="shared" si="34"/>
        <v>968266.07</v>
      </c>
      <c r="O133" s="1126">
        <f t="shared" si="34"/>
        <v>4767233.93</v>
      </c>
    </row>
    <row r="134" spans="1:16" x14ac:dyDescent="0.25">
      <c r="A134" s="259"/>
      <c r="B134" s="259"/>
      <c r="C134" s="259"/>
      <c r="D134" s="546"/>
      <c r="E134" s="546"/>
      <c r="F134" s="546"/>
      <c r="G134" s="862"/>
      <c r="H134" s="259"/>
      <c r="I134" s="259"/>
      <c r="J134" s="660"/>
      <c r="K134" s="660"/>
      <c r="M134" s="660"/>
      <c r="N134" s="660"/>
      <c r="O134" s="259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ht="7.5" customHeight="1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hidden="1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692"/>
      <c r="E150" s="692"/>
      <c r="F150" s="692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37"/>
      <c r="B151" s="537"/>
      <c r="C151" s="537"/>
      <c r="D151" s="537"/>
      <c r="E151" s="537"/>
      <c r="F151" s="537"/>
      <c r="G151" s="537"/>
      <c r="H151" s="537"/>
      <c r="I151" s="537"/>
      <c r="J151" s="537"/>
      <c r="K151" s="537"/>
      <c r="L151" s="537"/>
      <c r="M151" s="537"/>
      <c r="N151" s="537"/>
      <c r="O151" s="537"/>
      <c r="P151" s="537"/>
    </row>
    <row r="152" spans="1:16" x14ac:dyDescent="0.25">
      <c r="A152" s="542" t="s">
        <v>1449</v>
      </c>
      <c r="B152" s="542"/>
      <c r="C152" s="542"/>
      <c r="D152" s="691"/>
      <c r="E152" s="691"/>
      <c r="F152" s="691"/>
      <c r="G152" s="866"/>
      <c r="H152" s="674" t="s">
        <v>1377</v>
      </c>
      <c r="J152" s="674"/>
      <c r="K152" s="674"/>
      <c r="L152" s="1097"/>
      <c r="M152" s="674"/>
      <c r="O152" s="674"/>
      <c r="P152" s="544"/>
    </row>
    <row r="153" spans="1:16" ht="25.5" customHeight="1" x14ac:dyDescent="0.25">
      <c r="A153" s="546" t="s">
        <v>935</v>
      </c>
      <c r="B153" s="546"/>
      <c r="C153" s="546"/>
      <c r="D153" s="538"/>
      <c r="E153" s="538"/>
      <c r="F153" s="538"/>
      <c r="G153" s="467"/>
      <c r="H153" s="537"/>
      <c r="I153" s="1708" t="s">
        <v>1375</v>
      </c>
      <c r="J153" s="1708"/>
      <c r="K153" s="1708"/>
      <c r="L153" s="1708"/>
      <c r="M153" s="1708"/>
      <c r="N153" s="1708"/>
      <c r="O153" s="1708"/>
      <c r="P153" s="539"/>
    </row>
    <row r="154" spans="1:16" x14ac:dyDescent="0.25">
      <c r="A154" s="542" t="s">
        <v>1231</v>
      </c>
      <c r="B154" s="542"/>
      <c r="C154" s="542"/>
      <c r="D154" s="537"/>
      <c r="F154" s="1062"/>
      <c r="G154" s="1062"/>
      <c r="H154" s="1062"/>
      <c r="I154" s="1692" t="s">
        <v>1224</v>
      </c>
      <c r="J154" s="1692"/>
      <c r="K154" s="1692"/>
      <c r="L154" s="1692"/>
      <c r="M154" s="1692"/>
      <c r="N154" s="1692"/>
      <c r="O154" s="1692"/>
      <c r="P154" s="537"/>
    </row>
    <row r="155" spans="1:16" x14ac:dyDescent="0.25">
      <c r="A155" s="546"/>
      <c r="B155" s="546"/>
      <c r="C155" s="546"/>
      <c r="D155" s="547"/>
      <c r="E155" s="547"/>
      <c r="F155" s="547"/>
      <c r="G155" s="546"/>
      <c r="H155" s="541"/>
      <c r="I155" s="540"/>
      <c r="J155" s="537"/>
      <c r="K155" s="673" t="s">
        <v>1374</v>
      </c>
      <c r="L155" s="513"/>
      <c r="M155" s="673"/>
      <c r="N155" s="673"/>
      <c r="O155" s="673"/>
      <c r="P155" s="673"/>
    </row>
    <row r="156" spans="1:16" ht="15.75" x14ac:dyDescent="0.25">
      <c r="A156" s="267"/>
      <c r="B156" s="267"/>
      <c r="C156" s="267"/>
      <c r="D156" s="268"/>
      <c r="E156" s="268"/>
      <c r="F156" s="268"/>
      <c r="G156" s="268"/>
      <c r="H156" s="269"/>
      <c r="I156" s="268"/>
      <c r="J156" s="268"/>
      <c r="K156" s="268"/>
      <c r="L156" s="268"/>
      <c r="M156" s="268"/>
      <c r="N156" s="271"/>
      <c r="O156" s="271"/>
      <c r="P156" s="259"/>
    </row>
    <row r="157" spans="1:16" s="259" customFormat="1" ht="68.25" customHeight="1" x14ac:dyDescent="0.25">
      <c r="D157" s="668"/>
      <c r="E157" s="668"/>
      <c r="F157" s="668"/>
    </row>
    <row r="158" spans="1:16" x14ac:dyDescent="0.25">
      <c r="K158" s="259"/>
      <c r="L158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3:O153"/>
    <mergeCell ref="I154:O154"/>
    <mergeCell ref="L11:L12"/>
  </mergeCells>
  <pageMargins left="1.299212598425197" right="0.11811023622047245" top="0.23622047244094491" bottom="7.874015748031496E-2" header="0.31496062992125984" footer="3.937007874015748E-2"/>
  <pageSetup paperSize="5" scale="37" fitToHeight="0" orientation="landscape" horizontalDpi="360" verticalDpi="360" r:id="rId1"/>
  <rowBreaks count="1" manualBreakCount="1">
    <brk id="75" max="14" man="1"/>
  </rowBreaks>
  <colBreaks count="1" manualBreakCount="1">
    <brk id="15" max="159" man="1"/>
  </colBreaks>
  <drawing r:id="rId2"/>
</worksheet>
</file>

<file path=xl/worksheets/sheet2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42D896-C92A-4BB8-9B27-5908801AB846}">
  <dimension ref="B1:O64"/>
  <sheetViews>
    <sheetView zoomScaleNormal="100" workbookViewId="0">
      <selection activeCell="N4" sqref="N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551" t="s">
        <v>0</v>
      </c>
      <c r="C6" s="1551"/>
      <c r="D6" s="1551"/>
      <c r="E6" s="1551"/>
      <c r="F6" s="1551"/>
      <c r="G6" s="1551"/>
      <c r="H6" s="1551"/>
      <c r="I6" s="1551"/>
      <c r="J6" s="1551"/>
      <c r="K6" s="1551"/>
      <c r="L6" s="1551"/>
      <c r="M6" s="1551"/>
      <c r="N6" s="1551"/>
      <c r="O6" s="1551"/>
    </row>
    <row r="7" spans="2:15" x14ac:dyDescent="0.25">
      <c r="B7" s="1551" t="s">
        <v>1</v>
      </c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  <c r="O7" s="1551"/>
    </row>
    <row r="8" spans="2:15" x14ac:dyDescent="0.25">
      <c r="B8" s="1551" t="s">
        <v>3</v>
      </c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  <c r="O8" s="1551"/>
    </row>
    <row r="9" spans="2:15" x14ac:dyDescent="0.25">
      <c r="B9" s="1551" t="s">
        <v>1471</v>
      </c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  <c r="O9" s="1551"/>
    </row>
    <row r="10" spans="2:15" x14ac:dyDescent="0.25">
      <c r="B10" s="1552" t="s">
        <v>5</v>
      </c>
      <c r="C10" s="1552"/>
      <c r="D10" s="1552"/>
      <c r="E10" s="1552"/>
      <c r="F10" s="1552"/>
      <c r="G10" s="1552"/>
      <c r="H10" s="1552"/>
      <c r="I10" s="1552"/>
      <c r="J10" s="1552"/>
      <c r="K10" s="1552"/>
      <c r="L10" s="1552"/>
      <c r="M10" s="1552"/>
      <c r="N10" s="1552"/>
      <c r="O10" s="1552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714" t="s">
        <v>7</v>
      </c>
      <c r="C12" s="1713" t="s">
        <v>937</v>
      </c>
      <c r="D12" s="1713" t="s">
        <v>8</v>
      </c>
      <c r="E12" s="1713" t="s">
        <v>10</v>
      </c>
      <c r="F12" s="1713" t="s">
        <v>11</v>
      </c>
      <c r="G12" s="1047" t="s">
        <v>12</v>
      </c>
      <c r="H12" s="1713" t="s">
        <v>13</v>
      </c>
      <c r="I12" s="1713" t="s">
        <v>14</v>
      </c>
      <c r="J12" s="1713" t="s">
        <v>15</v>
      </c>
      <c r="K12" s="1713" t="s">
        <v>16</v>
      </c>
      <c r="L12" s="1713" t="s">
        <v>17</v>
      </c>
      <c r="M12" s="1713" t="s">
        <v>18</v>
      </c>
      <c r="N12" s="1713" t="s">
        <v>19</v>
      </c>
      <c r="O12" s="1713" t="s">
        <v>20</v>
      </c>
    </row>
    <row r="13" spans="2:15" x14ac:dyDescent="0.25">
      <c r="B13" s="1715"/>
      <c r="C13" s="1713"/>
      <c r="D13" s="1713"/>
      <c r="E13" s="1713"/>
      <c r="F13" s="1713"/>
      <c r="G13" s="1047" t="s">
        <v>21</v>
      </c>
      <c r="H13" s="1713"/>
      <c r="I13" s="1713"/>
      <c r="J13" s="1713"/>
      <c r="K13" s="1713"/>
      <c r="L13" s="1713"/>
      <c r="M13" s="1713"/>
      <c r="N13" s="1713"/>
      <c r="O13" s="1713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1481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10000</v>
      </c>
      <c r="H24" s="273">
        <v>0</v>
      </c>
      <c r="I24" s="273">
        <v>10000</v>
      </c>
      <c r="J24" s="273">
        <v>0</v>
      </c>
      <c r="K24" s="273">
        <v>0</v>
      </c>
      <c r="L24" s="273">
        <v>0</v>
      </c>
      <c r="M24" s="273">
        <v>0</v>
      </c>
      <c r="N24" s="273">
        <v>0</v>
      </c>
      <c r="O24" s="273">
        <v>10000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222000</v>
      </c>
      <c r="H32" s="273">
        <f t="shared" si="1"/>
        <v>0</v>
      </c>
      <c r="I32" s="273">
        <f t="shared" si="1"/>
        <v>222000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219702.75</v>
      </c>
    </row>
    <row r="33" spans="2:15" ht="27.75" customHeight="1" x14ac:dyDescent="0.25">
      <c r="B33" s="1048" t="s">
        <v>865</v>
      </c>
      <c r="C33" s="1048"/>
      <c r="D33" s="1049">
        <v>18</v>
      </c>
      <c r="E33" s="1049"/>
      <c r="F33" s="1049"/>
      <c r="G33" s="1050">
        <f>+G32</f>
        <v>222000</v>
      </c>
      <c r="H33" s="1050">
        <f t="shared" ref="H33:O33" si="2">+H32</f>
        <v>0</v>
      </c>
      <c r="I33" s="1050">
        <f t="shared" si="2"/>
        <v>222000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219702.75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7.25" hidden="1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6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690" t="s">
        <v>1269</v>
      </c>
      <c r="C48" s="1690"/>
      <c r="D48" s="1690"/>
      <c r="E48" s="753"/>
      <c r="F48" s="753"/>
      <c r="G48" s="754"/>
      <c r="H48" s="755"/>
      <c r="J48" s="1691" t="s">
        <v>852</v>
      </c>
      <c r="K48" s="1691"/>
      <c r="L48" s="1691"/>
      <c r="M48" s="1691"/>
      <c r="N48" s="1691"/>
      <c r="O48" s="1691"/>
    </row>
    <row r="49" spans="2:15" s="259" customFormat="1" ht="19.5" customHeight="1" x14ac:dyDescent="0.25">
      <c r="B49" s="1628" t="s">
        <v>1270</v>
      </c>
      <c r="C49" s="1628"/>
      <c r="D49" s="1628"/>
      <c r="E49" s="753"/>
      <c r="F49" s="753"/>
      <c r="G49" s="754"/>
      <c r="H49" s="755"/>
      <c r="J49" s="1692" t="s">
        <v>1224</v>
      </c>
      <c r="K49" s="1692"/>
      <c r="L49" s="1692"/>
      <c r="M49" s="1692"/>
      <c r="N49" s="1692"/>
      <c r="O49" s="1692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51.7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629"/>
      <c r="K61" s="1629"/>
      <c r="L61" s="1629"/>
      <c r="M61" s="1629"/>
      <c r="N61" s="1629"/>
      <c r="O61" s="1629"/>
    </row>
    <row r="62" spans="2:15" ht="15.75" x14ac:dyDescent="0.25">
      <c r="B62" s="267"/>
      <c r="C62" s="267"/>
      <c r="D62" s="267"/>
      <c r="E62" s="268"/>
      <c r="F62" s="268"/>
      <c r="G62" s="269"/>
      <c r="H62" s="1549"/>
      <c r="I62" s="1549"/>
      <c r="J62" s="1549"/>
      <c r="K62" s="1549"/>
      <c r="L62" s="1549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D12:D13"/>
    <mergeCell ref="E12:E13"/>
    <mergeCell ref="F12:F13"/>
    <mergeCell ref="B6:O6"/>
    <mergeCell ref="B7:O7"/>
    <mergeCell ref="B8:O8"/>
    <mergeCell ref="B9:O9"/>
    <mergeCell ref="B10:O10"/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</mergeCells>
  <pageMargins left="1.1599999999999999" right="0.39370078740157483" top="0.28000000000000003" bottom="0.15748031496062992" header="7.874015748031496E-2" footer="0.31496062992125984"/>
  <pageSetup paperSize="3" scale="67" orientation="landscape" r:id="rId1"/>
  <drawing r:id="rId2"/>
</worksheet>
</file>

<file path=xl/worksheets/sheet2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1FE6AE-E463-41FF-A0B5-2461590BFE22}">
  <dimension ref="B5:M80"/>
  <sheetViews>
    <sheetView showGridLines="0" topLeftCell="A35" zoomScale="124" zoomScaleNormal="124" zoomScaleSheetLayoutView="100" workbookViewId="0">
      <selection activeCell="B67" sqref="B67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693" t="s">
        <v>0</v>
      </c>
      <c r="C5" s="1693"/>
      <c r="D5" s="1693"/>
      <c r="E5" s="1693"/>
      <c r="F5" s="1693"/>
      <c r="G5" s="1693"/>
      <c r="H5" s="1693"/>
      <c r="I5" s="1693"/>
      <c r="J5" s="1693"/>
      <c r="K5" s="1693"/>
      <c r="L5" s="1693"/>
      <c r="M5" s="1693"/>
    </row>
    <row r="6" spans="2:13" ht="13.5" customHeight="1" x14ac:dyDescent="0.25">
      <c r="B6" s="1693" t="s">
        <v>1</v>
      </c>
      <c r="C6" s="1693"/>
      <c r="D6" s="1693"/>
      <c r="E6" s="1693"/>
      <c r="F6" s="1693"/>
      <c r="G6" s="1693"/>
      <c r="H6" s="1693"/>
      <c r="I6" s="1693"/>
      <c r="J6" s="1693"/>
      <c r="K6" s="1693"/>
      <c r="L6" s="1693"/>
      <c r="M6" s="1693"/>
    </row>
    <row r="7" spans="2:13" ht="12" customHeight="1" x14ac:dyDescent="0.25">
      <c r="B7" s="1693" t="s">
        <v>3</v>
      </c>
      <c r="C7" s="1693"/>
      <c r="D7" s="1693"/>
      <c r="E7" s="1693"/>
      <c r="F7" s="1693"/>
      <c r="G7" s="1693"/>
      <c r="H7" s="1693"/>
      <c r="I7" s="1693"/>
      <c r="J7" s="1693"/>
      <c r="K7" s="1693"/>
      <c r="L7" s="1693"/>
      <c r="M7" s="1693"/>
    </row>
    <row r="8" spans="2:13" x14ac:dyDescent="0.25">
      <c r="B8" s="1693" t="s">
        <v>1472</v>
      </c>
      <c r="C8" s="1693"/>
      <c r="D8" s="1693"/>
      <c r="E8" s="1693"/>
      <c r="F8" s="1693"/>
      <c r="G8" s="1693"/>
      <c r="H8" s="1693"/>
      <c r="I8" s="1693"/>
      <c r="J8" s="1693"/>
      <c r="K8" s="1693"/>
      <c r="L8" s="1693"/>
      <c r="M8" s="1693"/>
    </row>
    <row r="9" spans="2:13" x14ac:dyDescent="0.25">
      <c r="B9" s="1694" t="s">
        <v>886</v>
      </c>
      <c r="C9" s="1694"/>
      <c r="D9" s="1694"/>
      <c r="E9" s="1694"/>
      <c r="F9" s="1694"/>
      <c r="G9" s="1694"/>
      <c r="H9" s="1694"/>
      <c r="I9" s="1694"/>
      <c r="J9" s="1694"/>
      <c r="K9" s="1694"/>
      <c r="L9" s="1694"/>
      <c r="M9" s="1694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717" t="s">
        <v>7</v>
      </c>
      <c r="C11" s="1717" t="s">
        <v>802</v>
      </c>
      <c r="D11" s="1718" t="s">
        <v>9</v>
      </c>
      <c r="E11" s="1046" t="s">
        <v>12</v>
      </c>
      <c r="F11" s="1719" t="s">
        <v>13</v>
      </c>
      <c r="G11" s="1716" t="s">
        <v>14</v>
      </c>
      <c r="H11" s="1716" t="s">
        <v>15</v>
      </c>
      <c r="I11" s="1716" t="s">
        <v>16</v>
      </c>
      <c r="J11" s="1716" t="s">
        <v>17</v>
      </c>
      <c r="K11" s="1716" t="s">
        <v>18</v>
      </c>
      <c r="L11" s="1716" t="s">
        <v>19</v>
      </c>
      <c r="M11" s="1716" t="s">
        <v>20</v>
      </c>
    </row>
    <row r="12" spans="2:13" ht="16.5" customHeight="1" x14ac:dyDescent="0.25">
      <c r="B12" s="1717"/>
      <c r="C12" s="1717"/>
      <c r="D12" s="1718"/>
      <c r="E12" s="1046" t="s">
        <v>21</v>
      </c>
      <c r="F12" s="1719"/>
      <c r="G12" s="1716"/>
      <c r="H12" s="1716"/>
      <c r="I12" s="1716"/>
      <c r="J12" s="1716"/>
      <c r="K12" s="1716"/>
      <c r="L12" s="1716"/>
      <c r="M12" s="1716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/>
      <c r="C21" s="897"/>
      <c r="D21" s="941"/>
      <c r="E21" s="898"/>
      <c r="F21" s="899"/>
      <c r="G21" s="898"/>
      <c r="H21" s="898"/>
      <c r="I21" s="898"/>
      <c r="J21" s="898"/>
      <c r="K21" s="898"/>
      <c r="L21" s="898"/>
      <c r="M21" s="898"/>
    </row>
    <row r="22" spans="2:13" s="5" customFormat="1" ht="12" customHeight="1" x14ac:dyDescent="0.25">
      <c r="B22" s="897" t="s">
        <v>1462</v>
      </c>
      <c r="C22" s="897"/>
      <c r="D22" s="941"/>
      <c r="E22" s="898"/>
      <c r="F22" s="899"/>
      <c r="G22" s="898"/>
      <c r="H22" s="898"/>
      <c r="I22" s="898"/>
      <c r="J22" s="898"/>
      <c r="K22" s="898"/>
      <c r="L22" s="898"/>
      <c r="M22" s="898"/>
    </row>
    <row r="23" spans="2:13" s="5" customFormat="1" ht="12" customHeight="1" x14ac:dyDescent="0.25">
      <c r="B23" s="902" t="s">
        <v>484</v>
      </c>
      <c r="C23" s="1085" t="s">
        <v>807</v>
      </c>
      <c r="D23" s="942" t="s">
        <v>1204</v>
      </c>
      <c r="E23" s="891">
        <v>17500</v>
      </c>
      <c r="F23" s="894">
        <v>0</v>
      </c>
      <c r="G23" s="891">
        <v>17500</v>
      </c>
      <c r="H23" s="891">
        <v>502.25</v>
      </c>
      <c r="I23" s="891">
        <v>2469.87</v>
      </c>
      <c r="J23" s="891">
        <v>532</v>
      </c>
      <c r="K23" s="894">
        <v>0</v>
      </c>
      <c r="L23" s="891">
        <v>3504.12</v>
      </c>
      <c r="M23" s="891">
        <v>13995.88</v>
      </c>
    </row>
    <row r="24" spans="2:13" s="5" customFormat="1" ht="12" customHeight="1" x14ac:dyDescent="0.25">
      <c r="B24" s="897" t="s">
        <v>813</v>
      </c>
      <c r="C24" s="897"/>
      <c r="D24" s="941">
        <v>1</v>
      </c>
      <c r="E24" s="898">
        <v>17500</v>
      </c>
      <c r="F24" s="899">
        <v>0</v>
      </c>
      <c r="G24" s="898">
        <v>17500</v>
      </c>
      <c r="H24" s="898">
        <v>502.25</v>
      </c>
      <c r="I24" s="898">
        <v>2469.87</v>
      </c>
      <c r="J24" s="898">
        <v>532</v>
      </c>
      <c r="K24" s="899">
        <v>0</v>
      </c>
      <c r="L24" s="898">
        <v>3504.12</v>
      </c>
      <c r="M24" s="898">
        <v>13995.88</v>
      </c>
    </row>
    <row r="25" spans="2:13" ht="12" customHeight="1" x14ac:dyDescent="0.25">
      <c r="B25" s="897"/>
      <c r="C25" s="897"/>
      <c r="D25" s="941"/>
      <c r="E25" s="906"/>
      <c r="F25" s="907"/>
      <c r="G25" s="906"/>
      <c r="H25" s="900"/>
      <c r="I25" s="900"/>
      <c r="J25" s="900"/>
      <c r="K25" s="899"/>
      <c r="L25" s="898"/>
      <c r="M25" s="898"/>
    </row>
    <row r="26" spans="2:13" ht="12" customHeight="1" x14ac:dyDescent="0.25">
      <c r="B26" s="908" t="s">
        <v>1136</v>
      </c>
      <c r="C26" s="897"/>
      <c r="D26" s="941"/>
      <c r="E26" s="906"/>
      <c r="F26" s="907"/>
      <c r="G26" s="906"/>
      <c r="H26" s="900"/>
      <c r="I26" s="900"/>
      <c r="J26" s="900"/>
      <c r="K26" s="899"/>
      <c r="L26" s="898"/>
      <c r="M26" s="898"/>
    </row>
    <row r="27" spans="2:13" ht="12" customHeight="1" x14ac:dyDescent="0.25">
      <c r="B27" s="890" t="s">
        <v>697</v>
      </c>
      <c r="C27" s="903" t="s">
        <v>807</v>
      </c>
      <c r="D27" s="942" t="s">
        <v>1207</v>
      </c>
      <c r="E27" s="891">
        <v>6500</v>
      </c>
      <c r="F27" s="894">
        <v>0</v>
      </c>
      <c r="G27" s="895">
        <v>6500</v>
      </c>
      <c r="H27" s="895">
        <v>186.55</v>
      </c>
      <c r="I27" s="895">
        <v>917.38</v>
      </c>
      <c r="J27" s="895">
        <v>197.6</v>
      </c>
      <c r="K27" s="894">
        <v>0</v>
      </c>
      <c r="L27" s="896">
        <f>+H27+I27+J27+K27</f>
        <v>1301.53</v>
      </c>
      <c r="M27" s="891">
        <f>+G27-L27</f>
        <v>5198.47</v>
      </c>
    </row>
    <row r="28" spans="2:13" ht="12" customHeight="1" x14ac:dyDescent="0.25">
      <c r="B28" s="897" t="s">
        <v>813</v>
      </c>
      <c r="C28" s="897"/>
      <c r="D28" s="941">
        <v>1</v>
      </c>
      <c r="E28" s="898">
        <f t="shared" ref="E28:L28" si="2">+E27</f>
        <v>6500</v>
      </c>
      <c r="F28" s="899">
        <v>0</v>
      </c>
      <c r="G28" s="898">
        <f t="shared" si="2"/>
        <v>6500</v>
      </c>
      <c r="H28" s="898">
        <f t="shared" si="2"/>
        <v>186.55</v>
      </c>
      <c r="I28" s="898">
        <f t="shared" si="2"/>
        <v>917.38</v>
      </c>
      <c r="J28" s="898">
        <f t="shared" si="2"/>
        <v>197.6</v>
      </c>
      <c r="K28" s="899">
        <v>0</v>
      </c>
      <c r="L28" s="898">
        <f t="shared" si="2"/>
        <v>1301.53</v>
      </c>
      <c r="M28" s="898">
        <f>+G28-L28</f>
        <v>5198.47</v>
      </c>
    </row>
    <row r="29" spans="2:13" ht="12" customHeight="1" x14ac:dyDescent="0.25">
      <c r="B29" s="897"/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7" t="s">
        <v>787</v>
      </c>
      <c r="C30" s="897"/>
      <c r="D30" s="941"/>
      <c r="E30" s="906"/>
      <c r="F30" s="907"/>
      <c r="G30" s="906"/>
      <c r="H30" s="900"/>
      <c r="I30" s="900"/>
      <c r="J30" s="900"/>
      <c r="K30" s="899"/>
      <c r="L30" s="898"/>
      <c r="M30" s="898"/>
    </row>
    <row r="31" spans="2:13" ht="12" customHeight="1" x14ac:dyDescent="0.25">
      <c r="B31" s="902" t="s">
        <v>310</v>
      </c>
      <c r="C31" s="903" t="s">
        <v>807</v>
      </c>
      <c r="D31" s="942" t="s">
        <v>1204</v>
      </c>
      <c r="E31" s="891">
        <v>5000</v>
      </c>
      <c r="F31" s="894">
        <v>0</v>
      </c>
      <c r="G31" s="895">
        <v>5000</v>
      </c>
      <c r="H31" s="895">
        <v>143.5</v>
      </c>
      <c r="I31" s="895">
        <v>705.68</v>
      </c>
      <c r="J31" s="895">
        <v>152</v>
      </c>
      <c r="K31" s="894">
        <v>0</v>
      </c>
      <c r="L31" s="896">
        <f>+H31+I31+J31+K31</f>
        <v>1001.18</v>
      </c>
      <c r="M31" s="891">
        <f>+G31-L31</f>
        <v>3998.82</v>
      </c>
    </row>
    <row r="32" spans="2:13" ht="12" customHeight="1" x14ac:dyDescent="0.25">
      <c r="B32" s="897" t="s">
        <v>813</v>
      </c>
      <c r="C32" s="897"/>
      <c r="D32" s="941">
        <v>1</v>
      </c>
      <c r="E32" s="898">
        <f t="shared" ref="E32:L32" si="3">+E31</f>
        <v>5000</v>
      </c>
      <c r="F32" s="899">
        <v>0</v>
      </c>
      <c r="G32" s="898">
        <f t="shared" si="3"/>
        <v>5000</v>
      </c>
      <c r="H32" s="898">
        <f t="shared" si="3"/>
        <v>143.5</v>
      </c>
      <c r="I32" s="898">
        <f t="shared" si="3"/>
        <v>705.68</v>
      </c>
      <c r="J32" s="898">
        <f t="shared" si="3"/>
        <v>152</v>
      </c>
      <c r="K32" s="899">
        <v>0</v>
      </c>
      <c r="L32" s="898">
        <f t="shared" si="3"/>
        <v>1001.18</v>
      </c>
      <c r="M32" s="898">
        <f>+G32-L32</f>
        <v>3998.82</v>
      </c>
    </row>
    <row r="33" spans="2:13" ht="12" customHeight="1" x14ac:dyDescent="0.25">
      <c r="B33" s="897"/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8" t="s">
        <v>1412</v>
      </c>
      <c r="C34" s="897"/>
      <c r="D34" s="941"/>
      <c r="E34" s="906"/>
      <c r="F34" s="907"/>
      <c r="G34" s="906"/>
      <c r="H34" s="900"/>
      <c r="I34" s="900"/>
      <c r="J34" s="900"/>
      <c r="K34" s="899"/>
      <c r="L34" s="898"/>
      <c r="M34" s="898"/>
    </row>
    <row r="35" spans="2:13" ht="12" customHeight="1" x14ac:dyDescent="0.25">
      <c r="B35" s="890" t="s">
        <v>369</v>
      </c>
      <c r="C35" s="903" t="s">
        <v>806</v>
      </c>
      <c r="D35" s="944" t="s">
        <v>1435</v>
      </c>
      <c r="E35" s="904">
        <v>11500</v>
      </c>
      <c r="F35" s="932">
        <v>0</v>
      </c>
      <c r="G35" s="933">
        <v>11500</v>
      </c>
      <c r="H35" s="933">
        <v>330.05</v>
      </c>
      <c r="I35" s="933">
        <v>1623.06</v>
      </c>
      <c r="J35" s="933">
        <v>349.6</v>
      </c>
      <c r="K35" s="932">
        <v>0</v>
      </c>
      <c r="L35" s="1086">
        <f>+H35+I35+J35+K35</f>
        <v>2302.71</v>
      </c>
      <c r="M35" s="904">
        <f>+G35-L35</f>
        <v>9197.2900000000009</v>
      </c>
    </row>
    <row r="36" spans="2:13" ht="12" customHeight="1" x14ac:dyDescent="0.25">
      <c r="B36" s="897" t="s">
        <v>813</v>
      </c>
      <c r="C36" s="897"/>
      <c r="D36" s="941">
        <v>1</v>
      </c>
      <c r="E36" s="898">
        <f t="shared" ref="E36" si="4">+E35</f>
        <v>11500</v>
      </c>
      <c r="F36" s="899">
        <v>0</v>
      </c>
      <c r="G36" s="898">
        <f t="shared" ref="G36:J36" si="5">+G35</f>
        <v>11500</v>
      </c>
      <c r="H36" s="898">
        <f t="shared" si="5"/>
        <v>330.05</v>
      </c>
      <c r="I36" s="898">
        <f t="shared" si="5"/>
        <v>1623.06</v>
      </c>
      <c r="J36" s="898">
        <f t="shared" si="5"/>
        <v>349.6</v>
      </c>
      <c r="K36" s="899">
        <v>0</v>
      </c>
      <c r="L36" s="898">
        <f t="shared" ref="L36" si="6">+L35</f>
        <v>2302.71</v>
      </c>
      <c r="M36" s="898">
        <f>+G36-L36</f>
        <v>9197.2900000000009</v>
      </c>
    </row>
    <row r="37" spans="2:13" ht="12" customHeight="1" x14ac:dyDescent="0.25">
      <c r="B37" s="897"/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908" t="s">
        <v>978</v>
      </c>
      <c r="C38" s="897"/>
      <c r="D38" s="941"/>
      <c r="E38" s="906"/>
      <c r="F38" s="907"/>
      <c r="G38" s="906"/>
      <c r="H38" s="900"/>
      <c r="I38" s="900"/>
      <c r="J38" s="900"/>
      <c r="K38" s="899"/>
      <c r="L38" s="898"/>
      <c r="M38" s="898"/>
    </row>
    <row r="39" spans="2:13" ht="12" customHeight="1" x14ac:dyDescent="0.25">
      <c r="B39" s="890" t="s">
        <v>114</v>
      </c>
      <c r="C39" s="903" t="s">
        <v>807</v>
      </c>
      <c r="D39" s="945" t="s">
        <v>1202</v>
      </c>
      <c r="E39" s="891">
        <v>40000</v>
      </c>
      <c r="F39" s="894">
        <v>0</v>
      </c>
      <c r="G39" s="895">
        <v>40000</v>
      </c>
      <c r="H39" s="895">
        <v>1148</v>
      </c>
      <c r="I39" s="895">
        <v>9409</v>
      </c>
      <c r="J39" s="895">
        <v>1216</v>
      </c>
      <c r="K39" s="894">
        <v>0</v>
      </c>
      <c r="L39" s="896">
        <f>+H39+I39+J39+K39</f>
        <v>11773</v>
      </c>
      <c r="M39" s="891">
        <f>+G39-L39</f>
        <v>28227</v>
      </c>
    </row>
    <row r="40" spans="2:13" ht="12" customHeight="1" x14ac:dyDescent="0.25">
      <c r="B40" s="890" t="s">
        <v>409</v>
      </c>
      <c r="C40" s="903" t="s">
        <v>806</v>
      </c>
      <c r="D40" s="944" t="s">
        <v>529</v>
      </c>
      <c r="E40" s="904">
        <v>11500</v>
      </c>
      <c r="F40" s="932">
        <v>0</v>
      </c>
      <c r="G40" s="933">
        <v>11500</v>
      </c>
      <c r="H40" s="933">
        <v>330.05</v>
      </c>
      <c r="I40" s="933">
        <v>1623.06</v>
      </c>
      <c r="J40" s="933">
        <v>349.6</v>
      </c>
      <c r="K40" s="932">
        <v>0</v>
      </c>
      <c r="L40" s="1086">
        <f>+H40+I40+J40+K40</f>
        <v>2302.71</v>
      </c>
      <c r="M40" s="904">
        <f>+G40-L40</f>
        <v>9197.2900000000009</v>
      </c>
    </row>
    <row r="41" spans="2:13" ht="12" customHeight="1" x14ac:dyDescent="0.25">
      <c r="B41" s="897" t="s">
        <v>813</v>
      </c>
      <c r="C41" s="897"/>
      <c r="D41" s="941">
        <v>2</v>
      </c>
      <c r="E41" s="898">
        <f>SUM(E39:E40)</f>
        <v>51500</v>
      </c>
      <c r="F41" s="899">
        <v>0</v>
      </c>
      <c r="G41" s="898">
        <f t="shared" ref="G41:M41" si="7">SUM(G39:G40)</f>
        <v>51500</v>
      </c>
      <c r="H41" s="898">
        <f t="shared" si="7"/>
        <v>1478.05</v>
      </c>
      <c r="I41" s="898">
        <f t="shared" si="7"/>
        <v>11032.06</v>
      </c>
      <c r="J41" s="898">
        <f t="shared" si="7"/>
        <v>1565.6</v>
      </c>
      <c r="K41" s="899">
        <v>0</v>
      </c>
      <c r="L41" s="898">
        <f t="shared" si="7"/>
        <v>14075.71</v>
      </c>
      <c r="M41" s="898">
        <f t="shared" si="7"/>
        <v>37424.29</v>
      </c>
    </row>
    <row r="42" spans="2:13" ht="12" customHeight="1" x14ac:dyDescent="0.25">
      <c r="B42" s="897"/>
      <c r="C42" s="897"/>
      <c r="D42" s="941"/>
      <c r="E42" s="906"/>
      <c r="F42" s="907"/>
      <c r="G42" s="906"/>
      <c r="H42" s="900"/>
      <c r="I42" s="900"/>
      <c r="J42" s="900"/>
      <c r="K42" s="899"/>
      <c r="L42" s="898"/>
      <c r="M42" s="898"/>
    </row>
    <row r="43" spans="2:13" ht="12" customHeight="1" x14ac:dyDescent="0.25">
      <c r="B43" s="897" t="s">
        <v>1468</v>
      </c>
      <c r="C43" s="903"/>
      <c r="D43" s="946"/>
      <c r="E43" s="906"/>
      <c r="F43" s="907"/>
      <c r="G43" s="906"/>
      <c r="H43" s="900"/>
      <c r="I43" s="900"/>
      <c r="J43" s="900"/>
      <c r="K43" s="899"/>
      <c r="L43" s="898"/>
      <c r="M43" s="898"/>
    </row>
    <row r="44" spans="2:13" ht="12" customHeight="1" x14ac:dyDescent="0.25">
      <c r="B44" s="890" t="s">
        <v>1414</v>
      </c>
      <c r="C44" s="903" t="s">
        <v>806</v>
      </c>
      <c r="D44" s="939" t="s">
        <v>1436</v>
      </c>
      <c r="E44" s="904">
        <v>11500</v>
      </c>
      <c r="F44" s="932">
        <v>0</v>
      </c>
      <c r="G44" s="933">
        <v>11500</v>
      </c>
      <c r="H44" s="933">
        <v>330.05</v>
      </c>
      <c r="I44" s="933">
        <v>1623.06</v>
      </c>
      <c r="J44" s="933">
        <v>349.6</v>
      </c>
      <c r="K44" s="932">
        <v>0</v>
      </c>
      <c r="L44" s="1086">
        <f>+H44+I44+J44+K44</f>
        <v>2302.71</v>
      </c>
      <c r="M44" s="904">
        <f>+G44-L44</f>
        <v>9197.2900000000009</v>
      </c>
    </row>
    <row r="45" spans="2:13" ht="12" customHeight="1" x14ac:dyDescent="0.25">
      <c r="B45" s="897" t="s">
        <v>813</v>
      </c>
      <c r="C45" s="897"/>
      <c r="D45" s="941">
        <v>1</v>
      </c>
      <c r="E45" s="898">
        <f t="shared" ref="E45" si="8">+E44</f>
        <v>11500</v>
      </c>
      <c r="F45" s="899">
        <v>0</v>
      </c>
      <c r="G45" s="898">
        <f t="shared" ref="G45:J45" si="9">+G44</f>
        <v>11500</v>
      </c>
      <c r="H45" s="898">
        <f t="shared" si="9"/>
        <v>330.05</v>
      </c>
      <c r="I45" s="898">
        <f t="shared" si="9"/>
        <v>1623.06</v>
      </c>
      <c r="J45" s="898">
        <f t="shared" si="9"/>
        <v>349.6</v>
      </c>
      <c r="K45" s="899">
        <v>0</v>
      </c>
      <c r="L45" s="898">
        <f t="shared" ref="L45" si="10">+L44</f>
        <v>2302.71</v>
      </c>
      <c r="M45" s="898">
        <f>+G45-L45</f>
        <v>9197.2900000000009</v>
      </c>
    </row>
    <row r="46" spans="2:13" ht="12" customHeight="1" x14ac:dyDescent="0.25">
      <c r="B46" s="897"/>
      <c r="C46" s="897"/>
      <c r="D46" s="941"/>
      <c r="E46" s="898"/>
      <c r="F46" s="899"/>
      <c r="G46" s="898"/>
      <c r="H46" s="898"/>
      <c r="I46" s="898"/>
      <c r="J46" s="898"/>
      <c r="K46" s="899"/>
      <c r="L46" s="898"/>
      <c r="M46" s="898"/>
    </row>
    <row r="47" spans="2:13" ht="12" customHeight="1" x14ac:dyDescent="0.25">
      <c r="B47" s="897" t="s">
        <v>1012</v>
      </c>
      <c r="C47" s="903"/>
      <c r="D47" s="946"/>
      <c r="E47" s="906"/>
      <c r="F47" s="907"/>
      <c r="G47" s="906"/>
      <c r="H47" s="900"/>
      <c r="I47" s="900"/>
      <c r="J47" s="900"/>
      <c r="K47" s="899"/>
      <c r="L47" s="898"/>
      <c r="M47" s="898"/>
    </row>
    <row r="48" spans="2:13" ht="12" customHeight="1" x14ac:dyDescent="0.25">
      <c r="B48" s="902" t="s">
        <v>134</v>
      </c>
      <c r="C48" s="903" t="s">
        <v>807</v>
      </c>
      <c r="D48" s="947" t="s">
        <v>1206</v>
      </c>
      <c r="E48" s="891">
        <v>40000</v>
      </c>
      <c r="F48" s="894">
        <v>0</v>
      </c>
      <c r="G48" s="895">
        <v>40000</v>
      </c>
      <c r="H48" s="895">
        <v>1148</v>
      </c>
      <c r="I48" s="895">
        <v>9409</v>
      </c>
      <c r="J48" s="895">
        <v>1216</v>
      </c>
      <c r="K48" s="894">
        <v>0</v>
      </c>
      <c r="L48" s="896">
        <f>+H48+I48+J48+K48</f>
        <v>11773</v>
      </c>
      <c r="M48" s="891">
        <f>+G48-L48</f>
        <v>28227</v>
      </c>
    </row>
    <row r="49" spans="2:13" ht="12" customHeight="1" x14ac:dyDescent="0.25">
      <c r="B49" s="897" t="s">
        <v>813</v>
      </c>
      <c r="C49" s="897"/>
      <c r="D49" s="941">
        <v>1</v>
      </c>
      <c r="E49" s="898">
        <f t="shared" ref="E49:L49" si="11">+E48</f>
        <v>40000</v>
      </c>
      <c r="F49" s="899">
        <v>0</v>
      </c>
      <c r="G49" s="898">
        <f t="shared" si="11"/>
        <v>40000</v>
      </c>
      <c r="H49" s="898">
        <f t="shared" si="11"/>
        <v>1148</v>
      </c>
      <c r="I49" s="898">
        <f t="shared" si="11"/>
        <v>9409</v>
      </c>
      <c r="J49" s="898">
        <f t="shared" si="11"/>
        <v>1216</v>
      </c>
      <c r="K49" s="899">
        <v>0</v>
      </c>
      <c r="L49" s="898">
        <f t="shared" si="11"/>
        <v>11773</v>
      </c>
      <c r="M49" s="898">
        <f>+G49-L49</f>
        <v>28227</v>
      </c>
    </row>
    <row r="50" spans="2:13" ht="12" customHeight="1" x14ac:dyDescent="0.25">
      <c r="B50" s="897"/>
      <c r="C50" s="897"/>
      <c r="D50" s="941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897"/>
      <c r="C51" s="897"/>
      <c r="D51" s="941"/>
      <c r="E51" s="906"/>
      <c r="F51" s="907"/>
      <c r="G51" s="906"/>
      <c r="H51" s="900"/>
      <c r="I51" s="900"/>
      <c r="J51" s="900"/>
      <c r="K51" s="899"/>
      <c r="L51" s="898"/>
      <c r="M51" s="898"/>
    </row>
    <row r="52" spans="2:13" s="2" customFormat="1" ht="15.75" customHeight="1" x14ac:dyDescent="0.2">
      <c r="B52" s="1139" t="s">
        <v>865</v>
      </c>
      <c r="C52" s="1139"/>
      <c r="D52" s="1129">
        <f>+D49+D45+D41+D36+D32+D24+D19+D15+D28</f>
        <v>10</v>
      </c>
      <c r="E52" s="1140">
        <f>+E15+E19+E28+E32+E36+E41+E45+E49+E23</f>
        <v>191500</v>
      </c>
      <c r="F52" s="1141">
        <v>0</v>
      </c>
      <c r="G52" s="1140">
        <f>+G15+G19+G28+G32+G36+G41+G45+G49+G23</f>
        <v>191500</v>
      </c>
      <c r="H52" s="1140">
        <f>+H15+H19+H28+H32+H36+H41+H45+H49+H23</f>
        <v>5496.05</v>
      </c>
      <c r="I52" s="1140">
        <f>+I15+I19+I28+I32+I36+I41+I45+I49+I23</f>
        <v>35867.420000000006</v>
      </c>
      <c r="J52" s="1140">
        <f>+J15+J19+J28+J32+J36+J41+J45+J49+J23</f>
        <v>5821.5999999999995</v>
      </c>
      <c r="K52" s="1141">
        <v>0</v>
      </c>
      <c r="L52" s="1140">
        <f>+L15+L19+L28+L32+L36+L41+L45+L49+L23</f>
        <v>47185.07</v>
      </c>
      <c r="M52" s="1140">
        <f>+M15+M19+M28+M32+M36+M41+M45+M49+M23</f>
        <v>144314.93000000002</v>
      </c>
    </row>
    <row r="56" spans="2:13" hidden="1" x14ac:dyDescent="0.25"/>
    <row r="57" spans="2:13" hidden="1" x14ac:dyDescent="0.25"/>
    <row r="59" spans="2:13" ht="14.25" customHeight="1" x14ac:dyDescent="0.25"/>
    <row r="60" spans="2:13" hidden="1" x14ac:dyDescent="0.25"/>
    <row r="64" spans="2:13" ht="0.75" customHeight="1" x14ac:dyDescent="0.25"/>
    <row r="66" spans="2:13" ht="38.25" customHeight="1" x14ac:dyDescent="0.25">
      <c r="B66" s="916"/>
      <c r="C66" s="916"/>
      <c r="D66" s="917"/>
      <c r="E66" s="918"/>
      <c r="F66" s="919"/>
      <c r="G66" s="1696" t="s">
        <v>1372</v>
      </c>
      <c r="H66" s="1696"/>
      <c r="I66" s="1696"/>
      <c r="J66" s="1696"/>
      <c r="K66" s="1696"/>
      <c r="L66" s="1696"/>
    </row>
    <row r="67" spans="2:13" x14ac:dyDescent="0.25">
      <c r="B67" s="1083" t="s">
        <v>1238</v>
      </c>
      <c r="C67" s="1083"/>
      <c r="D67" s="921"/>
      <c r="E67" s="915"/>
      <c r="F67" s="915"/>
      <c r="G67" s="1702" t="s">
        <v>1222</v>
      </c>
      <c r="H67" s="1702"/>
      <c r="I67" s="1702"/>
      <c r="J67" s="1702"/>
      <c r="K67" s="1702"/>
      <c r="L67" s="1702"/>
    </row>
    <row r="68" spans="2:13" x14ac:dyDescent="0.25">
      <c r="B68" s="916" t="s">
        <v>1239</v>
      </c>
      <c r="C68" s="916"/>
      <c r="D68" s="915"/>
      <c r="E68" s="915"/>
      <c r="F68" s="923"/>
      <c r="G68" s="1701" t="s">
        <v>1224</v>
      </c>
      <c r="H68" s="1701"/>
      <c r="I68" s="1701"/>
      <c r="J68" s="1701"/>
      <c r="K68" s="1701"/>
      <c r="L68" s="1701"/>
    </row>
    <row r="72" spans="2:13" ht="30" customHeight="1" x14ac:dyDescent="0.25"/>
    <row r="78" spans="2:13" x14ac:dyDescent="0.25">
      <c r="E78" s="924"/>
      <c r="F78" s="923"/>
      <c r="G78" s="915"/>
      <c r="H78" s="1698"/>
      <c r="I78" s="1698"/>
      <c r="J78" s="1698"/>
      <c r="K78" s="1698"/>
      <c r="L78" s="1698"/>
      <c r="M78" s="1698"/>
    </row>
    <row r="79" spans="2:13" x14ac:dyDescent="0.25">
      <c r="E79" s="925"/>
      <c r="F79" s="1694"/>
      <c r="G79" s="1694"/>
      <c r="H79" s="1694"/>
      <c r="I79" s="1694"/>
      <c r="J79" s="1694"/>
      <c r="K79" s="926"/>
      <c r="L79" s="926"/>
      <c r="M79" s="886"/>
    </row>
    <row r="80" spans="2:13" x14ac:dyDescent="0.25">
      <c r="E80" s="927" t="s">
        <v>641</v>
      </c>
      <c r="F80" s="927"/>
      <c r="G80" s="927"/>
      <c r="H80" s="927"/>
      <c r="I80" s="927"/>
      <c r="J80" s="927"/>
      <c r="K80" s="927"/>
      <c r="L80" s="927"/>
      <c r="M8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6:L66"/>
    <mergeCell ref="G67:L67"/>
    <mergeCell ref="G68:L68"/>
    <mergeCell ref="H78:M78"/>
    <mergeCell ref="F79:J79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D5C20E-6CCA-48C8-B40A-A4C271BB3211}">
  <dimension ref="B1:O49"/>
  <sheetViews>
    <sheetView zoomScaleNormal="100" workbookViewId="0">
      <selection activeCell="C46" sqref="C46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551" t="s">
        <v>0</v>
      </c>
      <c r="C6" s="1551"/>
      <c r="D6" s="1551"/>
      <c r="E6" s="1551"/>
      <c r="F6" s="1551"/>
      <c r="G6" s="1551"/>
      <c r="H6" s="1551"/>
      <c r="I6" s="1551"/>
      <c r="J6" s="1551"/>
      <c r="K6" s="1551"/>
      <c r="L6" s="1551"/>
      <c r="M6" s="1551"/>
      <c r="N6" s="1551"/>
      <c r="O6" s="259"/>
    </row>
    <row r="7" spans="2:15" x14ac:dyDescent="0.25">
      <c r="B7" s="1551" t="s">
        <v>1</v>
      </c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  <c r="O7" s="259"/>
    </row>
    <row r="8" spans="2:15" x14ac:dyDescent="0.25">
      <c r="B8" s="1551" t="s">
        <v>3</v>
      </c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  <c r="O8" s="259"/>
    </row>
    <row r="9" spans="2:15" x14ac:dyDescent="0.25">
      <c r="B9" s="1551" t="s">
        <v>1474</v>
      </c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  <c r="O9" s="259"/>
    </row>
    <row r="10" spans="2:15" x14ac:dyDescent="0.25">
      <c r="B10" s="1637" t="s">
        <v>412</v>
      </c>
      <c r="C10" s="1637"/>
      <c r="D10" s="1637"/>
      <c r="E10" s="1637"/>
      <c r="F10" s="1637"/>
      <c r="G10" s="1637"/>
      <c r="H10" s="1637"/>
      <c r="I10" s="1637"/>
      <c r="J10" s="1637"/>
      <c r="K10" s="1637"/>
      <c r="L10" s="1637"/>
      <c r="M10" s="1637"/>
      <c r="N10" s="1637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712" t="s">
        <v>7</v>
      </c>
      <c r="C12" s="1709" t="s">
        <v>937</v>
      </c>
      <c r="D12" s="1709" t="s">
        <v>9</v>
      </c>
      <c r="E12" s="1067" t="s">
        <v>832</v>
      </c>
      <c r="F12" s="1721" t="s">
        <v>12</v>
      </c>
      <c r="G12" s="1720" t="s">
        <v>13</v>
      </c>
      <c r="H12" s="1720" t="s">
        <v>14</v>
      </c>
      <c r="I12" s="1720" t="s">
        <v>15</v>
      </c>
      <c r="J12" s="1720" t="s">
        <v>16</v>
      </c>
      <c r="K12" s="1720" t="s">
        <v>17</v>
      </c>
      <c r="L12" s="1720" t="s">
        <v>18</v>
      </c>
      <c r="M12" s="1720" t="s">
        <v>19</v>
      </c>
      <c r="N12" s="1712" t="s">
        <v>20</v>
      </c>
    </row>
    <row r="13" spans="2:15" x14ac:dyDescent="0.25">
      <c r="B13" s="1712"/>
      <c r="C13" s="1709"/>
      <c r="D13" s="1709"/>
      <c r="E13" s="1067" t="s">
        <v>21</v>
      </c>
      <c r="F13" s="1721" t="s">
        <v>21</v>
      </c>
      <c r="G13" s="1720"/>
      <c r="H13" s="1720"/>
      <c r="I13" s="1720"/>
      <c r="J13" s="1720"/>
      <c r="K13" s="1720"/>
      <c r="L13" s="1720"/>
      <c r="M13" s="1720"/>
      <c r="N13" s="1712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626" t="s">
        <v>1225</v>
      </c>
      <c r="J40" s="1626"/>
      <c r="K40" s="1626"/>
      <c r="L40" s="1626"/>
      <c r="M40" s="1626"/>
      <c r="N40" s="1626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627" t="s">
        <v>852</v>
      </c>
      <c r="J41" s="1627"/>
      <c r="K41" s="1627"/>
      <c r="L41" s="1627"/>
      <c r="M41" s="1627"/>
      <c r="N41" s="1627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628" t="s">
        <v>1445</v>
      </c>
      <c r="J42" s="1628"/>
      <c r="K42" s="1628"/>
      <c r="L42" s="1628"/>
      <c r="M42" s="1628"/>
      <c r="N42" s="1628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629"/>
      <c r="K43" s="1629"/>
      <c r="L43" s="1629"/>
      <c r="M43" s="1629"/>
      <c r="N43" s="1629"/>
      <c r="O43" s="1629"/>
    </row>
    <row r="44" spans="2:15" ht="15.75" x14ac:dyDescent="0.25">
      <c r="B44" s="267"/>
      <c r="C44" s="267"/>
      <c r="D44" s="267"/>
      <c r="E44" s="268"/>
      <c r="F44" s="268"/>
      <c r="G44" s="269"/>
      <c r="H44" s="1549"/>
      <c r="I44" s="1549"/>
      <c r="J44" s="1549"/>
      <c r="K44" s="1549"/>
      <c r="L44" s="1549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4:L44"/>
    <mergeCell ref="H12:H13"/>
    <mergeCell ref="I12:I13"/>
    <mergeCell ref="J12:J13"/>
    <mergeCell ref="K12:K13"/>
    <mergeCell ref="L12:L13"/>
    <mergeCell ref="N12:N13"/>
    <mergeCell ref="I40:N40"/>
    <mergeCell ref="I41:N41"/>
    <mergeCell ref="I42:N42"/>
    <mergeCell ref="J43:O43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0D441-C982-4938-B2DD-3DFDF35E514C}">
  <dimension ref="B5:M47"/>
  <sheetViews>
    <sheetView showGridLines="0" topLeftCell="B20" zoomScale="118" zoomScaleNormal="118" workbookViewId="0">
      <selection activeCell="G47" sqref="G47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556" t="s">
        <v>0</v>
      </c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</row>
    <row r="6" spans="2:13" x14ac:dyDescent="0.25">
      <c r="B6" s="1556" t="s">
        <v>1</v>
      </c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2:13" x14ac:dyDescent="0.25">
      <c r="B7" s="1556" t="s">
        <v>3</v>
      </c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2:13" x14ac:dyDescent="0.25">
      <c r="B8" s="1556" t="s">
        <v>1473</v>
      </c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2:13" x14ac:dyDescent="0.25">
      <c r="B9" s="1557" t="s">
        <v>1197</v>
      </c>
      <c r="C9" s="1557"/>
      <c r="D9" s="1557"/>
      <c r="E9" s="1557"/>
      <c r="F9" s="1557"/>
      <c r="G9" s="1557"/>
      <c r="H9" s="1557"/>
      <c r="I9" s="1557"/>
      <c r="J9" s="1557"/>
      <c r="K9" s="1557"/>
      <c r="L9" s="1557"/>
      <c r="M9" s="1557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712" t="s">
        <v>7</v>
      </c>
      <c r="C11" s="1709" t="s">
        <v>802</v>
      </c>
      <c r="D11" s="1709" t="s">
        <v>9</v>
      </c>
      <c r="E11" s="1067" t="s">
        <v>12</v>
      </c>
      <c r="F11" s="1721" t="s">
        <v>13</v>
      </c>
      <c r="G11" s="1720" t="s">
        <v>14</v>
      </c>
      <c r="H11" s="1720" t="s">
        <v>15</v>
      </c>
      <c r="I11" s="1720" t="s">
        <v>16</v>
      </c>
      <c r="J11" s="1720" t="s">
        <v>17</v>
      </c>
      <c r="K11" s="1720" t="s">
        <v>18</v>
      </c>
      <c r="L11" s="1720" t="s">
        <v>19</v>
      </c>
      <c r="M11" s="1720" t="s">
        <v>20</v>
      </c>
    </row>
    <row r="12" spans="2:13" ht="15" customHeight="1" x14ac:dyDescent="0.25">
      <c r="B12" s="1712"/>
      <c r="C12" s="1709"/>
      <c r="D12" s="1709"/>
      <c r="E12" s="1067" t="s">
        <v>21</v>
      </c>
      <c r="F12" s="1721"/>
      <c r="G12" s="1720"/>
      <c r="H12" s="1720"/>
      <c r="I12" s="1720"/>
      <c r="J12" s="1720"/>
      <c r="K12" s="1720"/>
      <c r="L12" s="1720"/>
      <c r="M12" s="1720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31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682" t="s">
        <v>1250</v>
      </c>
      <c r="H42" s="1682"/>
      <c r="I42" s="1682"/>
      <c r="J42" s="1682"/>
      <c r="K42" s="1682"/>
      <c r="L42" s="1682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627" t="s">
        <v>852</v>
      </c>
      <c r="H43" s="1627"/>
      <c r="I43" s="1627"/>
      <c r="J43" s="1627"/>
      <c r="K43" s="1627"/>
      <c r="L43" s="1627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628" t="s">
        <v>1257</v>
      </c>
      <c r="H44" s="1628"/>
      <c r="I44" s="1628"/>
      <c r="J44" s="1628"/>
      <c r="K44" s="1628"/>
      <c r="L44" s="1628"/>
      <c r="M44" s="537"/>
    </row>
    <row r="45" spans="2:13" x14ac:dyDescent="0.25">
      <c r="B45" s="546"/>
      <c r="C45" s="546"/>
      <c r="D45" s="547"/>
      <c r="E45" s="541"/>
      <c r="F45" s="540"/>
      <c r="G45" s="537"/>
      <c r="H45" s="1629"/>
      <c r="I45" s="1629"/>
      <c r="J45" s="1629"/>
      <c r="K45" s="1629"/>
      <c r="L45" s="1629"/>
      <c r="M45" s="1629"/>
    </row>
    <row r="46" spans="2:13" ht="15.75" x14ac:dyDescent="0.25">
      <c r="B46" s="267"/>
      <c r="C46" s="267"/>
      <c r="D46" s="268"/>
      <c r="E46" s="269"/>
      <c r="F46" s="1549"/>
      <c r="G46" s="1549"/>
      <c r="H46" s="1549"/>
      <c r="I46" s="1549"/>
      <c r="J46" s="1549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2:L42"/>
    <mergeCell ref="G43:L43"/>
    <mergeCell ref="G44:L44"/>
    <mergeCell ref="H45:M45"/>
    <mergeCell ref="F46:J46"/>
  </mergeCells>
  <pageMargins left="0.38" right="0.12" top="0.74803149606299213" bottom="0.74803149606299213" header="0.31496062992125984" footer="0.31496062992125984"/>
  <pageSetup scale="54" orientation="landscape" r:id="rId1"/>
  <drawing r:id="rId2"/>
</worksheet>
</file>

<file path=xl/worksheets/sheet2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334C7-13C7-4E71-BDAB-5D45EC0F6792}">
  <sheetPr>
    <pageSetUpPr fitToPage="1"/>
  </sheetPr>
  <dimension ref="B6:M36"/>
  <sheetViews>
    <sheetView showGridLines="0" topLeftCell="A25" zoomScale="118" zoomScaleNormal="118" workbookViewId="0">
      <selection activeCell="G46" sqref="G46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56" t="s">
        <v>0</v>
      </c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2:13" x14ac:dyDescent="0.25">
      <c r="B7" s="1556" t="s">
        <v>1</v>
      </c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2:13" x14ac:dyDescent="0.25">
      <c r="B8" s="1556" t="s">
        <v>3</v>
      </c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2:13" x14ac:dyDescent="0.25">
      <c r="B9" s="1556" t="s">
        <v>1482</v>
      </c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2:13" x14ac:dyDescent="0.25">
      <c r="B10" s="1557" t="s">
        <v>1197</v>
      </c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  <c r="M10" s="1557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712" t="s">
        <v>7</v>
      </c>
      <c r="C12" s="1709" t="s">
        <v>802</v>
      </c>
      <c r="D12" s="1709" t="s">
        <v>10</v>
      </c>
      <c r="E12" s="1067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2:13" ht="15" customHeight="1" x14ac:dyDescent="0.25">
      <c r="B13" s="1712"/>
      <c r="C13" s="1709"/>
      <c r="D13" s="1709"/>
      <c r="E13" s="1067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82" t="s">
        <v>1255</v>
      </c>
      <c r="H31" s="1682"/>
      <c r="I31" s="1682"/>
      <c r="J31" s="1682"/>
      <c r="K31" s="1682"/>
      <c r="L31" s="1682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627" t="s">
        <v>852</v>
      </c>
      <c r="H32" s="1627"/>
      <c r="I32" s="1627"/>
      <c r="J32" s="1627"/>
      <c r="K32" s="1627"/>
      <c r="L32" s="1627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628" t="s">
        <v>1257</v>
      </c>
      <c r="H33" s="1628"/>
      <c r="I33" s="1628"/>
      <c r="J33" s="1628"/>
      <c r="K33" s="1628"/>
      <c r="L33" s="1628"/>
      <c r="M33" s="537"/>
    </row>
    <row r="34" spans="2:13" x14ac:dyDescent="0.25">
      <c r="B34" s="546"/>
      <c r="C34" s="546"/>
      <c r="D34" s="547"/>
      <c r="E34" s="541"/>
      <c r="F34" s="540"/>
      <c r="G34" s="537"/>
      <c r="H34" s="1629"/>
      <c r="I34" s="1629"/>
      <c r="J34" s="1629"/>
      <c r="K34" s="1629"/>
      <c r="L34" s="1629"/>
      <c r="M34" s="1629"/>
    </row>
    <row r="35" spans="2:13" ht="15.75" x14ac:dyDescent="0.25">
      <c r="B35" s="267"/>
      <c r="C35" s="267"/>
      <c r="D35" s="268"/>
      <c r="E35" s="269"/>
      <c r="F35" s="1549"/>
      <c r="G35" s="1549"/>
      <c r="H35" s="1549"/>
      <c r="I35" s="1549"/>
      <c r="J35" s="1549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216F86-C589-4777-89BF-5D1370BC501D}">
  <dimension ref="A1:N266"/>
  <sheetViews>
    <sheetView showGridLines="0" topLeftCell="A5" zoomScale="80" zoomScaleNormal="80" workbookViewId="0">
      <selection activeCell="A255" sqref="A255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685" t="s">
        <v>1502</v>
      </c>
      <c r="B6" s="1685"/>
      <c r="C6" s="1685"/>
      <c r="D6" s="1685"/>
      <c r="E6" s="1685"/>
      <c r="F6" s="1685"/>
      <c r="G6" s="1685"/>
      <c r="H6" s="1685"/>
      <c r="I6" s="1685"/>
      <c r="J6" s="1685"/>
      <c r="K6" s="1685"/>
      <c r="L6" s="1685"/>
      <c r="M6" s="1685"/>
    </row>
    <row r="7" spans="1:14" ht="0.75" customHeight="1" x14ac:dyDescent="0.25">
      <c r="A7" s="1685"/>
      <c r="B7" s="1685"/>
      <c r="C7" s="1685"/>
      <c r="D7" s="1685"/>
      <c r="E7" s="1685"/>
      <c r="F7" s="1685"/>
      <c r="G7" s="1685"/>
      <c r="H7" s="1685"/>
      <c r="I7" s="1685"/>
      <c r="J7" s="1685"/>
      <c r="K7" s="1685"/>
      <c r="L7" s="1685"/>
      <c r="M7" s="1685"/>
      <c r="N7" s="1685"/>
    </row>
    <row r="8" spans="1:14" ht="15.75" x14ac:dyDescent="0.25">
      <c r="A8" s="1685" t="s">
        <v>1460</v>
      </c>
      <c r="B8" s="1685"/>
      <c r="C8" s="1685"/>
      <c r="D8" s="1685"/>
      <c r="E8" s="1685"/>
      <c r="F8" s="1685"/>
      <c r="G8" s="1685"/>
      <c r="H8" s="1685"/>
      <c r="I8" s="1685"/>
      <c r="J8" s="1685"/>
      <c r="K8" s="1685"/>
      <c r="L8" s="1685"/>
      <c r="M8" s="1685"/>
    </row>
    <row r="9" spans="1:14" ht="15.75" x14ac:dyDescent="0.25">
      <c r="A9" s="1685" t="s">
        <v>1483</v>
      </c>
      <c r="B9" s="1685"/>
      <c r="C9" s="1685"/>
      <c r="D9" s="1685"/>
      <c r="E9" s="1685"/>
      <c r="F9" s="1685"/>
      <c r="G9" s="1685"/>
      <c r="H9" s="1685"/>
      <c r="I9" s="1685"/>
      <c r="J9" s="1685"/>
      <c r="K9" s="1685"/>
      <c r="L9" s="1685"/>
      <c r="M9" s="1685"/>
    </row>
    <row r="10" spans="1:14" ht="15.75" x14ac:dyDescent="0.25">
      <c r="A10" s="1706" t="s">
        <v>404</v>
      </c>
      <c r="B10" s="1706"/>
      <c r="C10" s="1706"/>
      <c r="D10" s="1706"/>
      <c r="E10" s="1706"/>
      <c r="F10" s="1706"/>
      <c r="G10" s="1706"/>
      <c r="H10" s="1706"/>
      <c r="I10" s="1706"/>
      <c r="J10" s="1706"/>
      <c r="K10" s="1706"/>
      <c r="L10" s="1706"/>
      <c r="M10" s="170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707" t="s">
        <v>7</v>
      </c>
      <c r="B12" s="1707" t="s">
        <v>802</v>
      </c>
      <c r="C12" s="1707" t="s">
        <v>9</v>
      </c>
      <c r="D12" s="1707" t="s">
        <v>11</v>
      </c>
      <c r="E12" s="1057" t="s">
        <v>12</v>
      </c>
      <c r="F12" s="1704" t="s">
        <v>13</v>
      </c>
      <c r="G12" s="1705" t="s">
        <v>14</v>
      </c>
      <c r="H12" s="1705" t="s">
        <v>15</v>
      </c>
      <c r="I12" s="1723" t="s">
        <v>16</v>
      </c>
      <c r="J12" s="1705" t="s">
        <v>17</v>
      </c>
      <c r="K12" s="1705" t="s">
        <v>18</v>
      </c>
      <c r="L12" s="1723" t="s">
        <v>19</v>
      </c>
      <c r="M12" s="1705" t="s">
        <v>20</v>
      </c>
    </row>
    <row r="13" spans="1:14" ht="15.75" x14ac:dyDescent="0.25">
      <c r="A13" s="1707"/>
      <c r="B13" s="1707"/>
      <c r="C13" s="1707"/>
      <c r="D13" s="1707"/>
      <c r="E13" s="1057" t="s">
        <v>21</v>
      </c>
      <c r="F13" s="1704"/>
      <c r="G13" s="1705"/>
      <c r="H13" s="1705"/>
      <c r="I13" s="1723"/>
      <c r="J13" s="1705"/>
      <c r="K13" s="1705"/>
      <c r="L13" s="1723"/>
      <c r="M13" s="1705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7" si="4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4"/>
        <v>4990.6100000000006</v>
      </c>
      <c r="M33" s="953">
        <f t="shared" ref="M33:M38" si="5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4"/>
        <v>3632.4700000000003</v>
      </c>
      <c r="M34" s="953">
        <f t="shared" si="5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4"/>
        <v>3532.4700000000003</v>
      </c>
      <c r="M35" s="953">
        <f t="shared" si="5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ref="L38" si="6">+H38+I38+J38+K38</f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7">SUM(G32:G38)</f>
        <v>457500</v>
      </c>
      <c r="H39" s="963">
        <f t="shared" si="7"/>
        <v>13130.250000000002</v>
      </c>
      <c r="I39" s="963">
        <f t="shared" si="7"/>
        <v>37798.360000000008</v>
      </c>
      <c r="J39" s="963">
        <f t="shared" si="7"/>
        <v>13907.999999999998</v>
      </c>
      <c r="K39" s="963">
        <f t="shared" si="7"/>
        <v>7136.84</v>
      </c>
      <c r="L39" s="963">
        <f t="shared" si="7"/>
        <v>71973.450000000012</v>
      </c>
      <c r="M39" s="963">
        <f t="shared" si="7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8">SUM(H42)</f>
        <v>2152.5</v>
      </c>
      <c r="I43" s="963">
        <f t="shared" si="8"/>
        <v>6309.38</v>
      </c>
      <c r="J43" s="965">
        <f t="shared" si="8"/>
        <v>2280</v>
      </c>
      <c r="K43" s="963">
        <f t="shared" si="8"/>
        <v>25</v>
      </c>
      <c r="L43" s="963">
        <f t="shared" si="8"/>
        <v>10766.880000000001</v>
      </c>
      <c r="M43" s="965">
        <f t="shared" si="8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9">SUM(F46:F47)</f>
        <v>0</v>
      </c>
      <c r="G48" s="965">
        <f t="shared" si="9"/>
        <v>61500</v>
      </c>
      <c r="H48" s="965">
        <f t="shared" si="9"/>
        <v>1765.05</v>
      </c>
      <c r="I48" s="1071">
        <f t="shared" si="9"/>
        <v>0</v>
      </c>
      <c r="J48" s="965">
        <f t="shared" si="9"/>
        <v>1869.6</v>
      </c>
      <c r="K48" s="963">
        <f t="shared" si="9"/>
        <v>1765.46</v>
      </c>
      <c r="L48" s="963">
        <f t="shared" si="9"/>
        <v>5400.1100000000006</v>
      </c>
      <c r="M48" s="965">
        <f t="shared" si="9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10">SUM(E51:E51)</f>
        <v>35000</v>
      </c>
      <c r="F52" s="964">
        <f t="shared" si="10"/>
        <v>0</v>
      </c>
      <c r="G52" s="965">
        <f t="shared" si="10"/>
        <v>35000</v>
      </c>
      <c r="H52" s="965">
        <f t="shared" si="10"/>
        <v>1004.5</v>
      </c>
      <c r="I52" s="1071">
        <f t="shared" si="10"/>
        <v>0</v>
      </c>
      <c r="J52" s="965">
        <f t="shared" si="10"/>
        <v>1064</v>
      </c>
      <c r="K52" s="963">
        <f t="shared" si="10"/>
        <v>25</v>
      </c>
      <c r="L52" s="963">
        <f t="shared" si="10"/>
        <v>2093.5</v>
      </c>
      <c r="M52" s="965">
        <f t="shared" si="10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 t="shared" ref="M56:M57" si="11"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si="11"/>
        <v>34668.94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>SUM(E55:E57)</f>
        <v>118500</v>
      </c>
      <c r="F58" s="964">
        <f t="shared" ref="F58:M58" si="12">SUM(F55:F57)</f>
        <v>0</v>
      </c>
      <c r="G58" s="965">
        <f>SUM(G55:G57)</f>
        <v>118500</v>
      </c>
      <c r="H58" s="965">
        <f>SUM(H55:H57)</f>
        <v>3400.95</v>
      </c>
      <c r="I58" s="1071">
        <f>SUM(I55:I57)</f>
        <v>1116.24</v>
      </c>
      <c r="J58" s="965">
        <f t="shared" si="12"/>
        <v>3602.4</v>
      </c>
      <c r="K58" s="963">
        <f>SUM(K55:K57)</f>
        <v>2346.6999999999998</v>
      </c>
      <c r="L58" s="963">
        <f>SUM(L55:L57)</f>
        <v>10466.289999999999</v>
      </c>
      <c r="M58" s="965">
        <f t="shared" si="12"/>
        <v>108033.71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3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3"/>
        <v>1898</v>
      </c>
      <c r="M63" s="953">
        <f t="shared" ref="M63:M72" si="14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3"/>
        <v>6042.4</v>
      </c>
      <c r="M64" s="953">
        <f t="shared" si="14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3"/>
        <v>1798</v>
      </c>
      <c r="M65" s="953">
        <f t="shared" si="14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3"/>
        <v>1798</v>
      </c>
      <c r="M66" s="953">
        <f t="shared" si="14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3"/>
        <v>4341.3999999999996</v>
      </c>
      <c r="M67" s="953">
        <f t="shared" si="14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3"/>
        <v>1798</v>
      </c>
      <c r="M68" s="953">
        <f t="shared" si="14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3"/>
        <v>1798</v>
      </c>
      <c r="M69" s="953">
        <f t="shared" si="14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3"/>
        <v>1798</v>
      </c>
      <c r="M70" s="953">
        <f t="shared" si="14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3"/>
        <v>1798</v>
      </c>
      <c r="M71" s="953">
        <f t="shared" si="14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3"/>
        <v>1798</v>
      </c>
      <c r="M72" s="953">
        <f t="shared" si="14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 t="shared" ref="F73" si="15">SUM(F70:F72)</f>
        <v>0</v>
      </c>
      <c r="G73" s="963">
        <f t="shared" ref="G73:M73" si="16">SUM(G61:G72)</f>
        <v>387000</v>
      </c>
      <c r="H73" s="963">
        <f t="shared" si="16"/>
        <v>11106.9</v>
      </c>
      <c r="I73" s="963">
        <f t="shared" si="16"/>
        <v>1873.24</v>
      </c>
      <c r="J73" s="963">
        <f t="shared" si="16"/>
        <v>11764.8</v>
      </c>
      <c r="K73" s="963">
        <f t="shared" si="16"/>
        <v>7187.7999999999993</v>
      </c>
      <c r="L73" s="963">
        <f>SUM(L61:L72)</f>
        <v>31932.739999999998</v>
      </c>
      <c r="M73" s="963">
        <f t="shared" si="16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7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7"/>
        <v>1602.5</v>
      </c>
      <c r="M77" s="953">
        <f t="shared" ref="M77:M87" si="18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7"/>
        <v>1502.5</v>
      </c>
      <c r="M78" s="953">
        <f t="shared" si="18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7"/>
        <v>1502.5</v>
      </c>
      <c r="M79" s="953">
        <f t="shared" si="18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7"/>
        <v>1502.5</v>
      </c>
      <c r="M80" s="953">
        <f t="shared" si="18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7"/>
        <v>1502.5</v>
      </c>
      <c r="M81" s="953">
        <f t="shared" si="18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7"/>
        <v>1502.5</v>
      </c>
      <c r="M82" s="953">
        <f t="shared" si="18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7"/>
        <v>1502.5</v>
      </c>
      <c r="M83" s="953">
        <f t="shared" si="18"/>
        <v>23497.5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7"/>
        <v>1502.5</v>
      </c>
      <c r="M84" s="953">
        <f t="shared" si="18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8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3839.91</v>
      </c>
      <c r="L86" s="951">
        <f t="shared" ref="L86" si="19">+H86+I86+J86+K86</f>
        <v>5908.41</v>
      </c>
      <c r="M86" s="951">
        <f t="shared" si="18"/>
        <v>29091.59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8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974">
        <v>0</v>
      </c>
      <c r="G88" s="963">
        <f>SUM(G76:G87)</f>
        <v>338500</v>
      </c>
      <c r="H88" s="963">
        <f t="shared" ref="H88:M88" si="20">SUM(H76:H87)</f>
        <v>9714.9500000000007</v>
      </c>
      <c r="I88" s="963">
        <f t="shared" si="20"/>
        <v>936.62</v>
      </c>
      <c r="J88" s="963">
        <f t="shared" si="20"/>
        <v>10290.4</v>
      </c>
      <c r="K88" s="963">
        <f t="shared" si="20"/>
        <v>9543.57</v>
      </c>
      <c r="L88" s="963">
        <f t="shared" si="20"/>
        <v>30485.54</v>
      </c>
      <c r="M88" s="963">
        <f t="shared" si="20"/>
        <v>308014.46000000002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>SUM(E91:E92)</f>
        <v>92500</v>
      </c>
      <c r="F93" s="964">
        <f t="shared" ref="F93:I93" si="21">SUM(F91:F92)</f>
        <v>0</v>
      </c>
      <c r="G93" s="965">
        <f>SUM(G91:G92)</f>
        <v>92500</v>
      </c>
      <c r="H93" s="965">
        <f>SUM(H91:H92)</f>
        <v>2654.75</v>
      </c>
      <c r="I93" s="963">
        <f t="shared" si="21"/>
        <v>2559.6799999999998</v>
      </c>
      <c r="J93" s="965">
        <f>SUM(J91:J92)</f>
        <v>2812</v>
      </c>
      <c r="K93" s="963">
        <f>SUM(K91:K92)</f>
        <v>1765.46</v>
      </c>
      <c r="L93" s="963">
        <f>SUM(L91:L92)</f>
        <v>9791.89</v>
      </c>
      <c r="M93" s="965">
        <f>SUM(M91:M92)</f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22">SUM(G96:G98)</f>
        <v>142000</v>
      </c>
      <c r="H99" s="963">
        <f t="shared" si="22"/>
        <v>4075.43</v>
      </c>
      <c r="I99" s="963">
        <f t="shared" si="22"/>
        <v>4432.92</v>
      </c>
      <c r="J99" s="963">
        <f t="shared" si="22"/>
        <v>4316.8</v>
      </c>
      <c r="K99" s="963">
        <f t="shared" si="22"/>
        <v>1346.7</v>
      </c>
      <c r="L99" s="963">
        <f t="shared" si="22"/>
        <v>14171.82</v>
      </c>
      <c r="M99" s="963">
        <f t="shared" si="22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3">SUM(G106:G107)</f>
        <v>87000</v>
      </c>
      <c r="H108" s="963">
        <f t="shared" si="23"/>
        <v>2496.9</v>
      </c>
      <c r="I108" s="963">
        <f t="shared" si="23"/>
        <v>1873.24</v>
      </c>
      <c r="J108" s="963">
        <f t="shared" si="23"/>
        <v>2644.8</v>
      </c>
      <c r="K108" s="963">
        <f t="shared" si="23"/>
        <v>50</v>
      </c>
      <c r="L108" s="963">
        <f t="shared" si="23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4">SUM(G111:G111)</f>
        <v>80000</v>
      </c>
      <c r="H112" s="965">
        <f t="shared" si="24"/>
        <v>2296</v>
      </c>
      <c r="I112" s="963">
        <f t="shared" si="24"/>
        <v>6972</v>
      </c>
      <c r="J112" s="965">
        <f t="shared" si="24"/>
        <v>2432</v>
      </c>
      <c r="K112" s="963">
        <f t="shared" si="24"/>
        <v>1740.46</v>
      </c>
      <c r="L112" s="963">
        <f t="shared" si="24"/>
        <v>13440.46</v>
      </c>
      <c r="M112" s="965">
        <f t="shared" si="24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5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5"/>
        <v>45298.239999999998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5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5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5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5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6">SUM(F115:F121)</f>
        <v>0</v>
      </c>
      <c r="G122" s="963">
        <f t="shared" si="26"/>
        <v>517500</v>
      </c>
      <c r="H122" s="963">
        <f t="shared" si="26"/>
        <v>14852.25</v>
      </c>
      <c r="I122" s="963">
        <f t="shared" si="26"/>
        <v>50491.780000000006</v>
      </c>
      <c r="J122" s="963">
        <f t="shared" si="26"/>
        <v>15732</v>
      </c>
      <c r="K122" s="963">
        <f t="shared" si="26"/>
        <v>22252.239999999998</v>
      </c>
      <c r="L122" s="963">
        <f>SUM(L115:L121)</f>
        <v>103328.27</v>
      </c>
      <c r="M122" s="963">
        <f>SUM(M115:M121)</f>
        <v>414171.73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7">SUM(F125:F127)</f>
        <v>0</v>
      </c>
      <c r="G128" s="963">
        <f t="shared" si="27"/>
        <v>148500</v>
      </c>
      <c r="H128" s="963">
        <f t="shared" si="27"/>
        <v>4261.95</v>
      </c>
      <c r="I128" s="963">
        <f t="shared" si="27"/>
        <v>5350.3</v>
      </c>
      <c r="J128" s="963">
        <f t="shared" si="27"/>
        <v>4514.3999999999996</v>
      </c>
      <c r="K128" s="963">
        <f t="shared" si="27"/>
        <v>3044.13</v>
      </c>
      <c r="L128" s="963">
        <f t="shared" si="27"/>
        <v>17170.780000000002</v>
      </c>
      <c r="M128" s="963">
        <f t="shared" si="27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8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9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8"/>
        <v>6538.18</v>
      </c>
      <c r="M133" s="951">
        <f t="shared" si="29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37500</v>
      </c>
      <c r="F134" s="974">
        <v>0</v>
      </c>
      <c r="G134" s="951">
        <v>37500</v>
      </c>
      <c r="H134" s="951">
        <v>1076.25</v>
      </c>
      <c r="I134" s="974">
        <v>89.81</v>
      </c>
      <c r="J134" s="951">
        <v>1140</v>
      </c>
      <c r="K134" s="951">
        <v>25</v>
      </c>
      <c r="L134" s="951">
        <f t="shared" si="28"/>
        <v>2331.06</v>
      </c>
      <c r="M134" s="951">
        <f t="shared" si="29"/>
        <v>35168.94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227500</v>
      </c>
      <c r="F135" s="964">
        <f>SUM(F126:F126)</f>
        <v>0</v>
      </c>
      <c r="G135" s="963">
        <f t="shared" ref="G135:M135" si="30">SUM(G131:G134)</f>
        <v>227500</v>
      </c>
      <c r="H135" s="963">
        <f t="shared" si="30"/>
        <v>6529.25</v>
      </c>
      <c r="I135" s="963">
        <f t="shared" si="30"/>
        <v>12610.039999999999</v>
      </c>
      <c r="J135" s="963">
        <f t="shared" si="30"/>
        <v>6916</v>
      </c>
      <c r="K135" s="963">
        <f t="shared" si="30"/>
        <v>1706</v>
      </c>
      <c r="L135" s="963">
        <f t="shared" si="30"/>
        <v>27761.29</v>
      </c>
      <c r="M135" s="963">
        <f t="shared" si="30"/>
        <v>199738.71000000002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1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31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2">SUM(G138:G140)</f>
        <v>290000</v>
      </c>
      <c r="H141" s="965">
        <f t="shared" si="32"/>
        <v>8323</v>
      </c>
      <c r="I141" s="963">
        <f t="shared" si="32"/>
        <v>36255.85</v>
      </c>
      <c r="J141" s="965">
        <f t="shared" si="32"/>
        <v>8816</v>
      </c>
      <c r="K141" s="963">
        <f t="shared" si="32"/>
        <v>7705.56</v>
      </c>
      <c r="L141" s="963">
        <f t="shared" si="32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33">SUM(G144:G145)</f>
        <v>111500</v>
      </c>
      <c r="H146" s="963">
        <f t="shared" si="33"/>
        <v>3200.05</v>
      </c>
      <c r="I146" s="963">
        <f t="shared" si="33"/>
        <v>7400.87</v>
      </c>
      <c r="J146" s="963">
        <f t="shared" si="33"/>
        <v>3389.6</v>
      </c>
      <c r="K146" s="963">
        <f t="shared" si="33"/>
        <v>2122.1999999999998</v>
      </c>
      <c r="L146" s="963">
        <f t="shared" si="33"/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4">SUM(E149:E149)</f>
        <v>43500</v>
      </c>
      <c r="F150" s="964">
        <f t="shared" si="34"/>
        <v>0</v>
      </c>
      <c r="G150" s="965">
        <f t="shared" si="34"/>
        <v>43500</v>
      </c>
      <c r="H150" s="965">
        <f t="shared" si="34"/>
        <v>1248.45</v>
      </c>
      <c r="I150" s="1091">
        <f t="shared" si="34"/>
        <v>936.62</v>
      </c>
      <c r="J150" s="996">
        <f t="shared" si="34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1459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5">+G154-L154</f>
        <v>59197.82</v>
      </c>
    </row>
    <row r="155" spans="1:13" ht="18.75" x14ac:dyDescent="0.3">
      <c r="A155" s="955" t="s">
        <v>530</v>
      </c>
      <c r="B155" s="950" t="s">
        <v>806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5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6">SUM(F156)</f>
        <v>0</v>
      </c>
      <c r="G157" s="963">
        <f t="shared" ref="G157:L157" si="37">SUM(G153:G156)</f>
        <v>237000</v>
      </c>
      <c r="H157" s="963">
        <f t="shared" si="37"/>
        <v>6801.9</v>
      </c>
      <c r="I157" s="963">
        <f t="shared" si="37"/>
        <v>14642.59</v>
      </c>
      <c r="J157" s="963">
        <f t="shared" si="37"/>
        <v>7204.7999999999993</v>
      </c>
      <c r="K157" s="963">
        <f t="shared" si="37"/>
        <v>4643.3999999999996</v>
      </c>
      <c r="L157" s="963">
        <f t="shared" si="3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8">SUM(G160:G161)</f>
        <v>150000</v>
      </c>
      <c r="H162" s="963">
        <f t="shared" si="38"/>
        <v>4305</v>
      </c>
      <c r="I162" s="963">
        <f t="shared" si="38"/>
        <v>12769.349999999999</v>
      </c>
      <c r="J162" s="963">
        <f t="shared" si="38"/>
        <v>4560</v>
      </c>
      <c r="K162" s="963">
        <f t="shared" si="38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9">SUM(F165:F166)</f>
        <v>0</v>
      </c>
      <c r="G167" s="965">
        <f>SUM(G165:G166)</f>
        <v>123500</v>
      </c>
      <c r="H167" s="965">
        <f t="shared" si="39"/>
        <v>3544.45</v>
      </c>
      <c r="I167" s="963">
        <f t="shared" si="39"/>
        <v>8337.49</v>
      </c>
      <c r="J167" s="965">
        <f t="shared" si="39"/>
        <v>3754.4</v>
      </c>
      <c r="K167" s="963">
        <f t="shared" si="3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40">+H170+I170+J170+K170</f>
        <v>3532.4700000000003</v>
      </c>
      <c r="M170" s="951">
        <f t="shared" ref="M170:M175" si="4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40"/>
        <v>3532.4700000000003</v>
      </c>
      <c r="M171" s="951">
        <f t="shared" si="4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40"/>
        <v>3532.4700000000003</v>
      </c>
      <c r="M172" s="951">
        <f t="shared" si="4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40"/>
        <v>7854.75</v>
      </c>
      <c r="M173" s="951">
        <f t="shared" si="4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40"/>
        <v>3532.4700000000003</v>
      </c>
      <c r="M174" s="951">
        <f t="shared" si="4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40"/>
        <v>3532.4700000000003</v>
      </c>
      <c r="M175" s="951">
        <f t="shared" si="4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42">SUM(G170:G175)</f>
        <v>261000</v>
      </c>
      <c r="H176" s="963">
        <f t="shared" si="42"/>
        <v>7490.7</v>
      </c>
      <c r="I176" s="963">
        <f t="shared" si="42"/>
        <v>5105.08</v>
      </c>
      <c r="J176" s="963">
        <f t="shared" si="42"/>
        <v>7934.4</v>
      </c>
      <c r="K176" s="963">
        <f t="shared" si="42"/>
        <v>4986.92</v>
      </c>
      <c r="L176" s="963">
        <f t="shared" si="42"/>
        <v>25517.100000000002</v>
      </c>
      <c r="M176" s="963">
        <f t="shared" si="4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585</v>
      </c>
      <c r="B180" s="950" t="s">
        <v>806</v>
      </c>
      <c r="C180" s="960" t="s">
        <v>517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728</v>
      </c>
      <c r="L180" s="951">
        <f>+H180+I180+J180+K180</f>
        <v>4235.2700000000004</v>
      </c>
      <c r="M180" s="951">
        <f>+G180-L180</f>
        <v>39264.729999999996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254000</v>
      </c>
      <c r="F184" s="974">
        <v>0</v>
      </c>
      <c r="G184" s="963">
        <f>SUM(G179:G183)</f>
        <v>254000</v>
      </c>
      <c r="H184" s="963">
        <f t="shared" ref="H184:M184" si="43">SUM(H179:H183)</f>
        <v>7289</v>
      </c>
      <c r="I184" s="963">
        <f t="shared" si="43"/>
        <v>11147.350000000002</v>
      </c>
      <c r="J184" s="963">
        <f t="shared" si="43"/>
        <v>7721.6</v>
      </c>
      <c r="K184" s="963">
        <f t="shared" si="43"/>
        <v>3371.4</v>
      </c>
      <c r="L184" s="963">
        <f t="shared" si="43"/>
        <v>29529.350000000002</v>
      </c>
      <c r="M184" s="963">
        <f t="shared" si="43"/>
        <v>224470.65000000002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2" si="44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44"/>
        <v>23926.87</v>
      </c>
      <c r="M188" s="1031">
        <f t="shared" ref="M188:M224" si="45">+G188-L188</f>
        <v>96073.13</v>
      </c>
    </row>
    <row r="189" spans="1:13" ht="18.75" x14ac:dyDescent="0.3">
      <c r="A189" s="1027" t="s">
        <v>829</v>
      </c>
      <c r="B189" s="999" t="s">
        <v>806</v>
      </c>
      <c r="C189" s="1024" t="s">
        <v>596</v>
      </c>
      <c r="D189" s="960" t="s">
        <v>1066</v>
      </c>
      <c r="E189" s="951">
        <v>75000</v>
      </c>
      <c r="F189" s="974">
        <v>0</v>
      </c>
      <c r="G189" s="1032">
        <v>75000</v>
      </c>
      <c r="H189" s="951">
        <v>2152.5</v>
      </c>
      <c r="I189" s="1032">
        <v>6309.38</v>
      </c>
      <c r="J189" s="951">
        <v>2280</v>
      </c>
      <c r="K189" s="951">
        <v>25</v>
      </c>
      <c r="L189" s="1032">
        <f t="shared" si="44"/>
        <v>10766.880000000001</v>
      </c>
      <c r="M189" s="1031">
        <f t="shared" si="45"/>
        <v>64233.119999999995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032">
        <v>7400.87</v>
      </c>
      <c r="J190" s="951">
        <v>2432</v>
      </c>
      <c r="K190" s="951">
        <v>25</v>
      </c>
      <c r="L190" s="1032">
        <f t="shared" si="44"/>
        <v>12153.869999999999</v>
      </c>
      <c r="M190" s="1031">
        <f t="shared" si="45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5368.48</v>
      </c>
      <c r="J191" s="951">
        <v>2128</v>
      </c>
      <c r="K191" s="951">
        <v>25</v>
      </c>
      <c r="L191" s="1032">
        <f t="shared" si="44"/>
        <v>9530.48</v>
      </c>
      <c r="M191" s="1031">
        <f t="shared" si="45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6564.09</v>
      </c>
      <c r="J192" s="951">
        <v>2432</v>
      </c>
      <c r="K192" s="951">
        <v>4158.92</v>
      </c>
      <c r="L192" s="1032">
        <f t="shared" si="44"/>
        <v>15451.01</v>
      </c>
      <c r="M192" s="1031">
        <f t="shared" si="45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032">
        <v>5025.38</v>
      </c>
      <c r="J193" s="951">
        <v>2128</v>
      </c>
      <c r="K193" s="951">
        <v>1740.46</v>
      </c>
      <c r="L193" s="1032">
        <v>10902.84</v>
      </c>
      <c r="M193" s="1031">
        <f t="shared" si="45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032">
        <v>6972</v>
      </c>
      <c r="J194" s="951">
        <v>2432</v>
      </c>
      <c r="K194" s="951">
        <v>1740.46</v>
      </c>
      <c r="L194" s="1032">
        <f>+H194+I194+J194+K194</f>
        <v>13440.46</v>
      </c>
      <c r="M194" s="1031">
        <f t="shared" si="45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074">
        <v>2559.6799999999998</v>
      </c>
      <c r="J195" s="1078">
        <v>1672</v>
      </c>
      <c r="K195" s="1081">
        <v>25</v>
      </c>
      <c r="L195" s="1032">
        <f t="shared" ref="L195:L220" si="46">+H195+I195+J195+K195</f>
        <v>5835.18</v>
      </c>
      <c r="M195" s="1031">
        <f t="shared" si="45"/>
        <v>49164.82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679.3</v>
      </c>
      <c r="J196" s="951">
        <v>1322.4</v>
      </c>
      <c r="K196" s="951">
        <v>1740.46</v>
      </c>
      <c r="L196" s="1032">
        <f t="shared" si="46"/>
        <v>4990.6100000000006</v>
      </c>
      <c r="M196" s="1032">
        <f t="shared" si="45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46"/>
        <v>2330.2600000000002</v>
      </c>
      <c r="M197" s="1032">
        <f t="shared" si="45"/>
        <v>35169.74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46"/>
        <v>2331.06</v>
      </c>
      <c r="M198" s="1032">
        <f t="shared" si="45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89.01</v>
      </c>
      <c r="J199" s="951">
        <v>1140</v>
      </c>
      <c r="K199" s="951">
        <v>25</v>
      </c>
      <c r="L199" s="1032">
        <f t="shared" si="46"/>
        <v>2330.2600000000002</v>
      </c>
      <c r="M199" s="1032">
        <f t="shared" si="45"/>
        <v>35169.74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46"/>
        <v>3532.4700000000003</v>
      </c>
      <c r="M200" s="1031">
        <f t="shared" si="45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v>2331.06</v>
      </c>
      <c r="M201" s="1031">
        <f t="shared" si="45"/>
        <v>35168.94</v>
      </c>
    </row>
    <row r="202" spans="1:13" ht="18.75" x14ac:dyDescent="0.3">
      <c r="A202" s="1029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52">
        <v>0</v>
      </c>
      <c r="G202" s="1031">
        <v>43500</v>
      </c>
      <c r="H202" s="953">
        <v>1248.45</v>
      </c>
      <c r="I202" s="1036">
        <v>936.62</v>
      </c>
      <c r="J202" s="953">
        <v>1322.4</v>
      </c>
      <c r="K202" s="951">
        <v>25</v>
      </c>
      <c r="L202" s="1032">
        <f t="shared" si="46"/>
        <v>3532.4700000000003</v>
      </c>
      <c r="M202" s="1031">
        <f t="shared" si="45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f t="shared" si="46"/>
        <v>3532.4700000000003</v>
      </c>
      <c r="M203" s="1032">
        <f t="shared" si="45"/>
        <v>39967.53</v>
      </c>
    </row>
    <row r="204" spans="1:13" ht="18.75" x14ac:dyDescent="0.3">
      <c r="A204" s="1027" t="s">
        <v>1345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1351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1336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1387</v>
      </c>
      <c r="B207" s="950" t="s">
        <v>806</v>
      </c>
      <c r="C207" s="1024" t="s">
        <v>1325</v>
      </c>
      <c r="D207" s="960" t="s">
        <v>307</v>
      </c>
      <c r="E207" s="951">
        <v>43500</v>
      </c>
      <c r="F207" s="974">
        <v>0</v>
      </c>
      <c r="G207" s="1032">
        <v>43500</v>
      </c>
      <c r="H207" s="951">
        <v>1248.45</v>
      </c>
      <c r="I207" s="1036">
        <v>937.62</v>
      </c>
      <c r="J207" s="951">
        <v>1322.4</v>
      </c>
      <c r="K207" s="951">
        <v>25</v>
      </c>
      <c r="L207" s="1032">
        <v>3532.4700000000003</v>
      </c>
      <c r="M207" s="1032">
        <v>39967.53</v>
      </c>
    </row>
    <row r="208" spans="1:13" ht="18.75" x14ac:dyDescent="0.3">
      <c r="A208" s="1029" t="s">
        <v>1331</v>
      </c>
      <c r="B208" s="950" t="s">
        <v>806</v>
      </c>
      <c r="C208" s="1024" t="s">
        <v>1332</v>
      </c>
      <c r="D208" s="960" t="s">
        <v>321</v>
      </c>
      <c r="E208" s="951">
        <v>43500</v>
      </c>
      <c r="F208" s="952">
        <v>0</v>
      </c>
      <c r="G208" s="1031">
        <v>43500</v>
      </c>
      <c r="H208" s="953">
        <v>1248.45</v>
      </c>
      <c r="I208" s="1036">
        <v>936.62</v>
      </c>
      <c r="J208" s="953">
        <v>1322.4</v>
      </c>
      <c r="K208" s="951">
        <v>25</v>
      </c>
      <c r="L208" s="1032">
        <f t="shared" si="46"/>
        <v>3532.4700000000003</v>
      </c>
      <c r="M208" s="1031">
        <f t="shared" si="45"/>
        <v>39967.53</v>
      </c>
    </row>
    <row r="209" spans="1:13" ht="18.75" x14ac:dyDescent="0.3">
      <c r="A209" s="1029" t="s">
        <v>698</v>
      </c>
      <c r="B209" s="950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6"/>
        <v>1502.5</v>
      </c>
      <c r="M209" s="1031">
        <f t="shared" si="45"/>
        <v>23497.5</v>
      </c>
    </row>
    <row r="210" spans="1:13" ht="18.75" x14ac:dyDescent="0.3">
      <c r="A210" s="1029" t="s">
        <v>915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46"/>
        <v>1502.5</v>
      </c>
      <c r="M210" s="1031">
        <f t="shared" si="45"/>
        <v>23497.5</v>
      </c>
    </row>
    <row r="211" spans="1:13" ht="18.75" x14ac:dyDescent="0.3">
      <c r="A211" s="1029" t="s">
        <v>1058</v>
      </c>
      <c r="B211" s="999" t="s">
        <v>807</v>
      </c>
      <c r="C211" s="1024" t="s">
        <v>105</v>
      </c>
      <c r="D211" s="960" t="s">
        <v>1067</v>
      </c>
      <c r="E211" s="951">
        <v>25000</v>
      </c>
      <c r="F211" s="952">
        <v>0</v>
      </c>
      <c r="G211" s="1031">
        <v>25000</v>
      </c>
      <c r="H211" s="953">
        <v>717.5</v>
      </c>
      <c r="I211" s="1036">
        <v>0</v>
      </c>
      <c r="J211" s="953">
        <v>760</v>
      </c>
      <c r="K211" s="951">
        <v>25</v>
      </c>
      <c r="L211" s="1032">
        <f t="shared" si="46"/>
        <v>1502.5</v>
      </c>
      <c r="M211" s="1031">
        <f t="shared" si="45"/>
        <v>23497.5</v>
      </c>
    </row>
    <row r="212" spans="1:13" ht="18.75" x14ac:dyDescent="0.3">
      <c r="A212" s="1027" t="s">
        <v>587</v>
      </c>
      <c r="B212" s="950" t="s">
        <v>807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46"/>
        <v>1502.5</v>
      </c>
      <c r="M212" s="1031">
        <f t="shared" si="45"/>
        <v>23497.5</v>
      </c>
    </row>
    <row r="213" spans="1:13" ht="18.75" x14ac:dyDescent="0.3">
      <c r="A213" s="1027" t="s">
        <v>1150</v>
      </c>
      <c r="B213" s="950" t="s">
        <v>1151</v>
      </c>
      <c r="C213" s="1024" t="s">
        <v>105</v>
      </c>
      <c r="D213" s="960" t="s">
        <v>1067</v>
      </c>
      <c r="E213" s="951">
        <v>25000</v>
      </c>
      <c r="F213" s="974">
        <v>0</v>
      </c>
      <c r="G213" s="1032">
        <v>25000</v>
      </c>
      <c r="H213" s="951">
        <v>717.5</v>
      </c>
      <c r="I213" s="1036">
        <v>0</v>
      </c>
      <c r="J213" s="951">
        <v>760</v>
      </c>
      <c r="K213" s="951">
        <v>25</v>
      </c>
      <c r="L213" s="1032">
        <f t="shared" si="46"/>
        <v>1502.5</v>
      </c>
      <c r="M213" s="1031">
        <f t="shared" si="45"/>
        <v>23497.5</v>
      </c>
    </row>
    <row r="214" spans="1:13" ht="18.75" x14ac:dyDescent="0.3">
      <c r="A214" s="1024" t="s">
        <v>830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6"/>
        <v>1798</v>
      </c>
      <c r="M214" s="1031">
        <f t="shared" si="45"/>
        <v>28202</v>
      </c>
    </row>
    <row r="215" spans="1:13" ht="18.75" x14ac:dyDescent="0.3">
      <c r="A215" s="1024" t="s">
        <v>1056</v>
      </c>
      <c r="B215" s="950" t="s">
        <v>806</v>
      </c>
      <c r="C215" s="1026" t="s">
        <v>92</v>
      </c>
      <c r="D215" s="960" t="s">
        <v>1067</v>
      </c>
      <c r="E215" s="978">
        <v>30000</v>
      </c>
      <c r="F215" s="979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6"/>
        <v>1798</v>
      </c>
      <c r="M215" s="1031">
        <f t="shared" si="45"/>
        <v>28202</v>
      </c>
    </row>
    <row r="216" spans="1:13" ht="18.75" x14ac:dyDescent="0.3">
      <c r="A216" s="1027" t="s">
        <v>800</v>
      </c>
      <c r="B216" s="950" t="s">
        <v>806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25</v>
      </c>
      <c r="L216" s="1032">
        <f t="shared" si="46"/>
        <v>1798</v>
      </c>
      <c r="M216" s="1031">
        <f t="shared" si="45"/>
        <v>28202</v>
      </c>
    </row>
    <row r="217" spans="1:13" ht="18.75" x14ac:dyDescent="0.3">
      <c r="A217" s="1029" t="s">
        <v>1333</v>
      </c>
      <c r="B217" s="950" t="s">
        <v>1296</v>
      </c>
      <c r="C217" s="1024" t="s">
        <v>268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46"/>
        <v>1798</v>
      </c>
      <c r="M217" s="1031">
        <f t="shared" si="45"/>
        <v>28202</v>
      </c>
    </row>
    <row r="218" spans="1:13" ht="18.75" x14ac:dyDescent="0.3">
      <c r="A218" s="1029" t="s">
        <v>91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2134</v>
      </c>
      <c r="L218" s="1032">
        <f t="shared" si="46"/>
        <v>3907</v>
      </c>
      <c r="M218" s="1031">
        <f t="shared" si="45"/>
        <v>26093</v>
      </c>
    </row>
    <row r="219" spans="1:13" ht="18.75" x14ac:dyDescent="0.3">
      <c r="A219" s="1029" t="s">
        <v>1346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46"/>
        <v>1798</v>
      </c>
      <c r="M219" s="1031">
        <f t="shared" si="45"/>
        <v>28202</v>
      </c>
    </row>
    <row r="220" spans="1:13" ht="18.75" x14ac:dyDescent="0.3">
      <c r="A220" s="1029" t="s">
        <v>1350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52">
        <v>0</v>
      </c>
      <c r="G220" s="1031">
        <v>30000</v>
      </c>
      <c r="H220" s="953">
        <v>861</v>
      </c>
      <c r="I220" s="1036">
        <v>0</v>
      </c>
      <c r="J220" s="953">
        <v>912</v>
      </c>
      <c r="K220" s="951">
        <v>25</v>
      </c>
      <c r="L220" s="1032">
        <f t="shared" si="46"/>
        <v>1798</v>
      </c>
      <c r="M220" s="1031">
        <f t="shared" si="45"/>
        <v>28202</v>
      </c>
    </row>
    <row r="221" spans="1:13" ht="18.75" x14ac:dyDescent="0.3">
      <c r="A221" s="1027" t="s">
        <v>1388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45"/>
        <v>28202</v>
      </c>
    </row>
    <row r="222" spans="1:13" ht="18.75" x14ac:dyDescent="0.3">
      <c r="A222" s="1027" t="s">
        <v>1389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5"/>
        <v>28202</v>
      </c>
    </row>
    <row r="223" spans="1:13" ht="18.75" x14ac:dyDescent="0.3">
      <c r="A223" s="1027" t="s">
        <v>1390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45"/>
        <v>28202</v>
      </c>
    </row>
    <row r="224" spans="1:13" ht="18.75" x14ac:dyDescent="0.3">
      <c r="A224" s="1027" t="s">
        <v>1420</v>
      </c>
      <c r="B224" s="950" t="s">
        <v>806</v>
      </c>
      <c r="C224" s="1024" t="s">
        <v>92</v>
      </c>
      <c r="D224" s="960" t="s">
        <v>1067</v>
      </c>
      <c r="E224" s="951">
        <v>30000</v>
      </c>
      <c r="F224" s="974">
        <v>0</v>
      </c>
      <c r="G224" s="1032">
        <v>30000</v>
      </c>
      <c r="H224" s="951">
        <v>861</v>
      </c>
      <c r="I224" s="1036">
        <v>0</v>
      </c>
      <c r="J224" s="951">
        <v>912</v>
      </c>
      <c r="K224" s="951">
        <v>25</v>
      </c>
      <c r="L224" s="1032">
        <v>1798</v>
      </c>
      <c r="M224" s="1031">
        <f t="shared" si="45"/>
        <v>28202</v>
      </c>
    </row>
    <row r="225" spans="1:13" ht="18.75" x14ac:dyDescent="0.3">
      <c r="A225" s="961" t="s">
        <v>847</v>
      </c>
      <c r="B225" s="999"/>
      <c r="C225" s="962">
        <v>38</v>
      </c>
      <c r="D225" s="962"/>
      <c r="E225" s="963">
        <f>SUM(E187:E224)</f>
        <v>1746500</v>
      </c>
      <c r="F225" s="1071">
        <v>0</v>
      </c>
      <c r="G225" s="963">
        <f>SUM(G187:G224)</f>
        <v>1746500</v>
      </c>
      <c r="H225" s="963">
        <f t="shared" ref="H225:L225" si="47">SUM(H187:H224)</f>
        <v>50124.549999999996</v>
      </c>
      <c r="I225" s="963">
        <f t="shared" si="47"/>
        <v>82352.519999999946</v>
      </c>
      <c r="J225" s="963">
        <f t="shared" si="47"/>
        <v>53093.600000000013</v>
      </c>
      <c r="K225" s="963">
        <f t="shared" si="47"/>
        <v>12339.3</v>
      </c>
      <c r="L225" s="963">
        <f t="shared" si="47"/>
        <v>197906.96999999997</v>
      </c>
      <c r="M225" s="963">
        <f>SUM(M187:M224)</f>
        <v>1548593.0300000003</v>
      </c>
    </row>
    <row r="226" spans="1:13" ht="18.75" x14ac:dyDescent="0.3">
      <c r="A226" s="961"/>
      <c r="B226" s="958"/>
      <c r="C226" s="962"/>
      <c r="D226" s="962"/>
      <c r="E226" s="963"/>
      <c r="F226" s="964"/>
      <c r="G226" s="965"/>
      <c r="H226" s="965"/>
      <c r="I226" s="963"/>
      <c r="J226" s="965"/>
      <c r="K226" s="963"/>
      <c r="L226" s="963"/>
      <c r="M226" s="965"/>
    </row>
    <row r="227" spans="1:13" ht="27.75" customHeight="1" x14ac:dyDescent="0.3">
      <c r="A227" s="1058" t="s">
        <v>865</v>
      </c>
      <c r="B227" s="1059"/>
      <c r="C227" s="1058">
        <f>+C225+C184+C176+C167+C162+C157+C150+C146+C141+C135+C128+C122+C112+C108+C99++C88+C73+C58+C52+C48+C43+C39+C29+C19+C93+C103+C25</f>
        <v>132</v>
      </c>
      <c r="D227" s="1058"/>
      <c r="E227" s="1076">
        <f>+E19+E25+E29+E39+E43+E48+E52+E58+E73+E88+E93+E99+E103+E108+E112+E122+E128+E135+E141+E146+E150+E157+E162+E167+E176+E225+E184</f>
        <v>6919500</v>
      </c>
      <c r="F227" s="1072">
        <v>0</v>
      </c>
      <c r="G227" s="1076">
        <f t="shared" ref="G227:M227" si="48">+G19+G25+G29+G39+G43+G48+G52+G58+G73+G88+G93+G99+G103+G108+G112+G122+G128+G135+G141+G146+G150+G157+G162+G167+G176+G225+G184</f>
        <v>6919500</v>
      </c>
      <c r="H227" s="1076">
        <f t="shared" si="48"/>
        <v>198588.87999999998</v>
      </c>
      <c r="I227" s="1076">
        <f t="shared" si="48"/>
        <v>436908.05999999994</v>
      </c>
      <c r="J227" s="1076">
        <f t="shared" si="48"/>
        <v>207831.12</v>
      </c>
      <c r="K227" s="1076">
        <f t="shared" si="48"/>
        <v>128401.14999999998</v>
      </c>
      <c r="L227" s="1076">
        <f t="shared" si="48"/>
        <v>971726.17999999993</v>
      </c>
      <c r="M227" s="1076">
        <f t="shared" si="48"/>
        <v>5947773.8200000003</v>
      </c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271"/>
      <c r="E233" s="869"/>
      <c r="F233" s="853"/>
      <c r="G233" s="853"/>
      <c r="H233" s="853"/>
      <c r="I233" s="1092"/>
      <c r="J233" s="1022"/>
      <c r="K233" s="1093"/>
      <c r="L233" s="1093"/>
      <c r="M233" s="1022"/>
    </row>
    <row r="234" spans="1:13" ht="15.75" x14ac:dyDescent="0.25">
      <c r="A234" s="853"/>
      <c r="B234" s="871"/>
      <c r="C234" s="1022"/>
      <c r="D234" s="271"/>
      <c r="E234" s="869"/>
      <c r="F234" s="853"/>
      <c r="G234" s="853"/>
      <c r="H234" s="853"/>
      <c r="I234" s="1092"/>
      <c r="J234" s="1022"/>
      <c r="K234" s="1093"/>
      <c r="L234" s="1093"/>
      <c r="M234" s="1022"/>
    </row>
    <row r="235" spans="1:13" ht="15.75" x14ac:dyDescent="0.25">
      <c r="A235" s="853"/>
      <c r="B235" s="871"/>
      <c r="C235" s="1022"/>
      <c r="E235" s="869"/>
      <c r="F235" s="853"/>
      <c r="G235" s="853"/>
      <c r="H235" s="853"/>
      <c r="I235" s="1093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853"/>
      <c r="E237" s="869"/>
      <c r="F237" s="853"/>
      <c r="G237" s="853"/>
      <c r="H237" s="853"/>
      <c r="I237" s="869"/>
      <c r="J237" s="1022"/>
      <c r="K237" s="1093"/>
      <c r="L237" s="1093"/>
      <c r="M237" s="1022"/>
    </row>
    <row r="238" spans="1:13" ht="17.25" customHeight="1" x14ac:dyDescent="0.25">
      <c r="A238" s="853"/>
      <c r="B238" s="871"/>
      <c r="C238" s="872"/>
      <c r="D238" s="853"/>
      <c r="E238" s="852"/>
      <c r="F238" s="853"/>
      <c r="G238" s="853"/>
      <c r="H238" s="853"/>
      <c r="I238" s="869"/>
      <c r="J238" s="853"/>
      <c r="K238" s="869"/>
      <c r="L238" s="1093"/>
      <c r="M238" s="1022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7.25" customHeight="1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73"/>
      <c r="B248" s="874"/>
      <c r="C248" s="873"/>
      <c r="D248" s="873"/>
      <c r="E248" s="875"/>
      <c r="F248" s="873"/>
      <c r="G248" s="873"/>
      <c r="H248" s="873"/>
      <c r="I248" s="1094"/>
      <c r="J248" s="873"/>
      <c r="K248" s="1094"/>
      <c r="L248" s="1094"/>
      <c r="M248" s="873"/>
    </row>
    <row r="249" spans="1:14" ht="15.75" x14ac:dyDescent="0.25">
      <c r="A249" s="873"/>
      <c r="B249" s="871"/>
      <c r="C249" s="873"/>
      <c r="D249" s="873"/>
      <c r="E249" s="875"/>
      <c r="F249" s="873"/>
      <c r="G249" s="873"/>
      <c r="H249" s="873"/>
      <c r="I249" s="1094"/>
      <c r="J249" s="873"/>
      <c r="K249" s="1094"/>
      <c r="L249" s="1094"/>
      <c r="M249" s="873"/>
    </row>
    <row r="250" spans="1:14" ht="15.75" x14ac:dyDescent="0.25">
      <c r="A250" s="871"/>
      <c r="B250" s="871"/>
      <c r="C250" s="871"/>
      <c r="D250" s="871"/>
      <c r="E250" s="876"/>
      <c r="F250" s="877"/>
      <c r="G250" s="878"/>
      <c r="H250" s="879"/>
      <c r="I250" s="1095"/>
      <c r="J250" s="880"/>
      <c r="K250" s="1095"/>
      <c r="L250" s="1095"/>
      <c r="M250" s="880"/>
    </row>
    <row r="251" spans="1:14" ht="15.75" x14ac:dyDescent="0.25">
      <c r="A251" s="1703" t="s">
        <v>1271</v>
      </c>
      <c r="B251" s="1703"/>
      <c r="C251" s="874"/>
      <c r="D251" s="874"/>
      <c r="E251" s="875"/>
      <c r="F251" s="873"/>
      <c r="G251" s="873"/>
      <c r="H251" s="1683" t="s">
        <v>852</v>
      </c>
      <c r="I251" s="1683"/>
      <c r="J251" s="1683"/>
      <c r="K251" s="1683"/>
      <c r="L251" s="1683"/>
      <c r="M251" s="1683"/>
    </row>
    <row r="252" spans="1:14" ht="15.75" x14ac:dyDescent="0.25">
      <c r="A252" s="930" t="s">
        <v>1376</v>
      </c>
      <c r="B252" s="871"/>
      <c r="C252" s="871"/>
      <c r="D252" s="871"/>
      <c r="E252" s="875"/>
      <c r="F252" s="873"/>
      <c r="H252" s="622"/>
      <c r="I252" s="1684" t="s">
        <v>1504</v>
      </c>
      <c r="J252" s="1684"/>
      <c r="K252" s="1684"/>
      <c r="L252" s="1684"/>
      <c r="M252" s="622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40.25" customHeight="1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874"/>
      <c r="B266" s="851"/>
      <c r="C266" s="874"/>
      <c r="D266" s="874"/>
      <c r="E266" s="883"/>
      <c r="F266" s="874"/>
      <c r="G266" s="884"/>
      <c r="H266" s="882"/>
      <c r="I266" s="1094"/>
      <c r="J266" s="885"/>
      <c r="K266" s="1096"/>
      <c r="L266" s="1096"/>
      <c r="M266" s="885"/>
    </row>
  </sheetData>
  <mergeCells count="20">
    <mergeCell ref="A6:M6"/>
    <mergeCell ref="A7:N7"/>
    <mergeCell ref="A8:M8"/>
    <mergeCell ref="A9:M9"/>
    <mergeCell ref="A10:M10"/>
    <mergeCell ref="M12:M13"/>
    <mergeCell ref="A251:B251"/>
    <mergeCell ref="H251:M251"/>
    <mergeCell ref="I252:L252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85" max="12" man="1"/>
  </rowBreaks>
  <drawing r:id="rId2"/>
</worksheet>
</file>

<file path=xl/worksheets/sheet2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BF4B4-88A7-4CC4-8752-CCB99D9EF9C6}">
  <dimension ref="A1:S163"/>
  <sheetViews>
    <sheetView topLeftCell="A105" zoomScale="98" zoomScaleNormal="98" zoomScaleSheetLayoutView="89" workbookViewId="0">
      <selection activeCell="C149" sqref="C149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4.710937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7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7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7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8"/>
      <c r="M4" s="311"/>
      <c r="N4" s="311"/>
      <c r="O4" s="311"/>
    </row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1484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709" t="s">
        <v>7</v>
      </c>
      <c r="B11" s="1709" t="s">
        <v>937</v>
      </c>
      <c r="C11" s="1712" t="s">
        <v>9</v>
      </c>
      <c r="D11" s="1709" t="s">
        <v>832</v>
      </c>
      <c r="E11" s="1709" t="s">
        <v>834</v>
      </c>
      <c r="F11" s="1709" t="s">
        <v>209</v>
      </c>
      <c r="G11" s="1051" t="s">
        <v>12</v>
      </c>
      <c r="H11" s="1711" t="s">
        <v>13</v>
      </c>
      <c r="I11" s="1710" t="s">
        <v>14</v>
      </c>
      <c r="J11" s="1710" t="s">
        <v>15</v>
      </c>
      <c r="K11" s="1710" t="s">
        <v>16</v>
      </c>
      <c r="L11" s="1722" t="s">
        <v>17</v>
      </c>
      <c r="M11" s="1710" t="s">
        <v>18</v>
      </c>
      <c r="N11" s="1710" t="s">
        <v>19</v>
      </c>
      <c r="O11" s="1710" t="s">
        <v>20</v>
      </c>
    </row>
    <row r="12" spans="1:15" x14ac:dyDescent="0.25">
      <c r="A12" s="1709"/>
      <c r="B12" s="1709"/>
      <c r="C12" s="1712"/>
      <c r="D12" s="1709"/>
      <c r="E12" s="1709"/>
      <c r="F12" s="1709"/>
      <c r="G12" s="1051" t="s">
        <v>21</v>
      </c>
      <c r="H12" s="1711"/>
      <c r="I12" s="1710"/>
      <c r="J12" s="1710"/>
      <c r="K12" s="1710"/>
      <c r="L12" s="1722"/>
      <c r="M12" s="1710"/>
      <c r="N12" s="1710"/>
      <c r="O12" s="1710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696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495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69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627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696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696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627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696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487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457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456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712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696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1099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464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696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487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696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76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487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696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45474</v>
      </c>
      <c r="F50" s="855">
        <v>45658</v>
      </c>
      <c r="G50" s="626">
        <v>120000</v>
      </c>
      <c r="H50" s="627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487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696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76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487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787</v>
      </c>
      <c r="B54" s="465"/>
      <c r="C54" s="492"/>
      <c r="D54" s="465"/>
      <c r="E54" s="1019"/>
      <c r="F54" s="857"/>
      <c r="G54" s="695"/>
      <c r="H54" s="696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627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627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487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495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 t="shared" si="12"/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697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696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487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487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627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45627</v>
      </c>
      <c r="F69" s="855">
        <v>45778</v>
      </c>
      <c r="G69" s="626">
        <v>70000</v>
      </c>
      <c r="H69" s="627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696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 t="shared" si="13"/>
        <v>100</v>
      </c>
      <c r="N70" s="695">
        <f t="shared" si="13"/>
        <v>61348.06</v>
      </c>
      <c r="O70" s="695">
        <f t="shared" si="13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495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495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487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696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1099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495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495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627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627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696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1099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487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495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495"/>
      <c r="I84" s="494"/>
      <c r="J84" s="494"/>
      <c r="K84" s="494"/>
      <c r="L84" s="1145"/>
      <c r="M84" s="1099"/>
      <c r="N84" s="494"/>
      <c r="O84" s="494"/>
    </row>
    <row r="85" spans="1:15" ht="21" customHeight="1" x14ac:dyDescent="0.25">
      <c r="A85" s="490" t="s">
        <v>1476</v>
      </c>
      <c r="B85" s="491"/>
      <c r="C85" s="492"/>
      <c r="D85" s="492"/>
      <c r="E85" s="859"/>
      <c r="F85" s="860"/>
      <c r="G85" s="695"/>
      <c r="H85" s="495"/>
      <c r="I85" s="494"/>
      <c r="J85" s="494"/>
      <c r="K85" s="494"/>
      <c r="L85" s="1145"/>
      <c r="M85" s="1099"/>
      <c r="N85" s="494"/>
      <c r="O85" s="494"/>
    </row>
    <row r="86" spans="1:15" ht="32.25" customHeight="1" x14ac:dyDescent="0.25">
      <c r="A86" s="496" t="s">
        <v>1399</v>
      </c>
      <c r="B86" s="497" t="s">
        <v>807</v>
      </c>
      <c r="C86" s="282" t="s">
        <v>1400</v>
      </c>
      <c r="D86" s="282" t="s">
        <v>1281</v>
      </c>
      <c r="E86" s="855">
        <v>45627</v>
      </c>
      <c r="F86" s="855">
        <v>45778</v>
      </c>
      <c r="G86" s="626">
        <v>120000</v>
      </c>
      <c r="H86" s="487">
        <v>0</v>
      </c>
      <c r="I86" s="498">
        <v>120000</v>
      </c>
      <c r="J86" s="498">
        <v>3444</v>
      </c>
      <c r="K86" s="498">
        <v>16809.87</v>
      </c>
      <c r="L86" s="1149">
        <v>3648</v>
      </c>
      <c r="M86" s="1100">
        <v>4169.3999999999996</v>
      </c>
      <c r="N86" s="457">
        <v>28071.27</v>
      </c>
      <c r="O86" s="457">
        <f>+I86-N86</f>
        <v>91928.73</v>
      </c>
    </row>
    <row r="87" spans="1:15" ht="21" customHeight="1" x14ac:dyDescent="0.25">
      <c r="A87" s="466" t="s">
        <v>813</v>
      </c>
      <c r="B87" s="491"/>
      <c r="C87" s="492">
        <v>1</v>
      </c>
      <c r="D87" s="492"/>
      <c r="E87" s="859"/>
      <c r="F87" s="860"/>
      <c r="G87" s="695">
        <f>SUM(G86)</f>
        <v>120000</v>
      </c>
      <c r="H87" s="696">
        <f t="shared" ref="H87:N87" si="17">SUM(H86)</f>
        <v>0</v>
      </c>
      <c r="I87" s="695">
        <f t="shared" si="17"/>
        <v>120000</v>
      </c>
      <c r="J87" s="695">
        <f t="shared" si="17"/>
        <v>3444</v>
      </c>
      <c r="K87" s="695">
        <f t="shared" si="17"/>
        <v>16809.87</v>
      </c>
      <c r="L87" s="1145">
        <f t="shared" si="17"/>
        <v>3648</v>
      </c>
      <c r="M87" s="1099">
        <f>SUM(M86)</f>
        <v>4169.3999999999996</v>
      </c>
      <c r="N87" s="695">
        <f t="shared" si="17"/>
        <v>28071.27</v>
      </c>
      <c r="O87" s="695">
        <f>SUM(O86)</f>
        <v>91928.73</v>
      </c>
    </row>
    <row r="88" spans="1:15" ht="21" customHeight="1" x14ac:dyDescent="0.25">
      <c r="A88" s="1014" t="s">
        <v>1477</v>
      </c>
      <c r="B88" s="1015"/>
      <c r="C88" s="492"/>
      <c r="D88" s="465"/>
      <c r="E88" s="1016"/>
      <c r="F88" s="860"/>
      <c r="G88" s="695"/>
      <c r="H88" s="696"/>
      <c r="I88" s="697"/>
      <c r="J88" s="697"/>
      <c r="K88" s="697"/>
      <c r="L88" s="1145"/>
      <c r="M88" s="676"/>
      <c r="N88" s="697"/>
      <c r="O88" s="697"/>
    </row>
    <row r="89" spans="1:15" ht="21" customHeight="1" x14ac:dyDescent="0.25">
      <c r="A89" s="1017" t="s">
        <v>1045</v>
      </c>
      <c r="B89" s="1018" t="s">
        <v>806</v>
      </c>
      <c r="C89" s="282" t="s">
        <v>78</v>
      </c>
      <c r="D89" s="281" t="s">
        <v>1063</v>
      </c>
      <c r="E89" s="855">
        <v>45597</v>
      </c>
      <c r="F89" s="855">
        <v>45748</v>
      </c>
      <c r="G89" s="626">
        <v>70000</v>
      </c>
      <c r="H89" s="627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675">
        <v>25</v>
      </c>
      <c r="N89" s="468">
        <f t="shared" ref="N89:N94" si="18">+J89+K89+L89+M89</f>
        <v>9530.48</v>
      </c>
      <c r="O89" s="468">
        <f t="shared" ref="O89:O94" si="19">+I89-N89</f>
        <v>60469.520000000004</v>
      </c>
    </row>
    <row r="90" spans="1:15" ht="21" customHeight="1" x14ac:dyDescent="0.25">
      <c r="A90" s="286" t="s">
        <v>611</v>
      </c>
      <c r="B90" s="281" t="s">
        <v>807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627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675">
        <v>25</v>
      </c>
      <c r="N90" s="468">
        <f t="shared" si="18"/>
        <v>9530.48</v>
      </c>
      <c r="O90" s="468">
        <f t="shared" si="19"/>
        <v>60469.520000000004</v>
      </c>
    </row>
    <row r="91" spans="1:15" ht="21" customHeight="1" x14ac:dyDescent="0.25">
      <c r="A91" s="286" t="s">
        <v>610</v>
      </c>
      <c r="B91" s="281" t="s">
        <v>806</v>
      </c>
      <c r="C91" s="282" t="s">
        <v>918</v>
      </c>
      <c r="D91" s="281" t="s">
        <v>1063</v>
      </c>
      <c r="E91" s="855">
        <v>45597</v>
      </c>
      <c r="F91" s="855">
        <v>45748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675">
        <v>25</v>
      </c>
      <c r="N91" s="468">
        <f t="shared" si="18"/>
        <v>9530.48</v>
      </c>
      <c r="O91" s="468">
        <f t="shared" si="19"/>
        <v>60469.520000000004</v>
      </c>
    </row>
    <row r="92" spans="1:15" ht="21" customHeight="1" x14ac:dyDescent="0.25">
      <c r="A92" s="286" t="s">
        <v>1292</v>
      </c>
      <c r="B92" s="281" t="s">
        <v>806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8"/>
        <v>9530.48</v>
      </c>
      <c r="O92" s="468">
        <f t="shared" si="19"/>
        <v>60469.520000000004</v>
      </c>
    </row>
    <row r="93" spans="1:15" ht="21" customHeight="1" x14ac:dyDescent="0.25">
      <c r="A93" s="286" t="s">
        <v>1295</v>
      </c>
      <c r="B93" s="281" t="s">
        <v>1296</v>
      </c>
      <c r="C93" s="282" t="s">
        <v>918</v>
      </c>
      <c r="D93" s="281" t="s">
        <v>1063</v>
      </c>
      <c r="E93" s="855">
        <v>45566</v>
      </c>
      <c r="F93" s="855">
        <v>45717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1149">
        <v>2128</v>
      </c>
      <c r="M93" s="468">
        <v>25</v>
      </c>
      <c r="N93" s="468">
        <f t="shared" si="18"/>
        <v>9530.48</v>
      </c>
      <c r="O93" s="468">
        <f t="shared" si="19"/>
        <v>60469.520000000004</v>
      </c>
    </row>
    <row r="94" spans="1:15" ht="21" customHeight="1" x14ac:dyDescent="0.25">
      <c r="A94" s="286" t="s">
        <v>1293</v>
      </c>
      <c r="B94" s="281" t="s">
        <v>807</v>
      </c>
      <c r="C94" s="282" t="s">
        <v>1294</v>
      </c>
      <c r="D94" s="281" t="s">
        <v>1063</v>
      </c>
      <c r="E94" s="855">
        <v>45566</v>
      </c>
      <c r="F94" s="855">
        <v>45717</v>
      </c>
      <c r="G94" s="626">
        <v>55000</v>
      </c>
      <c r="H94" s="627">
        <v>0</v>
      </c>
      <c r="I94" s="468">
        <v>55000</v>
      </c>
      <c r="J94" s="468">
        <v>1578.5</v>
      </c>
      <c r="K94" s="468">
        <v>2559.6799999999998</v>
      </c>
      <c r="L94" s="1149">
        <v>1672</v>
      </c>
      <c r="M94" s="675">
        <v>25</v>
      </c>
      <c r="N94" s="468">
        <f t="shared" si="18"/>
        <v>5835.18</v>
      </c>
      <c r="O94" s="468">
        <f t="shared" si="19"/>
        <v>49164.82</v>
      </c>
    </row>
    <row r="95" spans="1:15" ht="21" customHeight="1" x14ac:dyDescent="0.25">
      <c r="A95" s="466" t="s">
        <v>813</v>
      </c>
      <c r="B95" s="465"/>
      <c r="C95" s="492">
        <v>6</v>
      </c>
      <c r="D95" s="465"/>
      <c r="E95" s="1016"/>
      <c r="F95" s="860"/>
      <c r="G95" s="695">
        <f>SUM(G89:G94)</f>
        <v>405000</v>
      </c>
      <c r="H95" s="696">
        <f t="shared" ref="H95" si="20">SUM(H94)</f>
        <v>0</v>
      </c>
      <c r="I95" s="695">
        <f>SUM(I89:I94)</f>
        <v>405000</v>
      </c>
      <c r="J95" s="695">
        <f>SUM(J89:J94)</f>
        <v>11623.5</v>
      </c>
      <c r="K95" s="695">
        <f t="shared" ref="K95:N95" si="21">SUM(K89:K94)</f>
        <v>29402.079999999998</v>
      </c>
      <c r="L95" s="1145">
        <f t="shared" si="21"/>
        <v>12312</v>
      </c>
      <c r="M95" s="1099">
        <f>SUM(M89:M94)</f>
        <v>150</v>
      </c>
      <c r="N95" s="695">
        <f t="shared" si="21"/>
        <v>53487.579999999994</v>
      </c>
      <c r="O95" s="695">
        <f>SUM(O89:O94)</f>
        <v>351512.42000000004</v>
      </c>
    </row>
    <row r="96" spans="1:15" ht="21" customHeight="1" x14ac:dyDescent="0.25">
      <c r="A96" s="490"/>
      <c r="B96" s="491"/>
      <c r="C96" s="492"/>
      <c r="D96" s="465"/>
      <c r="E96" s="856"/>
      <c r="F96" s="857"/>
      <c r="G96" s="695"/>
      <c r="H96" s="495"/>
      <c r="I96" s="463"/>
      <c r="J96" s="463"/>
      <c r="K96" s="463"/>
      <c r="L96" s="1145"/>
      <c r="M96" s="676"/>
      <c r="N96" s="463"/>
      <c r="O96" s="463"/>
    </row>
    <row r="97" spans="1:19" ht="30" customHeight="1" x14ac:dyDescent="0.25">
      <c r="A97" s="1014" t="s">
        <v>825</v>
      </c>
      <c r="B97" s="1015"/>
      <c r="C97" s="492"/>
      <c r="D97" s="465"/>
      <c r="E97" s="1019"/>
      <c r="F97" s="857"/>
      <c r="G97" s="695"/>
      <c r="H97" s="696"/>
      <c r="I97" s="697"/>
      <c r="J97" s="697"/>
      <c r="K97" s="697"/>
      <c r="L97" s="1145"/>
      <c r="M97" s="676"/>
      <c r="N97" s="697"/>
      <c r="O97" s="697"/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487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675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1</v>
      </c>
      <c r="D99" s="465"/>
      <c r="E99" s="1016"/>
      <c r="F99" s="860"/>
      <c r="G99" s="695">
        <f>SUM(G98)</f>
        <v>70000</v>
      </c>
      <c r="H99" s="696">
        <f t="shared" ref="H99:O99" si="22">SUM(H98)</f>
        <v>0</v>
      </c>
      <c r="I99" s="695">
        <f t="shared" si="22"/>
        <v>70000</v>
      </c>
      <c r="J99" s="695">
        <f t="shared" si="22"/>
        <v>2009</v>
      </c>
      <c r="K99" s="695">
        <f t="shared" si="22"/>
        <v>5368.48</v>
      </c>
      <c r="L99" s="1145">
        <f t="shared" si="22"/>
        <v>2128</v>
      </c>
      <c r="M99" s="1099">
        <f>SUM(M98)</f>
        <v>525</v>
      </c>
      <c r="N99" s="695">
        <f>SUM(N98)</f>
        <v>10030.48</v>
      </c>
      <c r="O99" s="695">
        <f t="shared" si="22"/>
        <v>59969.520000000004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495"/>
      <c r="I100" s="494"/>
      <c r="J100" s="494"/>
      <c r="K100" s="494"/>
      <c r="L100" s="1145"/>
      <c r="M100" s="1099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495"/>
      <c r="I101" s="463"/>
      <c r="J101" s="463"/>
      <c r="K101" s="463"/>
      <c r="L101" s="1145"/>
      <c r="M101" s="676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627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675">
        <v>25</v>
      </c>
      <c r="N102" s="468">
        <f t="shared" ref="N102" si="23">+J102+K102+L102+M102</f>
        <v>23926.87</v>
      </c>
      <c r="O102" s="468">
        <f t="shared" ref="O102" si="24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675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675">
        <v>25</v>
      </c>
      <c r="N104" s="457">
        <f t="shared" ref="N104:N124" si="25">+J104+K104+L104+M104</f>
        <v>9530.48</v>
      </c>
      <c r="O104" s="468">
        <f t="shared" ref="O104:O124" si="26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675">
        <v>1740.46</v>
      </c>
      <c r="N106" s="457">
        <f t="shared" si="25"/>
        <v>10902.84</v>
      </c>
      <c r="O106" s="468">
        <f t="shared" si="26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675">
        <v>3455.92</v>
      </c>
      <c r="N107" s="457">
        <f t="shared" si="25"/>
        <v>12275.210000000001</v>
      </c>
      <c r="O107" s="468">
        <f t="shared" si="26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675">
        <v>1740.46</v>
      </c>
      <c r="N108" s="457">
        <f t="shared" si="25"/>
        <v>10902.84</v>
      </c>
      <c r="O108" s="468">
        <f t="shared" si="26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25"/>
        <v>9530.48</v>
      </c>
      <c r="O109" s="468">
        <f t="shared" si="26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25"/>
        <v>9530.48</v>
      </c>
      <c r="O110" s="468">
        <f t="shared" si="26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25"/>
        <v>9530.48</v>
      </c>
      <c r="O111" s="468">
        <f t="shared" si="26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675">
        <v>25</v>
      </c>
      <c r="N112" s="457">
        <f t="shared" si="25"/>
        <v>9530.48</v>
      </c>
      <c r="O112" s="468">
        <f t="shared" si="26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675">
        <v>25</v>
      </c>
      <c r="N113" s="457">
        <f t="shared" si="25"/>
        <v>9530.48</v>
      </c>
      <c r="O113" s="468">
        <f t="shared" si="26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5"/>
        <v>9530.48</v>
      </c>
      <c r="O114" s="468">
        <f t="shared" si="26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5"/>
        <v>9530.48</v>
      </c>
      <c r="O115" s="468">
        <f t="shared" si="26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5"/>
        <v>9530.48</v>
      </c>
      <c r="O116" s="468">
        <f t="shared" si="26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5"/>
        <v>9530.48</v>
      </c>
      <c r="O117" s="468">
        <f t="shared" si="26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45566</v>
      </c>
      <c r="F118" s="855">
        <v>45717</v>
      </c>
      <c r="G118" s="626">
        <v>70000</v>
      </c>
      <c r="H118" s="627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5"/>
        <v>9530.48</v>
      </c>
      <c r="O118" s="468">
        <f t="shared" si="26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45566</v>
      </c>
      <c r="F119" s="855">
        <v>45717</v>
      </c>
      <c r="G119" s="626">
        <v>70000</v>
      </c>
      <c r="H119" s="627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5"/>
        <v>9530.48</v>
      </c>
      <c r="O119" s="468">
        <f t="shared" si="26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627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5"/>
        <v>9530.48</v>
      </c>
      <c r="O120" s="468">
        <f t="shared" si="26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5"/>
        <v>9530.48</v>
      </c>
      <c r="O121" s="468">
        <f t="shared" si="26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45566</v>
      </c>
      <c r="F122" s="855">
        <v>45717</v>
      </c>
      <c r="G122" s="626">
        <v>70000</v>
      </c>
      <c r="H122" s="627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5"/>
        <v>9530.48</v>
      </c>
      <c r="O122" s="468">
        <f t="shared" si="26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45566</v>
      </c>
      <c r="F123" s="855">
        <v>45717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5"/>
        <v>9530.48</v>
      </c>
      <c r="O123" s="468">
        <f t="shared" si="26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627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25"/>
        <v>9530.48</v>
      </c>
      <c r="O124" s="468">
        <f t="shared" si="26"/>
        <v>60469.520000000004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627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ref="N125" si="27">+J125+K125+L125+M125</f>
        <v>9530.48</v>
      </c>
      <c r="O125" s="468">
        <f t="shared" ref="O125" si="28">+I125-N125</f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627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675">
        <v>25</v>
      </c>
      <c r="N126" s="468">
        <f t="shared" ref="N126:N128" si="29">+J126+K126+L126+M126</f>
        <v>9530.48</v>
      </c>
      <c r="O126" s="468">
        <f t="shared" ref="O126:O128" si="30">+I126-N126</f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627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9"/>
        <v>9530.48</v>
      </c>
      <c r="O127" s="468">
        <f t="shared" si="30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45474</v>
      </c>
      <c r="F128" s="855">
        <v>45658</v>
      </c>
      <c r="G128" s="626">
        <v>70000</v>
      </c>
      <c r="H128" s="627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9"/>
        <v>9530.48</v>
      </c>
      <c r="O128" s="468">
        <f t="shared" si="30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627">
        <v>0</v>
      </c>
      <c r="I129" s="468">
        <v>125000</v>
      </c>
      <c r="J129" s="1038">
        <v>3587.5</v>
      </c>
      <c r="K129" s="627">
        <v>0</v>
      </c>
      <c r="L129" s="1150">
        <v>3800</v>
      </c>
      <c r="M129" s="1103">
        <v>25</v>
      </c>
      <c r="N129" s="1038">
        <v>7412.5</v>
      </c>
      <c r="O129" s="1038">
        <v>117587.5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627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1" si="31">+J130+K130+L130+M130</f>
        <v>5835.18</v>
      </c>
      <c r="O130" s="468">
        <f t="shared" ref="O130:O131" si="32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627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31"/>
        <v>7293.3200000000006</v>
      </c>
      <c r="O131" s="468">
        <f t="shared" si="32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627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ref="N132:N135" si="33">+J132+K132+L132+M132</f>
        <v>3532.4700000000003</v>
      </c>
      <c r="O132" s="468">
        <f t="shared" ref="O132" si="34">+I132-N132</f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45566</v>
      </c>
      <c r="F133" s="855">
        <v>45717</v>
      </c>
      <c r="G133" s="626">
        <v>43500</v>
      </c>
      <c r="H133" s="627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675">
        <v>25</v>
      </c>
      <c r="N133" s="457">
        <f t="shared" si="33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1359</v>
      </c>
      <c r="D134" s="281" t="s">
        <v>1063</v>
      </c>
      <c r="E134" s="855">
        <v>45566</v>
      </c>
      <c r="F134" s="855">
        <v>45717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675">
        <v>25</v>
      </c>
      <c r="N134" s="457">
        <f t="shared" si="33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45536</v>
      </c>
      <c r="F135" s="855">
        <v>45689</v>
      </c>
      <c r="G135" s="626">
        <v>25000</v>
      </c>
      <c r="H135" s="627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675">
        <v>25</v>
      </c>
      <c r="N135" s="457">
        <f t="shared" si="33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696">
        <v>0</v>
      </c>
      <c r="I136" s="695">
        <f t="shared" ref="I136:O136" si="35">SUM(I102:I135)</f>
        <v>2330500</v>
      </c>
      <c r="J136" s="695">
        <f t="shared" si="35"/>
        <v>66885.349999999991</v>
      </c>
      <c r="K136" s="695">
        <f t="shared" si="35"/>
        <v>162346.75999999995</v>
      </c>
      <c r="L136" s="1145">
        <f t="shared" si="35"/>
        <v>70847.199999999983</v>
      </c>
      <c r="M136" s="1099">
        <f t="shared" si="35"/>
        <v>11142.759999999998</v>
      </c>
      <c r="N136" s="695">
        <f t="shared" si="35"/>
        <v>311222.07</v>
      </c>
      <c r="O136" s="695">
        <f t="shared" si="35"/>
        <v>2019277.9300000004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495"/>
      <c r="I137" s="494"/>
      <c r="J137" s="494"/>
      <c r="K137" s="494"/>
      <c r="L137" s="1145"/>
      <c r="M137" s="1099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+C136+C99+C95+C87+C83+C79+C74+C70+C63+C52+C47+C43+C38+C34+C30+C25+C20+C16</f>
        <v>72</v>
      </c>
      <c r="D138" s="1125"/>
      <c r="E138" s="1125"/>
      <c r="F138" s="1125"/>
      <c r="G138" s="1126">
        <f>+G16+G20+G25+G30+G43+G47+G52+G63+G70+G74+G79+G83+G87+G95+G99+G136+G38+G34</f>
        <v>6050500</v>
      </c>
      <c r="H138" s="1056">
        <v>0</v>
      </c>
      <c r="I138" s="1126">
        <f t="shared" ref="I138:O138" si="36">+I16+I20+I25+I30+I43+I47+I52+I63+I70+I74+I79+I83+I87+I95+I99+I136+I38+I34</f>
        <v>6050500</v>
      </c>
      <c r="J138" s="1126">
        <f t="shared" si="36"/>
        <v>173649.34999999998</v>
      </c>
      <c r="K138" s="1126">
        <f t="shared" si="36"/>
        <v>614104.35</v>
      </c>
      <c r="L138" s="1151">
        <f t="shared" si="36"/>
        <v>183935.19999999998</v>
      </c>
      <c r="M138" s="1126">
        <f t="shared" si="36"/>
        <v>59754.5</v>
      </c>
      <c r="N138" s="1126">
        <f t="shared" si="36"/>
        <v>1031443.4000000001</v>
      </c>
      <c r="O138" s="1126">
        <f t="shared" si="36"/>
        <v>5019056.5999999996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1152"/>
      <c r="M140" s="660"/>
      <c r="N140" s="660"/>
      <c r="O140" s="660"/>
      <c r="P140" s="259"/>
    </row>
    <row r="141" spans="1:16" ht="7.5" customHeight="1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1152"/>
      <c r="M141" s="660"/>
      <c r="N141" s="660"/>
      <c r="O141" s="660"/>
      <c r="P141" s="259"/>
    </row>
    <row r="142" spans="1:16" hidden="1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1152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1152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53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53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53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674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708" t="s">
        <v>1375</v>
      </c>
      <c r="J158" s="1708"/>
      <c r="K158" s="1708"/>
      <c r="L158" s="1708"/>
      <c r="M158" s="1708"/>
      <c r="N158" s="1708"/>
      <c r="O158" s="1708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692" t="s">
        <v>1503</v>
      </c>
      <c r="J159" s="1692"/>
      <c r="K159" s="1692"/>
      <c r="L159" s="1692"/>
      <c r="M159" s="1692"/>
      <c r="N159" s="1692"/>
      <c r="O159" s="1692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67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68"/>
      <c r="N161" s="271"/>
      <c r="O161" s="271"/>
      <c r="P161" s="259"/>
    </row>
    <row r="162" spans="1:16" s="259" customFormat="1" ht="84" customHeight="1" x14ac:dyDescent="0.25">
      <c r="D162" s="668"/>
      <c r="E162" s="668"/>
      <c r="F162" s="668"/>
      <c r="L162" s="531"/>
    </row>
    <row r="163" spans="1:16" x14ac:dyDescent="0.25">
      <c r="K163" s="259"/>
      <c r="L163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8:O158"/>
    <mergeCell ref="I159:O159"/>
    <mergeCell ref="L11:L12"/>
  </mergeCells>
  <pageMargins left="1.299212598425197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2" manualBreakCount="2">
    <brk id="53" max="14" man="1"/>
    <brk id="100" max="14" man="1"/>
  </rowBreaks>
  <colBreaks count="1" manualBreakCount="1">
    <brk id="15" max="159" man="1"/>
  </colBreaks>
  <drawing r:id="rId2"/>
</worksheet>
</file>

<file path=xl/worksheets/sheet2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E747DF-058C-4732-A658-92F307EAE566}">
  <dimension ref="B1:O65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7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51" t="s">
        <v>0</v>
      </c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  <c r="O7" s="1551"/>
    </row>
    <row r="8" spans="2:15" x14ac:dyDescent="0.25">
      <c r="B8" s="1551" t="s">
        <v>1</v>
      </c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  <c r="O8" s="1551"/>
    </row>
    <row r="9" spans="2:15" x14ac:dyDescent="0.25">
      <c r="B9" s="1551" t="s">
        <v>3</v>
      </c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  <c r="O9" s="1551"/>
    </row>
    <row r="10" spans="2:15" x14ac:dyDescent="0.25">
      <c r="B10" s="1551" t="s">
        <v>1485</v>
      </c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  <c r="O10" s="1551"/>
    </row>
    <row r="11" spans="2:15" x14ac:dyDescent="0.25">
      <c r="B11" s="1552" t="s">
        <v>5</v>
      </c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  <c r="O11" s="1552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714" t="s">
        <v>7</v>
      </c>
      <c r="C13" s="1713" t="s">
        <v>937</v>
      </c>
      <c r="D13" s="1713" t="s">
        <v>8</v>
      </c>
      <c r="E13" s="1713" t="s">
        <v>10</v>
      </c>
      <c r="F13" s="1713" t="s">
        <v>11</v>
      </c>
      <c r="G13" s="1047" t="s">
        <v>12</v>
      </c>
      <c r="H13" s="1713" t="s">
        <v>13</v>
      </c>
      <c r="I13" s="1713" t="s">
        <v>14</v>
      </c>
      <c r="J13" s="1713" t="s">
        <v>15</v>
      </c>
      <c r="K13" s="1713" t="s">
        <v>16</v>
      </c>
      <c r="L13" s="1713" t="s">
        <v>17</v>
      </c>
      <c r="M13" s="1713" t="s">
        <v>18</v>
      </c>
      <c r="N13" s="1713" t="s">
        <v>19</v>
      </c>
      <c r="O13" s="1713" t="s">
        <v>20</v>
      </c>
    </row>
    <row r="14" spans="2:15" x14ac:dyDescent="0.25">
      <c r="B14" s="1715"/>
      <c r="C14" s="1713"/>
      <c r="D14" s="1713"/>
      <c r="E14" s="1713"/>
      <c r="F14" s="1713"/>
      <c r="G14" s="1047" t="s">
        <v>21</v>
      </c>
      <c r="H14" s="1713"/>
      <c r="I14" s="1713"/>
      <c r="J14" s="1713"/>
      <c r="K14" s="1713"/>
      <c r="L14" s="1713"/>
      <c r="M14" s="1713"/>
      <c r="N14" s="1713"/>
      <c r="O14" s="1713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286" t="s">
        <v>559</v>
      </c>
      <c r="F15" s="283" t="s">
        <v>236</v>
      </c>
      <c r="G15" s="284">
        <v>60000</v>
      </c>
      <c r="H15" s="284">
        <v>60000</v>
      </c>
      <c r="I15" s="284">
        <v>60000</v>
      </c>
      <c r="J15" s="284">
        <v>0</v>
      </c>
      <c r="K15" s="284">
        <v>4195.88</v>
      </c>
      <c r="L15" s="285">
        <v>0</v>
      </c>
      <c r="M15" s="285">
        <v>0</v>
      </c>
      <c r="N15" s="284">
        <v>4195.88</v>
      </c>
      <c r="O15" s="157">
        <f>+H15-N15</f>
        <v>55804.12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12000</v>
      </c>
      <c r="H16" s="285">
        <v>0</v>
      </c>
      <c r="I16" s="284">
        <v>12000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3" si="0">+J16+K16+L16+M16</f>
        <v>0</v>
      </c>
      <c r="O16" s="284">
        <v>12000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12000</v>
      </c>
      <c r="H17" s="285">
        <v>0</v>
      </c>
      <c r="I17" s="284">
        <v>12000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12000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12000</v>
      </c>
      <c r="H18" s="285">
        <v>0</v>
      </c>
      <c r="I18" s="284">
        <v>12000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12000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12000</v>
      </c>
      <c r="H19" s="285">
        <v>0</v>
      </c>
      <c r="I19" s="284">
        <v>12000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12000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12000</v>
      </c>
      <c r="H20" s="285">
        <v>0</v>
      </c>
      <c r="I20" s="284">
        <v>12000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12000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12000</v>
      </c>
      <c r="H21" s="285">
        <v>0</v>
      </c>
      <c r="I21" s="284">
        <v>12000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12000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84">
        <v>12000</v>
      </c>
      <c r="H22" s="285">
        <v>0</v>
      </c>
      <c r="I22" s="284">
        <v>12000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84">
        <v>12000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84">
        <v>12000</v>
      </c>
      <c r="H23" s="285">
        <v>0</v>
      </c>
      <c r="I23" s="284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84">
        <v>12000</v>
      </c>
    </row>
    <row r="24" spans="2:15" ht="28.5" customHeight="1" x14ac:dyDescent="0.25">
      <c r="B24" s="625" t="s">
        <v>1047</v>
      </c>
      <c r="C24" s="601" t="s">
        <v>806</v>
      </c>
      <c r="D24" s="281" t="s">
        <v>235</v>
      </c>
      <c r="E24" s="286" t="s">
        <v>235</v>
      </c>
      <c r="F24" s="283" t="s">
        <v>236</v>
      </c>
      <c r="G24" s="284">
        <v>14000</v>
      </c>
      <c r="H24" s="285">
        <v>0</v>
      </c>
      <c r="I24" s="284">
        <v>14000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84">
        <v>14000</v>
      </c>
    </row>
    <row r="25" spans="2:15" ht="28.5" customHeight="1" x14ac:dyDescent="0.25">
      <c r="B25" s="761" t="s">
        <v>1481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84">
        <v>12000</v>
      </c>
      <c r="H25" s="285">
        <v>0</v>
      </c>
      <c r="I25" s="284">
        <v>12000</v>
      </c>
      <c r="J25" s="273">
        <v>0</v>
      </c>
      <c r="K25" s="273">
        <v>0</v>
      </c>
      <c r="L25" s="273">
        <v>0</v>
      </c>
      <c r="M25" s="273">
        <v>0</v>
      </c>
      <c r="N25" s="273">
        <v>0</v>
      </c>
      <c r="O25" s="284">
        <v>12000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12000</v>
      </c>
      <c r="H26" s="285">
        <v>0</v>
      </c>
      <c r="I26" s="284">
        <v>12000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12000</v>
      </c>
    </row>
    <row r="27" spans="2:15" ht="28.5" customHeight="1" x14ac:dyDescent="0.25">
      <c r="B27" s="761" t="s">
        <v>1497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12000</v>
      </c>
      <c r="H27" s="285">
        <v>0</v>
      </c>
      <c r="I27" s="284">
        <v>12000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12000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12000</v>
      </c>
      <c r="H28" s="285">
        <v>0</v>
      </c>
      <c r="I28" s="284">
        <v>12000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12000</v>
      </c>
    </row>
    <row r="29" spans="2:15" ht="28.5" customHeight="1" x14ac:dyDescent="0.25">
      <c r="B29" s="761" t="s">
        <v>1046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12000</v>
      </c>
      <c r="H29" s="285">
        <v>0</v>
      </c>
      <c r="I29" s="284">
        <v>12000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12000</v>
      </c>
    </row>
    <row r="30" spans="2:15" ht="28.5" customHeight="1" x14ac:dyDescent="0.25">
      <c r="B30" s="761" t="s">
        <v>1246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12000</v>
      </c>
      <c r="H30" s="285">
        <v>0</v>
      </c>
      <c r="I30" s="284">
        <v>12000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12000</v>
      </c>
    </row>
    <row r="31" spans="2:15" ht="28.5" customHeight="1" x14ac:dyDescent="0.25">
      <c r="B31" s="761" t="s">
        <v>1247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12000</v>
      </c>
      <c r="H31" s="285">
        <v>0</v>
      </c>
      <c r="I31" s="284">
        <v>12000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12000</v>
      </c>
    </row>
    <row r="32" spans="2:15" ht="28.5" customHeight="1" x14ac:dyDescent="0.25">
      <c r="B32" s="761" t="s">
        <v>1448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12000</v>
      </c>
      <c r="H32" s="285">
        <v>0</v>
      </c>
      <c r="I32" s="284">
        <v>12000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12000</v>
      </c>
    </row>
    <row r="33" spans="2:15" ht="24.75" customHeight="1" x14ac:dyDescent="0.25">
      <c r="B33" s="724"/>
      <c r="C33" s="602"/>
      <c r="D33" s="725">
        <v>18</v>
      </c>
      <c r="E33" s="286"/>
      <c r="F33" s="283"/>
      <c r="G33" s="273">
        <f t="shared" ref="G33:M33" si="1">SUM(G15:G32)</f>
        <v>266000</v>
      </c>
      <c r="H33" s="285">
        <v>0</v>
      </c>
      <c r="I33" s="273">
        <f t="shared" si="1"/>
        <v>266000</v>
      </c>
      <c r="J33" s="273">
        <f t="shared" si="1"/>
        <v>0</v>
      </c>
      <c r="K33" s="273">
        <f t="shared" si="1"/>
        <v>4195.88</v>
      </c>
      <c r="L33" s="273">
        <f t="shared" si="1"/>
        <v>0</v>
      </c>
      <c r="M33" s="273">
        <f t="shared" si="1"/>
        <v>0</v>
      </c>
      <c r="N33" s="284">
        <f t="shared" si="0"/>
        <v>4195.88</v>
      </c>
      <c r="O33" s="273">
        <f>+I33-N33</f>
        <v>261804.12</v>
      </c>
    </row>
    <row r="34" spans="2:15" ht="27.75" customHeight="1" x14ac:dyDescent="0.25">
      <c r="B34" s="1048" t="s">
        <v>865</v>
      </c>
      <c r="C34" s="1048"/>
      <c r="D34" s="1049">
        <v>18</v>
      </c>
      <c r="E34" s="1049"/>
      <c r="F34" s="1049"/>
      <c r="G34" s="1050">
        <f>+G33</f>
        <v>266000</v>
      </c>
      <c r="H34" s="1050">
        <f t="shared" ref="H34:O34" si="2">+H33</f>
        <v>0</v>
      </c>
      <c r="I34" s="1050">
        <f t="shared" si="2"/>
        <v>266000</v>
      </c>
      <c r="J34" s="1050">
        <f t="shared" si="2"/>
        <v>0</v>
      </c>
      <c r="K34" s="1050">
        <f t="shared" si="2"/>
        <v>4195.88</v>
      </c>
      <c r="L34" s="1050">
        <f t="shared" si="2"/>
        <v>0</v>
      </c>
      <c r="M34" s="1050">
        <f t="shared" si="2"/>
        <v>0</v>
      </c>
      <c r="N34" s="1050">
        <f t="shared" si="2"/>
        <v>4195.88</v>
      </c>
      <c r="O34" s="1050">
        <f t="shared" si="2"/>
        <v>261804.12</v>
      </c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7.2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hidden="1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6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5.7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542"/>
      <c r="C48" s="542"/>
      <c r="D48" s="542"/>
      <c r="E48" s="753"/>
      <c r="F48" s="753"/>
      <c r="G48" s="754"/>
      <c r="H48" s="755"/>
      <c r="I48" s="674"/>
      <c r="J48" s="674"/>
      <c r="K48" s="674"/>
      <c r="L48" s="674"/>
      <c r="M48" s="674"/>
      <c r="N48" s="674"/>
      <c r="O48" s="756"/>
    </row>
    <row r="49" spans="2:15" s="259" customFormat="1" ht="19.5" customHeight="1" x14ac:dyDescent="0.25">
      <c r="B49" s="1690" t="s">
        <v>1269</v>
      </c>
      <c r="C49" s="1690"/>
      <c r="D49" s="1690"/>
      <c r="E49" s="753"/>
      <c r="F49" s="753"/>
      <c r="G49" s="754"/>
      <c r="H49" s="755"/>
      <c r="J49" s="1691" t="s">
        <v>852</v>
      </c>
      <c r="K49" s="1691"/>
      <c r="L49" s="1691"/>
      <c r="M49" s="1691"/>
      <c r="N49" s="1691"/>
      <c r="O49" s="1691"/>
    </row>
    <row r="50" spans="2:15" s="259" customFormat="1" ht="19.5" customHeight="1" x14ac:dyDescent="0.25">
      <c r="B50" s="1628" t="s">
        <v>1270</v>
      </c>
      <c r="C50" s="1628"/>
      <c r="D50" s="1628"/>
      <c r="E50" s="753"/>
      <c r="F50" s="753"/>
      <c r="G50" s="754"/>
      <c r="H50" s="755"/>
      <c r="J50" s="1692" t="s">
        <v>1505</v>
      </c>
      <c r="K50" s="1692"/>
      <c r="L50" s="1692"/>
      <c r="M50" s="1692"/>
      <c r="N50" s="1692"/>
      <c r="O50" s="1692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51.7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x14ac:dyDescent="0.25">
      <c r="E59" s="543"/>
      <c r="F59" s="543"/>
      <c r="G59" s="544"/>
      <c r="H59" s="545"/>
      <c r="O59" s="544"/>
    </row>
    <row r="60" spans="2:15" x14ac:dyDescent="0.25">
      <c r="E60" s="538"/>
      <c r="F60" s="537"/>
      <c r="G60" s="537"/>
      <c r="H60" s="537"/>
      <c r="O60" s="539"/>
    </row>
    <row r="61" spans="2:15" x14ac:dyDescent="0.25">
      <c r="E61" s="537"/>
      <c r="F61" s="537"/>
      <c r="G61" s="537"/>
      <c r="H61" s="540"/>
      <c r="O61" s="537"/>
    </row>
    <row r="62" spans="2:15" x14ac:dyDescent="0.25">
      <c r="E62" s="547"/>
      <c r="F62" s="546"/>
      <c r="G62" s="541"/>
      <c r="H62" s="540"/>
      <c r="I62" s="537"/>
      <c r="J62" s="1629"/>
      <c r="K62" s="1629"/>
      <c r="L62" s="1629"/>
      <c r="M62" s="1629"/>
      <c r="N62" s="1629"/>
      <c r="O62" s="1629"/>
    </row>
    <row r="63" spans="2:15" ht="15.75" x14ac:dyDescent="0.25">
      <c r="B63" s="267"/>
      <c r="C63" s="267"/>
      <c r="D63" s="267"/>
      <c r="E63" s="268"/>
      <c r="F63" s="268"/>
      <c r="G63" s="269"/>
      <c r="H63" s="1549"/>
      <c r="I63" s="1549"/>
      <c r="J63" s="1549"/>
      <c r="K63" s="1549"/>
      <c r="L63" s="1549"/>
      <c r="M63" s="271"/>
      <c r="N63" s="271"/>
      <c r="O63" s="259"/>
    </row>
    <row r="64" spans="2:15" x14ac:dyDescent="0.25"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  <row r="65" spans="2:15" x14ac:dyDescent="0.25">
      <c r="B65" s="259"/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2:O62"/>
    <mergeCell ref="H63:L63"/>
    <mergeCell ref="N13:N14"/>
    <mergeCell ref="O13:O14"/>
    <mergeCell ref="B49:D49"/>
    <mergeCell ref="J49:O49"/>
    <mergeCell ref="B50:D50"/>
    <mergeCell ref="J50:O50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1.1417322834645669" right="0.39370078740157483" top="0.09" bottom="0.15748031496062992" header="7.874015748031496E-2" footer="0.31496062992125984"/>
  <pageSetup paperSize="3" scale="70" orientation="landscape" r:id="rId1"/>
  <drawing r:id="rId2"/>
</worksheet>
</file>

<file path=xl/worksheets/sheet2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D1C02E-28ED-44F6-BE75-EEE43D0E3390}">
  <dimension ref="B5:N91"/>
  <sheetViews>
    <sheetView showGridLines="0" view="pageBreakPreview" topLeftCell="A13" zoomScaleNormal="136" zoomScaleSheetLayoutView="100" workbookViewId="0">
      <selection activeCell="B7" sqref="B7:M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7.285156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93" t="s">
        <v>0</v>
      </c>
      <c r="C5" s="1693"/>
      <c r="D5" s="1693"/>
      <c r="E5" s="1693"/>
      <c r="F5" s="1693"/>
      <c r="G5" s="1693"/>
      <c r="H5" s="1693"/>
      <c r="I5" s="1693"/>
      <c r="J5" s="1693"/>
      <c r="K5" s="1693"/>
      <c r="L5" s="1693"/>
      <c r="M5" s="1693"/>
    </row>
    <row r="6" spans="2:14" ht="13.5" customHeight="1" x14ac:dyDescent="0.25">
      <c r="B6" s="1693" t="s">
        <v>1</v>
      </c>
      <c r="C6" s="1693"/>
      <c r="D6" s="1693"/>
      <c r="E6" s="1693"/>
      <c r="F6" s="1693"/>
      <c r="G6" s="1693"/>
      <c r="H6" s="1693"/>
      <c r="I6" s="1693"/>
      <c r="J6" s="1693"/>
      <c r="K6" s="1693"/>
      <c r="L6" s="1693"/>
      <c r="M6" s="1693"/>
    </row>
    <row r="7" spans="2:14" ht="12" customHeight="1" x14ac:dyDescent="0.25">
      <c r="B7" s="1693" t="s">
        <v>3</v>
      </c>
      <c r="C7" s="1693"/>
      <c r="D7" s="1693"/>
      <c r="E7" s="1693"/>
      <c r="F7" s="1693"/>
      <c r="G7" s="1693"/>
      <c r="H7" s="1693"/>
      <c r="I7" s="1693"/>
      <c r="J7" s="1693"/>
      <c r="K7" s="1693"/>
      <c r="L7" s="1693"/>
      <c r="M7" s="1693"/>
    </row>
    <row r="8" spans="2:14" x14ac:dyDescent="0.25">
      <c r="B8" s="1693" t="s">
        <v>1486</v>
      </c>
      <c r="C8" s="1693"/>
      <c r="D8" s="1693"/>
      <c r="E8" s="1693"/>
      <c r="F8" s="1693"/>
      <c r="G8" s="1693"/>
      <c r="H8" s="1693"/>
      <c r="I8" s="1693"/>
      <c r="J8" s="1693"/>
      <c r="K8" s="1693"/>
      <c r="L8" s="1693"/>
      <c r="M8" s="1693"/>
    </row>
    <row r="9" spans="2:14" x14ac:dyDescent="0.25">
      <c r="B9" s="1694" t="s">
        <v>886</v>
      </c>
      <c r="C9" s="1694"/>
      <c r="D9" s="1694"/>
      <c r="E9" s="1694"/>
      <c r="F9" s="1694"/>
      <c r="G9" s="1694"/>
      <c r="H9" s="1694"/>
      <c r="I9" s="1694"/>
      <c r="J9" s="1694"/>
      <c r="K9" s="1694"/>
      <c r="L9" s="1694"/>
      <c r="M9" s="1694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726" t="s">
        <v>7</v>
      </c>
      <c r="C11" s="1726" t="s">
        <v>802</v>
      </c>
      <c r="D11" s="1728" t="s">
        <v>9</v>
      </c>
      <c r="E11" s="1046" t="s">
        <v>12</v>
      </c>
      <c r="F11" s="1730" t="s">
        <v>13</v>
      </c>
      <c r="G11" s="1724" t="s">
        <v>14</v>
      </c>
      <c r="H11" s="1724" t="s">
        <v>15</v>
      </c>
      <c r="I11" s="1724" t="s">
        <v>16</v>
      </c>
      <c r="J11" s="1724" t="s">
        <v>17</v>
      </c>
      <c r="K11" s="1724" t="s">
        <v>18</v>
      </c>
      <c r="L11" s="1724" t="s">
        <v>19</v>
      </c>
      <c r="M11" s="1724" t="s">
        <v>20</v>
      </c>
    </row>
    <row r="12" spans="2:14" ht="16.5" customHeight="1" x14ac:dyDescent="0.25">
      <c r="B12" s="1727"/>
      <c r="C12" s="1727"/>
      <c r="D12" s="1729"/>
      <c r="E12" s="1046" t="s">
        <v>21</v>
      </c>
      <c r="F12" s="1731"/>
      <c r="G12" s="1725"/>
      <c r="H12" s="1725"/>
      <c r="I12" s="1725"/>
      <c r="J12" s="1725"/>
      <c r="K12" s="1725"/>
      <c r="L12" s="1725"/>
      <c r="M12" s="1725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ht="12" customHeight="1" x14ac:dyDescent="0.25">
      <c r="B62" s="897"/>
      <c r="C62" s="897"/>
      <c r="D62" s="941"/>
      <c r="E62" s="906"/>
      <c r="F62" s="907"/>
      <c r="G62" s="906"/>
      <c r="H62" s="900"/>
      <c r="I62" s="900"/>
      <c r="J62" s="900"/>
      <c r="K62" s="899"/>
      <c r="L62" s="898"/>
      <c r="M62" s="898"/>
    </row>
    <row r="63" spans="2:13" s="2" customFormat="1" ht="15.75" customHeight="1" x14ac:dyDescent="0.2">
      <c r="B63" s="1139" t="s">
        <v>865</v>
      </c>
      <c r="C63" s="1139"/>
      <c r="D63" s="1129">
        <f>+D60+D56+D52+D47+D43+D35+D27+D23+D39+D31+D19+D15</f>
        <v>13</v>
      </c>
      <c r="E63" s="1140">
        <f>+E60+E56+E52+E47+E43+E39+E35+E31+E27+E23+E19+E15</f>
        <v>257000</v>
      </c>
      <c r="F63" s="1045">
        <v>0</v>
      </c>
      <c r="G63" s="1140">
        <f t="shared" ref="G63:M63" si="11">+G60+G56+G52+G47+G43+G39+G35+G31+G27+G23+G19+G15</f>
        <v>257000</v>
      </c>
      <c r="H63" s="1140">
        <f t="shared" si="11"/>
        <v>7375.9000000000015</v>
      </c>
      <c r="I63" s="1140">
        <f t="shared" si="11"/>
        <v>45992.92</v>
      </c>
      <c r="J63" s="1140">
        <f t="shared" si="11"/>
        <v>7812.8000000000011</v>
      </c>
      <c r="K63" s="1045">
        <v>0</v>
      </c>
      <c r="L63" s="1140">
        <f t="shared" si="11"/>
        <v>61181.62</v>
      </c>
      <c r="M63" s="1140">
        <f t="shared" si="11"/>
        <v>195818.38000000003</v>
      </c>
    </row>
    <row r="67" spans="2:12" hidden="1" x14ac:dyDescent="0.25"/>
    <row r="68" spans="2:12" hidden="1" x14ac:dyDescent="0.25"/>
    <row r="70" spans="2:12" ht="14.25" customHeight="1" x14ac:dyDescent="0.25"/>
    <row r="71" spans="2:12" hidden="1" x14ac:dyDescent="0.25"/>
    <row r="75" spans="2:12" ht="0.75" customHeight="1" x14ac:dyDescent="0.25"/>
    <row r="77" spans="2:12" ht="38.25" customHeight="1" x14ac:dyDescent="0.25">
      <c r="B77" s="916"/>
      <c r="C77" s="916"/>
      <c r="D77" s="917"/>
      <c r="E77" s="918"/>
      <c r="F77" s="919"/>
      <c r="G77" s="1696" t="s">
        <v>1372</v>
      </c>
      <c r="H77" s="1696"/>
      <c r="I77" s="1696"/>
      <c r="J77" s="1696"/>
      <c r="K77" s="1696"/>
      <c r="L77" s="1696"/>
    </row>
    <row r="78" spans="2:12" x14ac:dyDescent="0.25">
      <c r="B78" s="1083" t="s">
        <v>1238</v>
      </c>
      <c r="C78" s="1083"/>
      <c r="D78" s="921"/>
      <c r="E78" s="915"/>
      <c r="F78" s="915"/>
      <c r="G78" s="1702" t="s">
        <v>1222</v>
      </c>
      <c r="H78" s="1702"/>
      <c r="I78" s="1702"/>
      <c r="J78" s="1702"/>
      <c r="K78" s="1702"/>
      <c r="L78" s="1702"/>
    </row>
    <row r="79" spans="2:12" x14ac:dyDescent="0.25">
      <c r="B79" s="916" t="s">
        <v>1239</v>
      </c>
      <c r="C79" s="916"/>
      <c r="D79" s="915"/>
      <c r="E79" s="915"/>
      <c r="F79" s="923"/>
      <c r="G79" s="1701" t="s">
        <v>1224</v>
      </c>
      <c r="H79" s="1701"/>
      <c r="I79" s="1701"/>
      <c r="J79" s="1701"/>
      <c r="K79" s="1701"/>
      <c r="L79" s="1701"/>
    </row>
    <row r="83" spans="5:13" ht="30" customHeight="1" x14ac:dyDescent="0.25"/>
    <row r="89" spans="5:13" x14ac:dyDescent="0.25">
      <c r="E89" s="924"/>
      <c r="F89" s="923"/>
      <c r="G89" s="915"/>
      <c r="H89" s="1698"/>
      <c r="I89" s="1698"/>
      <c r="J89" s="1698"/>
      <c r="K89" s="1698"/>
      <c r="L89" s="1698"/>
      <c r="M89" s="1698"/>
    </row>
    <row r="90" spans="5:13" x14ac:dyDescent="0.25">
      <c r="E90" s="925"/>
      <c r="F90" s="1694"/>
      <c r="G90" s="1694"/>
      <c r="H90" s="1694"/>
      <c r="I90" s="1694"/>
      <c r="J90" s="1694"/>
      <c r="K90" s="926"/>
      <c r="L90" s="926"/>
      <c r="M90" s="886"/>
    </row>
    <row r="91" spans="5:13" x14ac:dyDescent="0.25">
      <c r="E91" s="927" t="s">
        <v>641</v>
      </c>
      <c r="F91" s="927"/>
      <c r="G91" s="927"/>
      <c r="H91" s="927"/>
      <c r="I91" s="927"/>
      <c r="J91" s="927"/>
      <c r="K91" s="927"/>
      <c r="L91" s="927"/>
      <c r="M91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7:L77"/>
    <mergeCell ref="G78:L78"/>
    <mergeCell ref="G79:L79"/>
    <mergeCell ref="H89:M89"/>
    <mergeCell ref="F90:J90"/>
  </mergeCells>
  <pageMargins left="1.299212598425197" right="7.874015748031496E-2" top="0.15748031496062992" bottom="0.27559055118110237" header="0" footer="0.31496062992125984"/>
  <pageSetup scale="52" orientation="landscape" r:id="rId1"/>
  <drawing r:id="rId2"/>
</worksheet>
</file>

<file path=xl/worksheets/sheet2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203968-5DC1-40EC-A2F8-F2B0DCEB2537}">
  <dimension ref="B5:M47"/>
  <sheetViews>
    <sheetView showGridLines="0" topLeftCell="B21" zoomScale="118" zoomScaleNormal="118" workbookViewId="0">
      <selection activeCell="I48" sqref="I4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556" t="s">
        <v>0</v>
      </c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</row>
    <row r="6" spans="2:13" x14ac:dyDescent="0.25">
      <c r="B6" s="1556" t="s">
        <v>1</v>
      </c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2:13" x14ac:dyDescent="0.25">
      <c r="B7" s="1556" t="s">
        <v>3</v>
      </c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2:13" x14ac:dyDescent="0.25">
      <c r="B8" s="1556" t="s">
        <v>1487</v>
      </c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2:13" x14ac:dyDescent="0.25">
      <c r="B9" s="1557" t="s">
        <v>1197</v>
      </c>
      <c r="C9" s="1557"/>
      <c r="D9" s="1557"/>
      <c r="E9" s="1557"/>
      <c r="F9" s="1557"/>
      <c r="G9" s="1557"/>
      <c r="H9" s="1557"/>
      <c r="I9" s="1557"/>
      <c r="J9" s="1557"/>
      <c r="K9" s="1557"/>
      <c r="L9" s="1557"/>
      <c r="M9" s="1557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712" t="s">
        <v>7</v>
      </c>
      <c r="C11" s="1709" t="s">
        <v>802</v>
      </c>
      <c r="D11" s="1709" t="s">
        <v>9</v>
      </c>
      <c r="E11" s="1067" t="s">
        <v>12</v>
      </c>
      <c r="F11" s="1721" t="s">
        <v>13</v>
      </c>
      <c r="G11" s="1720" t="s">
        <v>14</v>
      </c>
      <c r="H11" s="1720" t="s">
        <v>15</v>
      </c>
      <c r="I11" s="1720" t="s">
        <v>16</v>
      </c>
      <c r="J11" s="1720" t="s">
        <v>17</v>
      </c>
      <c r="K11" s="1720" t="s">
        <v>18</v>
      </c>
      <c r="L11" s="1720" t="s">
        <v>19</v>
      </c>
      <c r="M11" s="1720" t="s">
        <v>20</v>
      </c>
    </row>
    <row r="12" spans="2:13" ht="15" customHeight="1" x14ac:dyDescent="0.25">
      <c r="B12" s="1712"/>
      <c r="C12" s="1709"/>
      <c r="D12" s="1709"/>
      <c r="E12" s="1067" t="s">
        <v>21</v>
      </c>
      <c r="F12" s="1721"/>
      <c r="G12" s="1720"/>
      <c r="H12" s="1720"/>
      <c r="I12" s="1720"/>
      <c r="J12" s="1720"/>
      <c r="K12" s="1720"/>
      <c r="L12" s="1720"/>
      <c r="M12" s="1720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5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682" t="s">
        <v>1250</v>
      </c>
      <c r="H42" s="1682"/>
      <c r="I42" s="1682"/>
      <c r="J42" s="1682"/>
      <c r="K42" s="1682"/>
      <c r="L42" s="1682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627" t="s">
        <v>852</v>
      </c>
      <c r="H43" s="1627"/>
      <c r="I43" s="1627"/>
      <c r="J43" s="1627"/>
      <c r="K43" s="1627"/>
      <c r="L43" s="1627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628" t="s">
        <v>1506</v>
      </c>
      <c r="H44" s="1628"/>
      <c r="I44" s="1628"/>
      <c r="J44" s="1628"/>
      <c r="K44" s="1628"/>
      <c r="L44" s="1628"/>
      <c r="M44" s="537"/>
    </row>
    <row r="45" spans="2:13" x14ac:dyDescent="0.25">
      <c r="B45" s="546"/>
      <c r="C45" s="546"/>
      <c r="D45" s="547"/>
      <c r="E45" s="541"/>
      <c r="F45" s="540"/>
      <c r="G45" s="537"/>
      <c r="H45" s="1629"/>
      <c r="I45" s="1629"/>
      <c r="J45" s="1629"/>
      <c r="K45" s="1629"/>
      <c r="L45" s="1629"/>
      <c r="M45" s="1629"/>
    </row>
    <row r="46" spans="2:13" ht="15.75" x14ac:dyDescent="0.25">
      <c r="B46" s="267"/>
      <c r="C46" s="267"/>
      <c r="D46" s="268"/>
      <c r="E46" s="269"/>
      <c r="F46" s="1549"/>
      <c r="G46" s="1549"/>
      <c r="H46" s="1549"/>
      <c r="I46" s="1549"/>
      <c r="J46" s="1549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2:L42"/>
    <mergeCell ref="G43:L43"/>
    <mergeCell ref="G44:L44"/>
    <mergeCell ref="H45:M45"/>
    <mergeCell ref="F46:J46"/>
  </mergeCells>
  <pageMargins left="0.57999999999999996" right="0.12" top="0.74803149606299213" bottom="0.74803149606299213" header="0.31496062992125984" footer="0.31496062992125984"/>
  <pageSetup scale="54" orientation="landscape" r:id="rId1"/>
  <drawing r:id="rId2"/>
</worksheet>
</file>

<file path=xl/worksheets/sheet2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D6802-6BA9-40CB-B2B1-1E7E0061E7D5}">
  <dimension ref="B1:O49"/>
  <sheetViews>
    <sheetView topLeftCell="A13" zoomScaleNormal="100" workbookViewId="0">
      <selection activeCell="J37" sqref="J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551" t="s">
        <v>0</v>
      </c>
      <c r="C6" s="1551"/>
      <c r="D6" s="1551"/>
      <c r="E6" s="1551"/>
      <c r="F6" s="1551"/>
      <c r="G6" s="1551"/>
      <c r="H6" s="1551"/>
      <c r="I6" s="1551"/>
      <c r="J6" s="1551"/>
      <c r="K6" s="1551"/>
      <c r="L6" s="1551"/>
      <c r="M6" s="1551"/>
      <c r="N6" s="1551"/>
      <c r="O6" s="259"/>
    </row>
    <row r="7" spans="2:15" x14ac:dyDescent="0.25">
      <c r="B7" s="1551" t="s">
        <v>1</v>
      </c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  <c r="O7" s="259"/>
    </row>
    <row r="8" spans="2:15" x14ac:dyDescent="0.25">
      <c r="B8" s="1551" t="s">
        <v>3</v>
      </c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  <c r="O8" s="259"/>
    </row>
    <row r="9" spans="2:15" x14ac:dyDescent="0.25">
      <c r="B9" s="1551" t="s">
        <v>1488</v>
      </c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  <c r="O9" s="259"/>
    </row>
    <row r="10" spans="2:15" x14ac:dyDescent="0.25">
      <c r="B10" s="1637" t="s">
        <v>412</v>
      </c>
      <c r="C10" s="1637"/>
      <c r="D10" s="1637"/>
      <c r="E10" s="1637"/>
      <c r="F10" s="1637"/>
      <c r="G10" s="1637"/>
      <c r="H10" s="1637"/>
      <c r="I10" s="1637"/>
      <c r="J10" s="1637"/>
      <c r="K10" s="1637"/>
      <c r="L10" s="1637"/>
      <c r="M10" s="1637"/>
      <c r="N10" s="1637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712" t="s">
        <v>7</v>
      </c>
      <c r="C12" s="1709" t="s">
        <v>937</v>
      </c>
      <c r="D12" s="1709" t="s">
        <v>9</v>
      </c>
      <c r="E12" s="1067" t="s">
        <v>832</v>
      </c>
      <c r="F12" s="1721" t="s">
        <v>12</v>
      </c>
      <c r="G12" s="1720" t="s">
        <v>13</v>
      </c>
      <c r="H12" s="1720" t="s">
        <v>14</v>
      </c>
      <c r="I12" s="1720" t="s">
        <v>15</v>
      </c>
      <c r="J12" s="1720" t="s">
        <v>16</v>
      </c>
      <c r="K12" s="1720" t="s">
        <v>17</v>
      </c>
      <c r="L12" s="1720" t="s">
        <v>18</v>
      </c>
      <c r="M12" s="1720" t="s">
        <v>19</v>
      </c>
      <c r="N12" s="1712" t="s">
        <v>20</v>
      </c>
    </row>
    <row r="13" spans="2:15" x14ac:dyDescent="0.25">
      <c r="B13" s="1712"/>
      <c r="C13" s="1709"/>
      <c r="D13" s="1709"/>
      <c r="E13" s="1067" t="s">
        <v>21</v>
      </c>
      <c r="F13" s="1721" t="s">
        <v>21</v>
      </c>
      <c r="G13" s="1720"/>
      <c r="H13" s="1720"/>
      <c r="I13" s="1720"/>
      <c r="J13" s="1720"/>
      <c r="K13" s="1720"/>
      <c r="L13" s="1720"/>
      <c r="M13" s="1720"/>
      <c r="N13" s="1712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626" t="s">
        <v>1225</v>
      </c>
      <c r="J40" s="1626"/>
      <c r="K40" s="1626"/>
      <c r="L40" s="1626"/>
      <c r="M40" s="1626"/>
      <c r="N40" s="1626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627" t="s">
        <v>852</v>
      </c>
      <c r="J41" s="1627"/>
      <c r="K41" s="1627"/>
      <c r="L41" s="1627"/>
      <c r="M41" s="1627"/>
      <c r="N41" s="1627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628" t="s">
        <v>1445</v>
      </c>
      <c r="J42" s="1628"/>
      <c r="K42" s="1628"/>
      <c r="L42" s="1628"/>
      <c r="M42" s="1628"/>
      <c r="N42" s="1628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629"/>
      <c r="K43" s="1629"/>
      <c r="L43" s="1629"/>
      <c r="M43" s="1629"/>
      <c r="N43" s="1629"/>
      <c r="O43" s="1629"/>
    </row>
    <row r="44" spans="2:15" ht="15.75" x14ac:dyDescent="0.25">
      <c r="B44" s="267"/>
      <c r="C44" s="267"/>
      <c r="D44" s="267"/>
      <c r="E44" s="268"/>
      <c r="F44" s="268"/>
      <c r="G44" s="269"/>
      <c r="H44" s="1549"/>
      <c r="I44" s="1549"/>
      <c r="J44" s="1549"/>
      <c r="K44" s="1549"/>
      <c r="L44" s="1549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4:L44"/>
    <mergeCell ref="H12:H13"/>
    <mergeCell ref="I12:I13"/>
    <mergeCell ref="J12:J13"/>
    <mergeCell ref="K12:K13"/>
    <mergeCell ref="L12:L13"/>
    <mergeCell ref="N12:N13"/>
    <mergeCell ref="I40:N40"/>
    <mergeCell ref="I41:N41"/>
    <mergeCell ref="I42:N42"/>
    <mergeCell ref="J43:O43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55CAA8-8724-4693-9F4A-445B9C9B41D1}">
  <sheetPr>
    <pageSetUpPr fitToPage="1"/>
  </sheetPr>
  <dimension ref="B6:M36"/>
  <sheetViews>
    <sheetView showGridLines="0" topLeftCell="A13" zoomScale="118" zoomScaleNormal="118" workbookViewId="0">
      <selection activeCell="E22" sqref="E22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56" t="s">
        <v>0</v>
      </c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2:13" x14ac:dyDescent="0.25">
      <c r="B7" s="1556" t="s">
        <v>1</v>
      </c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2:13" x14ac:dyDescent="0.25">
      <c r="B8" s="1556" t="s">
        <v>3</v>
      </c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2:13" x14ac:dyDescent="0.25">
      <c r="B9" s="1556" t="s">
        <v>1489</v>
      </c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2:13" x14ac:dyDescent="0.25">
      <c r="B10" s="1557" t="s">
        <v>1197</v>
      </c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  <c r="M10" s="1557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712" t="s">
        <v>7</v>
      </c>
      <c r="C12" s="1709" t="s">
        <v>802</v>
      </c>
      <c r="D12" s="1709" t="s">
        <v>10</v>
      </c>
      <c r="E12" s="1067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2:13" ht="15" customHeight="1" x14ac:dyDescent="0.25">
      <c r="B13" s="1712"/>
      <c r="C13" s="1709"/>
      <c r="D13" s="1709"/>
      <c r="E13" s="1067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82" t="s">
        <v>1255</v>
      </c>
      <c r="H31" s="1682"/>
      <c r="I31" s="1682"/>
      <c r="J31" s="1682"/>
      <c r="K31" s="1682"/>
      <c r="L31" s="1682"/>
      <c r="M31" s="544"/>
    </row>
    <row r="32" spans="2:13" x14ac:dyDescent="0.25">
      <c r="B32" s="1082" t="s">
        <v>1507</v>
      </c>
      <c r="C32" s="1082"/>
      <c r="D32" s="538"/>
      <c r="E32" s="537"/>
      <c r="F32" s="537"/>
      <c r="G32" s="1627" t="s">
        <v>852</v>
      </c>
      <c r="H32" s="1627"/>
      <c r="I32" s="1627"/>
      <c r="J32" s="1627"/>
      <c r="K32" s="1627"/>
      <c r="L32" s="1627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628" t="s">
        <v>1257</v>
      </c>
      <c r="H33" s="1628"/>
      <c r="I33" s="1628"/>
      <c r="J33" s="1628"/>
      <c r="K33" s="1628"/>
      <c r="L33" s="1628"/>
      <c r="M33" s="537"/>
    </row>
    <row r="34" spans="2:13" x14ac:dyDescent="0.25">
      <c r="B34" s="546"/>
      <c r="C34" s="546"/>
      <c r="D34" s="547"/>
      <c r="E34" s="541"/>
      <c r="F34" s="540"/>
      <c r="G34" s="537"/>
      <c r="H34" s="1629"/>
      <c r="I34" s="1629"/>
      <c r="J34" s="1629"/>
      <c r="K34" s="1629"/>
      <c r="L34" s="1629"/>
      <c r="M34" s="1629"/>
    </row>
    <row r="35" spans="2:13" ht="15.75" x14ac:dyDescent="0.25">
      <c r="B35" s="267"/>
      <c r="C35" s="267"/>
      <c r="D35" s="268"/>
      <c r="E35" s="269"/>
      <c r="F35" s="1549"/>
      <c r="G35" s="1549"/>
      <c r="H35" s="1549"/>
      <c r="I35" s="1549"/>
      <c r="J35" s="1549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68" orientation="landscape" r:id="rId1"/>
  <drawing r:id="rId2"/>
</worksheet>
</file>

<file path=xl/worksheets/sheet2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F90B76-D61B-44C1-AB86-E90CDF802157}">
  <dimension ref="A1:N269"/>
  <sheetViews>
    <sheetView showGridLines="0" topLeftCell="A118" zoomScale="80" zoomScaleNormal="80" workbookViewId="0">
      <selection activeCell="B248" sqref="B248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685" t="s">
        <v>1502</v>
      </c>
      <c r="B6" s="1685"/>
      <c r="C6" s="1685"/>
      <c r="D6" s="1685"/>
      <c r="E6" s="1685"/>
      <c r="F6" s="1685"/>
      <c r="G6" s="1685"/>
      <c r="H6" s="1685"/>
      <c r="I6" s="1685"/>
      <c r="J6" s="1685"/>
      <c r="K6" s="1685"/>
      <c r="L6" s="1685"/>
      <c r="M6" s="1685"/>
    </row>
    <row r="7" spans="1:14" ht="0.75" customHeight="1" x14ac:dyDescent="0.25">
      <c r="A7" s="1685"/>
      <c r="B7" s="1685"/>
      <c r="C7" s="1685"/>
      <c r="D7" s="1685"/>
      <c r="E7" s="1685"/>
      <c r="F7" s="1685"/>
      <c r="G7" s="1685"/>
      <c r="H7" s="1685"/>
      <c r="I7" s="1685"/>
      <c r="J7" s="1685"/>
      <c r="K7" s="1685"/>
      <c r="L7" s="1685"/>
      <c r="M7" s="1685"/>
      <c r="N7" s="1685"/>
    </row>
    <row r="8" spans="1:14" ht="15.75" x14ac:dyDescent="0.25">
      <c r="A8" s="1685" t="s">
        <v>1460</v>
      </c>
      <c r="B8" s="1685"/>
      <c r="C8" s="1685"/>
      <c r="D8" s="1685"/>
      <c r="E8" s="1685"/>
      <c r="F8" s="1685"/>
      <c r="G8" s="1685"/>
      <c r="H8" s="1685"/>
      <c r="I8" s="1685"/>
      <c r="J8" s="1685"/>
      <c r="K8" s="1685"/>
      <c r="L8" s="1685"/>
      <c r="M8" s="1685"/>
    </row>
    <row r="9" spans="1:14" ht="15.75" x14ac:dyDescent="0.25">
      <c r="A9" s="1685" t="s">
        <v>1508</v>
      </c>
      <c r="B9" s="1685"/>
      <c r="C9" s="1685"/>
      <c r="D9" s="1685"/>
      <c r="E9" s="1685"/>
      <c r="F9" s="1685"/>
      <c r="G9" s="1685"/>
      <c r="H9" s="1685"/>
      <c r="I9" s="1685"/>
      <c r="J9" s="1685"/>
      <c r="K9" s="1685"/>
      <c r="L9" s="1685"/>
      <c r="M9" s="1685"/>
    </row>
    <row r="10" spans="1:14" ht="15.75" x14ac:dyDescent="0.25">
      <c r="A10" s="1706" t="s">
        <v>404</v>
      </c>
      <c r="B10" s="1706"/>
      <c r="C10" s="1706"/>
      <c r="D10" s="1706"/>
      <c r="E10" s="1706"/>
      <c r="F10" s="1706"/>
      <c r="G10" s="1706"/>
      <c r="H10" s="1706"/>
      <c r="I10" s="1706"/>
      <c r="J10" s="1706"/>
      <c r="K10" s="1706"/>
      <c r="L10" s="1706"/>
      <c r="M10" s="170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707" t="s">
        <v>7</v>
      </c>
      <c r="B12" s="1707" t="s">
        <v>802</v>
      </c>
      <c r="C12" s="1707" t="s">
        <v>9</v>
      </c>
      <c r="D12" s="1707" t="s">
        <v>11</v>
      </c>
      <c r="E12" s="1057" t="s">
        <v>12</v>
      </c>
      <c r="F12" s="1704" t="s">
        <v>13</v>
      </c>
      <c r="G12" s="1705" t="s">
        <v>14</v>
      </c>
      <c r="H12" s="1705" t="s">
        <v>15</v>
      </c>
      <c r="I12" s="1723" t="s">
        <v>16</v>
      </c>
      <c r="J12" s="1705" t="s">
        <v>17</v>
      </c>
      <c r="K12" s="1705" t="s">
        <v>18</v>
      </c>
      <c r="L12" s="1723" t="s">
        <v>19</v>
      </c>
      <c r="M12" s="1705" t="s">
        <v>20</v>
      </c>
    </row>
    <row r="13" spans="1:14" ht="15.75" x14ac:dyDescent="0.25">
      <c r="A13" s="1707"/>
      <c r="B13" s="1707"/>
      <c r="C13" s="1707"/>
      <c r="D13" s="1707"/>
      <c r="E13" s="1057" t="s">
        <v>21</v>
      </c>
      <c r="F13" s="1704"/>
      <c r="G13" s="1705"/>
      <c r="H13" s="1705"/>
      <c r="I13" s="1723"/>
      <c r="J13" s="1705"/>
      <c r="K13" s="1705"/>
      <c r="L13" s="1723"/>
      <c r="M13" s="1705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M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 t="shared" si="0"/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18742.79</v>
      </c>
      <c r="L25" s="963">
        <f t="shared" si="2"/>
        <v>40671.199999999997</v>
      </c>
      <c r="M25" s="963">
        <f t="shared" si="2"/>
        <v>135328.79999999999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8" si="4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4"/>
        <v>4990.6100000000006</v>
      </c>
      <c r="M33" s="953">
        <f t="shared" ref="M33:M38" si="5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4"/>
        <v>3632.4700000000003</v>
      </c>
      <c r="M34" s="953">
        <f t="shared" si="5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4"/>
        <v>3532.4700000000003</v>
      </c>
      <c r="M35" s="953">
        <f t="shared" si="5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4"/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6">SUM(G32:G38)</f>
        <v>457500</v>
      </c>
      <c r="H39" s="963">
        <f t="shared" si="6"/>
        <v>13130.250000000002</v>
      </c>
      <c r="I39" s="963">
        <f t="shared" si="6"/>
        <v>37798.360000000008</v>
      </c>
      <c r="J39" s="963">
        <f t="shared" si="6"/>
        <v>13907.999999999998</v>
      </c>
      <c r="K39" s="963">
        <f t="shared" si="6"/>
        <v>7136.84</v>
      </c>
      <c r="L39" s="963">
        <f t="shared" si="6"/>
        <v>71973.450000000012</v>
      </c>
      <c r="M39" s="963">
        <f t="shared" si="6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7">SUM(H42)</f>
        <v>2152.5</v>
      </c>
      <c r="I43" s="963">
        <f t="shared" si="7"/>
        <v>6309.38</v>
      </c>
      <c r="J43" s="965">
        <f t="shared" si="7"/>
        <v>2280</v>
      </c>
      <c r="K43" s="963">
        <f t="shared" si="7"/>
        <v>25</v>
      </c>
      <c r="L43" s="963">
        <f t="shared" si="7"/>
        <v>10766.880000000001</v>
      </c>
      <c r="M43" s="965">
        <f t="shared" si="7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8">SUM(F46:F47)</f>
        <v>0</v>
      </c>
      <c r="G48" s="965">
        <f t="shared" si="8"/>
        <v>61500</v>
      </c>
      <c r="H48" s="965">
        <f t="shared" si="8"/>
        <v>1765.05</v>
      </c>
      <c r="I48" s="1071">
        <f t="shared" si="8"/>
        <v>0</v>
      </c>
      <c r="J48" s="965">
        <f t="shared" si="8"/>
        <v>1869.6</v>
      </c>
      <c r="K48" s="963">
        <f t="shared" si="8"/>
        <v>1765.46</v>
      </c>
      <c r="L48" s="963">
        <f t="shared" si="8"/>
        <v>5400.1100000000006</v>
      </c>
      <c r="M48" s="965">
        <f t="shared" si="8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9">SUM(E51:E51)</f>
        <v>35000</v>
      </c>
      <c r="F52" s="964">
        <f t="shared" si="9"/>
        <v>0</v>
      </c>
      <c r="G52" s="965">
        <f t="shared" si="9"/>
        <v>35000</v>
      </c>
      <c r="H52" s="965">
        <f t="shared" si="9"/>
        <v>1004.5</v>
      </c>
      <c r="I52" s="1071">
        <f t="shared" si="9"/>
        <v>0</v>
      </c>
      <c r="J52" s="965">
        <f t="shared" si="9"/>
        <v>1064</v>
      </c>
      <c r="K52" s="963">
        <f t="shared" si="9"/>
        <v>25</v>
      </c>
      <c r="L52" s="963">
        <f t="shared" si="9"/>
        <v>2093.5</v>
      </c>
      <c r="M52" s="965">
        <f t="shared" si="9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 t="shared" ref="M56:M57" si="10"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v>2760.56</v>
      </c>
      <c r="M57" s="951">
        <f t="shared" si="10"/>
        <v>34739.440000000002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>SUM(E55:E57)</f>
        <v>118500</v>
      </c>
      <c r="F58" s="964">
        <f t="shared" ref="F58:M58" si="11">SUM(F55:F57)</f>
        <v>0</v>
      </c>
      <c r="G58" s="965">
        <f>SUM(G55:G57)</f>
        <v>118500</v>
      </c>
      <c r="H58" s="965">
        <f>SUM(H55:H57)</f>
        <v>3400.95</v>
      </c>
      <c r="I58" s="965">
        <f>SUM(I55:I57)</f>
        <v>1116.24</v>
      </c>
      <c r="J58" s="965">
        <f t="shared" si="11"/>
        <v>3602.4</v>
      </c>
      <c r="K58" s="963">
        <f>SUM(K55:K57)</f>
        <v>2346.6999999999998</v>
      </c>
      <c r="L58" s="963">
        <f>SUM(L55:L57)</f>
        <v>10395.789999999999</v>
      </c>
      <c r="M58" s="965">
        <f t="shared" si="11"/>
        <v>108104.21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2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2"/>
        <v>1898</v>
      </c>
      <c r="M63" s="953">
        <f t="shared" ref="M63:M72" si="13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2"/>
        <v>6042.4</v>
      </c>
      <c r="M64" s="953">
        <f t="shared" si="13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2"/>
        <v>1798</v>
      </c>
      <c r="M65" s="953">
        <f t="shared" si="13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2"/>
        <v>4341.3999999999996</v>
      </c>
      <c r="M67" s="953">
        <f t="shared" si="13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 t="shared" ref="F73" si="14">SUM(F70:F72)</f>
        <v>0</v>
      </c>
      <c r="G73" s="963">
        <f t="shared" ref="G73:M73" si="15">SUM(G61:G72)</f>
        <v>387000</v>
      </c>
      <c r="H73" s="963">
        <f t="shared" si="15"/>
        <v>11106.9</v>
      </c>
      <c r="I73" s="963">
        <f t="shared" si="15"/>
        <v>1873.24</v>
      </c>
      <c r="J73" s="963">
        <f t="shared" si="15"/>
        <v>11764.8</v>
      </c>
      <c r="K73" s="963">
        <f t="shared" si="15"/>
        <v>7187.7999999999993</v>
      </c>
      <c r="L73" s="963">
        <f>SUM(L61:L72)</f>
        <v>31932.739999999998</v>
      </c>
      <c r="M73" s="963">
        <f t="shared" si="15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6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6"/>
        <v>1602.5</v>
      </c>
      <c r="M77" s="953">
        <f t="shared" ref="M77:M87" si="17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6"/>
        <v>1502.5</v>
      </c>
      <c r="M78" s="953">
        <f t="shared" si="17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3025</v>
      </c>
      <c r="L83" s="951">
        <f t="shared" si="16"/>
        <v>4502.5</v>
      </c>
      <c r="M83" s="953">
        <f t="shared" si="17"/>
        <v>20497.5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7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7509.27</v>
      </c>
      <c r="L86" s="951">
        <f t="shared" ref="L86" si="18">+H86+I86+J86+K86</f>
        <v>9577.77</v>
      </c>
      <c r="M86" s="951">
        <f t="shared" si="17"/>
        <v>25422.23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7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1071">
        <v>0</v>
      </c>
      <c r="G88" s="963">
        <f>SUM(G76:G87)</f>
        <v>338500</v>
      </c>
      <c r="H88" s="963">
        <f t="shared" ref="H88:M88" si="19">SUM(H76:H87)</f>
        <v>9714.9500000000007</v>
      </c>
      <c r="I88" s="963">
        <f t="shared" si="19"/>
        <v>936.62</v>
      </c>
      <c r="J88" s="963">
        <f t="shared" si="19"/>
        <v>10290.4</v>
      </c>
      <c r="K88" s="963">
        <f t="shared" si="19"/>
        <v>16212.93</v>
      </c>
      <c r="L88" s="963">
        <f t="shared" si="19"/>
        <v>37154.9</v>
      </c>
      <c r="M88" s="963">
        <f t="shared" si="19"/>
        <v>301345.09999999998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>SUM(E91:E92)</f>
        <v>92500</v>
      </c>
      <c r="F93" s="964">
        <f t="shared" ref="F93:I93" si="20">SUM(F91:F92)</f>
        <v>0</v>
      </c>
      <c r="G93" s="965">
        <f>SUM(G91:G92)</f>
        <v>92500</v>
      </c>
      <c r="H93" s="965">
        <f>SUM(H91:H92)</f>
        <v>2654.75</v>
      </c>
      <c r="I93" s="963">
        <f t="shared" si="20"/>
        <v>2559.6799999999998</v>
      </c>
      <c r="J93" s="965">
        <f>SUM(J91:J92)</f>
        <v>2812</v>
      </c>
      <c r="K93" s="963">
        <f>SUM(K91:K92)</f>
        <v>1765.46</v>
      </c>
      <c r="L93" s="963">
        <f>SUM(L91:L92)</f>
        <v>9791.89</v>
      </c>
      <c r="M93" s="965">
        <f>SUM(M91:M92)</f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21">SUM(G96:G98)</f>
        <v>142000</v>
      </c>
      <c r="H99" s="963">
        <f t="shared" si="21"/>
        <v>4075.43</v>
      </c>
      <c r="I99" s="963">
        <f t="shared" si="21"/>
        <v>4432.92</v>
      </c>
      <c r="J99" s="963">
        <f t="shared" si="21"/>
        <v>4316.8</v>
      </c>
      <c r="K99" s="963">
        <f t="shared" si="21"/>
        <v>1346.7</v>
      </c>
      <c r="L99" s="963">
        <f t="shared" si="21"/>
        <v>14171.82</v>
      </c>
      <c r="M99" s="963">
        <f t="shared" si="21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2">SUM(G106:G107)</f>
        <v>87000</v>
      </c>
      <c r="H108" s="963">
        <f t="shared" si="22"/>
        <v>2496.9</v>
      </c>
      <c r="I108" s="963">
        <f t="shared" si="22"/>
        <v>1873.24</v>
      </c>
      <c r="J108" s="963">
        <f t="shared" si="22"/>
        <v>2644.8</v>
      </c>
      <c r="K108" s="963">
        <f t="shared" si="22"/>
        <v>50</v>
      </c>
      <c r="L108" s="963">
        <f t="shared" si="22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3">SUM(G111:G111)</f>
        <v>80000</v>
      </c>
      <c r="H112" s="965">
        <f t="shared" si="23"/>
        <v>2296</v>
      </c>
      <c r="I112" s="963">
        <f t="shared" si="23"/>
        <v>6972</v>
      </c>
      <c r="J112" s="965">
        <f t="shared" si="23"/>
        <v>2432</v>
      </c>
      <c r="K112" s="963">
        <f t="shared" si="23"/>
        <v>1740.46</v>
      </c>
      <c r="L112" s="963">
        <f t="shared" si="23"/>
        <v>13440.46</v>
      </c>
      <c r="M112" s="965">
        <f t="shared" si="23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4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12023.24</v>
      </c>
      <c r="L117" s="1122">
        <f>+H117+I117+J117+K117</f>
        <v>21185.620000000003</v>
      </c>
      <c r="M117" s="953">
        <f t="shared" si="24"/>
        <v>48814.38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4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4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4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4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5">SUM(F115:F121)</f>
        <v>0</v>
      </c>
      <c r="G122" s="963">
        <f t="shared" si="25"/>
        <v>517500</v>
      </c>
      <c r="H122" s="963">
        <f t="shared" si="25"/>
        <v>14852.25</v>
      </c>
      <c r="I122" s="963">
        <f t="shared" si="25"/>
        <v>50491.780000000006</v>
      </c>
      <c r="J122" s="963">
        <f t="shared" si="25"/>
        <v>15732</v>
      </c>
      <c r="K122" s="963">
        <f t="shared" si="25"/>
        <v>18736.099999999999</v>
      </c>
      <c r="L122" s="963">
        <f>SUM(L115:L121)</f>
        <v>99812.12999999999</v>
      </c>
      <c r="M122" s="963">
        <f>SUM(M115:M121)</f>
        <v>417687.87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6">SUM(F125:F127)</f>
        <v>0</v>
      </c>
      <c r="G128" s="963">
        <f t="shared" si="26"/>
        <v>148500</v>
      </c>
      <c r="H128" s="963">
        <f t="shared" si="26"/>
        <v>4261.95</v>
      </c>
      <c r="I128" s="963">
        <f t="shared" si="26"/>
        <v>5350.3</v>
      </c>
      <c r="J128" s="963">
        <f t="shared" si="26"/>
        <v>4514.3999999999996</v>
      </c>
      <c r="K128" s="963">
        <f t="shared" si="26"/>
        <v>3044.13</v>
      </c>
      <c r="L128" s="963">
        <f t="shared" si="26"/>
        <v>17170.780000000002</v>
      </c>
      <c r="M128" s="963">
        <f t="shared" si="26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7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8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7"/>
        <v>6538.18</v>
      </c>
      <c r="M133" s="951">
        <f t="shared" si="28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 t="shared" si="27"/>
        <v>3532.4700000000003</v>
      </c>
      <c r="M134" s="951">
        <f t="shared" si="28"/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M135" si="29">SUM(G131:G134)</f>
        <v>233500</v>
      </c>
      <c r="H135" s="963">
        <f t="shared" si="29"/>
        <v>6701.45</v>
      </c>
      <c r="I135" s="963">
        <f t="shared" si="29"/>
        <v>13456.85</v>
      </c>
      <c r="J135" s="963">
        <f t="shared" si="29"/>
        <v>7098.4</v>
      </c>
      <c r="K135" s="963">
        <f t="shared" si="29"/>
        <v>1706</v>
      </c>
      <c r="L135" s="963">
        <f t="shared" si="29"/>
        <v>28962.7</v>
      </c>
      <c r="M135" s="963">
        <f t="shared" si="29"/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0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30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1">SUM(G138:G140)</f>
        <v>290000</v>
      </c>
      <c r="H141" s="965">
        <f t="shared" si="31"/>
        <v>8323</v>
      </c>
      <c r="I141" s="963">
        <f t="shared" si="31"/>
        <v>36255.85</v>
      </c>
      <c r="J141" s="965">
        <f t="shared" si="31"/>
        <v>8816</v>
      </c>
      <c r="K141" s="963">
        <f t="shared" si="31"/>
        <v>7705.56</v>
      </c>
      <c r="L141" s="963">
        <f t="shared" si="31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1740.46</v>
      </c>
      <c r="L145" s="951">
        <v>3602.11</v>
      </c>
      <c r="M145" s="951">
        <f>+E145-L145</f>
        <v>27897.89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32">SUM(G144:G145)</f>
        <v>111500</v>
      </c>
      <c r="H146" s="963">
        <f t="shared" si="32"/>
        <v>3200.05</v>
      </c>
      <c r="I146" s="963">
        <f t="shared" si="32"/>
        <v>7400.87</v>
      </c>
      <c r="J146" s="963">
        <f t="shared" si="32"/>
        <v>3389.6</v>
      </c>
      <c r="K146" s="963">
        <f t="shared" si="32"/>
        <v>3837.66</v>
      </c>
      <c r="L146" s="963">
        <f t="shared" si="32"/>
        <v>17828.18</v>
      </c>
      <c r="M146" s="963">
        <f>SUM(M144:M145)</f>
        <v>93671.819999999992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3">SUM(E149:E149)</f>
        <v>43500</v>
      </c>
      <c r="F150" s="964">
        <f t="shared" si="33"/>
        <v>0</v>
      </c>
      <c r="G150" s="965">
        <f t="shared" si="33"/>
        <v>43500</v>
      </c>
      <c r="H150" s="965">
        <f t="shared" si="33"/>
        <v>1248.45</v>
      </c>
      <c r="I150" s="1091">
        <f t="shared" si="33"/>
        <v>936.62</v>
      </c>
      <c r="J150" s="996">
        <f t="shared" si="33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4"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4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5">SUM(F156)</f>
        <v>0</v>
      </c>
      <c r="G157" s="963">
        <f t="shared" ref="G157:L157" si="36">SUM(G153:G156)</f>
        <v>237000</v>
      </c>
      <c r="H157" s="963">
        <f t="shared" si="36"/>
        <v>6801.9</v>
      </c>
      <c r="I157" s="963">
        <f t="shared" si="36"/>
        <v>14642.59</v>
      </c>
      <c r="J157" s="963">
        <f t="shared" si="36"/>
        <v>7204.7999999999993</v>
      </c>
      <c r="K157" s="963">
        <f t="shared" si="36"/>
        <v>4643.3999999999996</v>
      </c>
      <c r="L157" s="963">
        <f t="shared" si="36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7">SUM(G160:G161)</f>
        <v>150000</v>
      </c>
      <c r="H162" s="963">
        <f t="shared" si="37"/>
        <v>4305</v>
      </c>
      <c r="I162" s="963">
        <f t="shared" si="37"/>
        <v>12769.349999999999</v>
      </c>
      <c r="J162" s="963">
        <f t="shared" si="37"/>
        <v>4560</v>
      </c>
      <c r="K162" s="963">
        <f t="shared" si="37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8">SUM(F165:F166)</f>
        <v>0</v>
      </c>
      <c r="G167" s="965">
        <f>SUM(G165:G166)</f>
        <v>123500</v>
      </c>
      <c r="H167" s="965">
        <f t="shared" si="38"/>
        <v>3544.45</v>
      </c>
      <c r="I167" s="963">
        <f t="shared" si="38"/>
        <v>8337.49</v>
      </c>
      <c r="J167" s="965">
        <f t="shared" si="38"/>
        <v>3754.4</v>
      </c>
      <c r="K167" s="963">
        <f t="shared" si="38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9">+H170+I170+J170+K170</f>
        <v>3532.4700000000003</v>
      </c>
      <c r="M170" s="951">
        <f t="shared" ref="M170:M175" si="4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9"/>
        <v>3532.4700000000003</v>
      </c>
      <c r="M171" s="951">
        <f t="shared" si="4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9"/>
        <v>7854.75</v>
      </c>
      <c r="M173" s="951">
        <f t="shared" si="40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9"/>
        <v>3532.4700000000003</v>
      </c>
      <c r="M174" s="951">
        <f t="shared" si="40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41">SUM(G170:G175)</f>
        <v>261000</v>
      </c>
      <c r="H176" s="963">
        <f t="shared" si="41"/>
        <v>7490.7</v>
      </c>
      <c r="I176" s="963">
        <f t="shared" si="41"/>
        <v>5105.08</v>
      </c>
      <c r="J176" s="963">
        <f t="shared" si="41"/>
        <v>7934.4</v>
      </c>
      <c r="K176" s="963">
        <f t="shared" si="41"/>
        <v>4986.92</v>
      </c>
      <c r="L176" s="963">
        <f t="shared" si="41"/>
        <v>25517.100000000002</v>
      </c>
      <c r="M176" s="963">
        <f t="shared" si="41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25</v>
      </c>
      <c r="L180" s="951">
        <f>+H180+I180+J180+K180</f>
        <v>3532.27</v>
      </c>
      <c r="M180" s="951">
        <f>+G180-L180</f>
        <v>39967.730000000003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M183" si="42">SUM(G179:G182)</f>
        <v>210500</v>
      </c>
      <c r="H183" s="963">
        <f t="shared" si="42"/>
        <v>6040.75</v>
      </c>
      <c r="I183" s="963">
        <f t="shared" si="42"/>
        <v>10210.730000000001</v>
      </c>
      <c r="J183" s="963">
        <f t="shared" si="42"/>
        <v>6399.2000000000007</v>
      </c>
      <c r="K183" s="963">
        <f t="shared" si="42"/>
        <v>2643.4</v>
      </c>
      <c r="L183" s="963">
        <f t="shared" si="42"/>
        <v>25294.079999999998</v>
      </c>
      <c r="M183" s="963">
        <f t="shared" si="42"/>
        <v>185205.92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 t="shared" ref="L186:L190" si="43"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 t="shared" si="43"/>
        <v>23926.87</v>
      </c>
      <c r="M187" s="1031">
        <f t="shared" ref="M187:M222" si="4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3"/>
        <v>12153.869999999999</v>
      </c>
      <c r="M188" s="1031">
        <f t="shared" si="4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3"/>
        <v>9530.48</v>
      </c>
      <c r="M189" s="1031">
        <f t="shared" si="4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3"/>
        <v>15451.01</v>
      </c>
      <c r="M190" s="1031">
        <f t="shared" si="4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1">
        <f t="shared" si="4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1">
        <f t="shared" si="4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5">+H193+I193+J193+K193</f>
        <v>5835.18</v>
      </c>
      <c r="M193" s="1031">
        <f t="shared" si="44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45"/>
        <v>4990.6100000000006</v>
      </c>
      <c r="M194" s="1032">
        <f t="shared" si="4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89.01</v>
      </c>
      <c r="J195" s="951">
        <v>1140</v>
      </c>
      <c r="K195" s="951">
        <v>25</v>
      </c>
      <c r="L195" s="1032">
        <f t="shared" si="45"/>
        <v>2330.2600000000002</v>
      </c>
      <c r="M195" s="1032">
        <f t="shared" si="44"/>
        <v>35169.74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45"/>
        <v>2330.2600000000002</v>
      </c>
      <c r="M197" s="1032">
        <f t="shared" si="44"/>
        <v>35169.74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5"/>
        <v>3532.4700000000003</v>
      </c>
      <c r="M198" s="1031">
        <f t="shared" si="4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1">
        <f t="shared" si="44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2">
        <f t="shared" si="45"/>
        <v>3532.4700000000003</v>
      </c>
      <c r="M200" s="1031">
        <f t="shared" si="4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45"/>
        <v>3532.4700000000003</v>
      </c>
      <c r="M201" s="1032">
        <f t="shared" si="4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2">
        <f t="shared" si="45"/>
        <v>3532.4700000000003</v>
      </c>
      <c r="M206" s="1031">
        <f t="shared" si="44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5"/>
        <v>1502.5</v>
      </c>
      <c r="M207" s="1031">
        <f t="shared" si="44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45"/>
        <v>1502.5</v>
      </c>
      <c r="M208" s="1031">
        <f t="shared" si="44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5"/>
        <v>1502.5</v>
      </c>
      <c r="M209" s="1031">
        <f t="shared" si="4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5"/>
        <v>1502.5</v>
      </c>
      <c r="M210" s="1031">
        <f t="shared" si="4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1">
        <f t="shared" si="4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5"/>
        <v>1798</v>
      </c>
      <c r="M212" s="1031">
        <f t="shared" si="4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1">
        <f t="shared" si="4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1">
        <f t="shared" si="44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5"/>
        <v>1798</v>
      </c>
      <c r="M215" s="1031">
        <f t="shared" si="44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2">
        <f t="shared" si="45"/>
        <v>3907</v>
      </c>
      <c r="M216" s="1031">
        <f t="shared" si="44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45"/>
        <v>1798</v>
      </c>
      <c r="M217" s="1031">
        <f t="shared" si="44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45"/>
        <v>1798</v>
      </c>
      <c r="M218" s="1031">
        <f t="shared" si="4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1">
        <f t="shared" si="4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4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4"/>
        <v>28202</v>
      </c>
    </row>
    <row r="223" spans="1:13" ht="18.75" x14ac:dyDescent="0.3">
      <c r="A223" s="961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>SUM(G186:G222)</f>
        <v>1671500</v>
      </c>
      <c r="H223" s="963">
        <f t="shared" ref="H223:L223" si="46">SUM(H186:H222)</f>
        <v>47972.05</v>
      </c>
      <c r="I223" s="963">
        <f t="shared" si="46"/>
        <v>76043.139999999941</v>
      </c>
      <c r="J223" s="963">
        <f t="shared" si="46"/>
        <v>50813.600000000013</v>
      </c>
      <c r="K223" s="963">
        <f t="shared" si="46"/>
        <v>14029.759999999998</v>
      </c>
      <c r="L223" s="963">
        <f t="shared" si="46"/>
        <v>188855.55</v>
      </c>
      <c r="M223" s="963">
        <f>SUM(M186:M222)</f>
        <v>1482644.4500000002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+C223+C183+C176+C167+C162+C157+C150+C146+C141+C135+C128+C122+C112+C108+C99++C88+C73+C58+C52+C48+C43+C39+C29+C19+C93+C103+C25</f>
        <v>130</v>
      </c>
      <c r="D225" s="1058"/>
      <c r="E225" s="1076">
        <f>+E19+E25+E29+E39+E43+E48+E52+E58+E73+E88+E93+E99+E103+E108+E112+E122+E128+E135+E141+E146+E150+E157+E162+E167+E176+E223+E183</f>
        <v>6822000</v>
      </c>
      <c r="F225" s="1072">
        <v>0</v>
      </c>
      <c r="G225" s="1076">
        <f t="shared" ref="G225:M225" si="47">+G19+G25+G29+G39+G43+G48+G52+G58+G73+G88+G93+G99+G103+G108+G112+G122+G128+G135+G141+G146+G150+G157+G162+G167+G176+G223+G183</f>
        <v>6822000</v>
      </c>
      <c r="H225" s="1076">
        <f t="shared" si="47"/>
        <v>195790.83000000002</v>
      </c>
      <c r="I225" s="1076">
        <f t="shared" si="47"/>
        <v>432847.21999999991</v>
      </c>
      <c r="J225" s="1076">
        <f t="shared" si="47"/>
        <v>204867.12</v>
      </c>
      <c r="K225" s="1076">
        <f t="shared" si="47"/>
        <v>140002.19999999998</v>
      </c>
      <c r="L225" s="1076">
        <f t="shared" si="47"/>
        <v>973433.84</v>
      </c>
      <c r="M225" s="1076">
        <f t="shared" si="47"/>
        <v>5848566.1600000001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271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1022"/>
      <c r="D236" s="271"/>
      <c r="E236" s="869"/>
      <c r="F236" s="853"/>
      <c r="G236" s="853"/>
      <c r="H236" s="853"/>
      <c r="I236" s="1092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E238" s="869"/>
      <c r="F238" s="853"/>
      <c r="G238" s="853"/>
      <c r="H238" s="853"/>
      <c r="I238" s="1093"/>
      <c r="J238" s="1022"/>
      <c r="K238" s="1093"/>
      <c r="L238" s="1093"/>
      <c r="M238" s="1022"/>
    </row>
    <row r="239" spans="1:13" ht="15.75" x14ac:dyDescent="0.25">
      <c r="A239" s="853"/>
      <c r="B239" s="871"/>
      <c r="C239" s="853"/>
      <c r="D239" s="271"/>
      <c r="E239" s="869"/>
      <c r="F239" s="853"/>
      <c r="G239" s="853"/>
      <c r="H239" s="853"/>
      <c r="I239" s="869"/>
      <c r="J239" s="1022"/>
      <c r="K239" s="1093"/>
      <c r="L239" s="1093"/>
      <c r="M239" s="1022"/>
    </row>
    <row r="240" spans="1:13" ht="15.75" x14ac:dyDescent="0.25">
      <c r="A240" s="853"/>
      <c r="B240" s="871"/>
      <c r="C240" s="1022"/>
      <c r="D240" s="853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7.25" customHeight="1" x14ac:dyDescent="0.25">
      <c r="A241" s="853"/>
      <c r="B241" s="871"/>
      <c r="C241" s="872"/>
      <c r="D241" s="853"/>
      <c r="E241" s="852"/>
      <c r="F241" s="853"/>
      <c r="G241" s="853"/>
      <c r="H241" s="853"/>
      <c r="I241" s="869"/>
      <c r="J241" s="853"/>
      <c r="K241" s="869"/>
      <c r="L241" s="1093"/>
      <c r="M241" s="1022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7.25" customHeight="1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73"/>
      <c r="B251" s="874"/>
      <c r="C251" s="873"/>
      <c r="D251" s="873"/>
      <c r="E251" s="875"/>
      <c r="F251" s="873"/>
      <c r="G251" s="873"/>
      <c r="H251" s="873"/>
      <c r="I251" s="1094"/>
      <c r="J251" s="873"/>
      <c r="K251" s="1094"/>
      <c r="L251" s="1094"/>
      <c r="M251" s="873"/>
    </row>
    <row r="252" spans="1:14" ht="15.75" x14ac:dyDescent="0.25">
      <c r="A252" s="873"/>
      <c r="B252" s="871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1"/>
      <c r="B253" s="871"/>
      <c r="C253" s="871"/>
      <c r="D253" s="871"/>
      <c r="E253" s="876"/>
      <c r="F253" s="877"/>
      <c r="G253" s="878"/>
      <c r="H253" s="879"/>
      <c r="I253" s="1095"/>
      <c r="J253" s="880"/>
      <c r="K253" s="1095"/>
      <c r="L253" s="1095"/>
      <c r="M253" s="880"/>
    </row>
    <row r="254" spans="1:14" ht="15.75" x14ac:dyDescent="0.25">
      <c r="A254" s="1703" t="s">
        <v>1271</v>
      </c>
      <c r="B254" s="1703"/>
      <c r="C254" s="874"/>
      <c r="D254" s="874"/>
      <c r="E254" s="875"/>
      <c r="F254" s="873"/>
      <c r="G254" s="873"/>
      <c r="H254" s="1683" t="s">
        <v>852</v>
      </c>
      <c r="I254" s="1683"/>
      <c r="J254" s="1683"/>
      <c r="K254" s="1683"/>
      <c r="L254" s="1683"/>
      <c r="M254" s="1683"/>
    </row>
    <row r="255" spans="1:14" ht="15.75" x14ac:dyDescent="0.25">
      <c r="A255" s="930" t="s">
        <v>1376</v>
      </c>
      <c r="B255" s="871"/>
      <c r="C255" s="871"/>
      <c r="D255" s="871"/>
      <c r="E255" s="875"/>
      <c r="F255" s="873"/>
      <c r="H255" s="622"/>
      <c r="I255" s="1684" t="s">
        <v>1504</v>
      </c>
      <c r="J255" s="1684"/>
      <c r="K255" s="1684"/>
      <c r="L255" s="1684"/>
      <c r="M255" s="622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40.25" customHeight="1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874"/>
      <c r="B269" s="851"/>
      <c r="C269" s="874"/>
      <c r="D269" s="874"/>
      <c r="E269" s="883"/>
      <c r="F269" s="874"/>
      <c r="G269" s="884"/>
      <c r="H269" s="882"/>
      <c r="I269" s="1094"/>
      <c r="J269" s="885"/>
      <c r="K269" s="1096"/>
      <c r="L269" s="1096"/>
      <c r="M269" s="885"/>
    </row>
  </sheetData>
  <mergeCells count="20">
    <mergeCell ref="A6:M6"/>
    <mergeCell ref="A7:N7"/>
    <mergeCell ref="A8:M8"/>
    <mergeCell ref="A9:M9"/>
    <mergeCell ref="A10:M10"/>
    <mergeCell ref="M12:M13"/>
    <mergeCell ref="A254:B254"/>
    <mergeCell ref="H254:M254"/>
    <mergeCell ref="I255:L255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4" max="13" man="1"/>
  </rowBreaks>
  <drawing r:id="rId2"/>
</worksheet>
</file>

<file path=xl/worksheets/sheet2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21ABEA-BD8A-467D-9AE0-6698DC44E14C}">
  <dimension ref="A1:S168"/>
  <sheetViews>
    <sheetView view="pageBreakPreview" topLeftCell="A46" zoomScale="89" zoomScaleNormal="86" zoomScaleSheetLayoutView="89" workbookViewId="0">
      <selection activeCell="C145" sqref="C145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311"/>
      <c r="N4" s="311"/>
      <c r="O4" s="311"/>
    </row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1509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709" t="s">
        <v>7</v>
      </c>
      <c r="B11" s="1709" t="s">
        <v>937</v>
      </c>
      <c r="C11" s="1712" t="s">
        <v>9</v>
      </c>
      <c r="D11" s="1709" t="s">
        <v>832</v>
      </c>
      <c r="E11" s="1709" t="s">
        <v>834</v>
      </c>
      <c r="F11" s="1709" t="s">
        <v>209</v>
      </c>
      <c r="G11" s="1051" t="s">
        <v>12</v>
      </c>
      <c r="H11" s="1711" t="s">
        <v>13</v>
      </c>
      <c r="I11" s="1710" t="s">
        <v>14</v>
      </c>
      <c r="J11" s="1710" t="s">
        <v>15</v>
      </c>
      <c r="K11" s="1710" t="s">
        <v>16</v>
      </c>
      <c r="L11" s="1722" t="s">
        <v>17</v>
      </c>
      <c r="M11" s="1710" t="s">
        <v>18</v>
      </c>
      <c r="N11" s="1710" t="s">
        <v>19</v>
      </c>
      <c r="O11" s="1710" t="s">
        <v>20</v>
      </c>
    </row>
    <row r="12" spans="1:15" x14ac:dyDescent="0.25">
      <c r="A12" s="1709"/>
      <c r="B12" s="1709"/>
      <c r="C12" s="1712"/>
      <c r="D12" s="1709"/>
      <c r="E12" s="1709"/>
      <c r="F12" s="1709"/>
      <c r="G12" s="1051" t="s">
        <v>21</v>
      </c>
      <c r="H12" s="1711"/>
      <c r="I12" s="1710"/>
      <c r="J12" s="1710"/>
      <c r="K12" s="1710"/>
      <c r="L12" s="1722"/>
      <c r="M12" s="1710"/>
      <c r="N12" s="1710"/>
      <c r="O12" s="1710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1099">
        <f>SUM(M28:M29)</f>
        <v>11472.33</v>
      </c>
      <c r="N30" s="695">
        <f t="shared" si="4"/>
        <v>43408.05</v>
      </c>
      <c r="O30" s="695">
        <f t="shared" si="4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1099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76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76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 t="shared" si="12"/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11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 t="shared" si="13"/>
        <v>100</v>
      </c>
      <c r="N70" s="695">
        <f>SUM(N66:N69)</f>
        <v>61348.06</v>
      </c>
      <c r="O70" s="695">
        <f t="shared" si="13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1099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1099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1099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76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675">
        <v>25</v>
      </c>
      <c r="N86" s="468">
        <f t="shared" ref="N86:N91" si="17">+J86+K86+L86+M86</f>
        <v>9530.48</v>
      </c>
      <c r="O86" s="468">
        <f t="shared" ref="O86:O91" si="18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675">
        <v>25</v>
      </c>
      <c r="N87" s="468">
        <f t="shared" si="17"/>
        <v>9530.48</v>
      </c>
      <c r="O87" s="468">
        <f t="shared" si="18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675">
        <v>25</v>
      </c>
      <c r="N88" s="468">
        <f t="shared" si="17"/>
        <v>9530.48</v>
      </c>
      <c r="O88" s="468">
        <f t="shared" si="18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7"/>
        <v>9530.48</v>
      </c>
      <c r="O89" s="468">
        <f t="shared" si="18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7"/>
        <v>9530.48</v>
      </c>
      <c r="O90" s="468">
        <f t="shared" si="18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675">
        <v>25</v>
      </c>
      <c r="N91" s="468">
        <f t="shared" si="17"/>
        <v>5835.18</v>
      </c>
      <c r="O91" s="468">
        <f t="shared" si="18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 t="shared" ref="H92" si="19">SUM(H91)</f>
        <v>0</v>
      </c>
      <c r="I92" s="695">
        <f>SUM(I86:I91)</f>
        <v>405000</v>
      </c>
      <c r="J92" s="695">
        <f>SUM(J86:J91)</f>
        <v>11623.5</v>
      </c>
      <c r="K92" s="695">
        <f t="shared" ref="K92:N92" si="20">SUM(K86:K91)</f>
        <v>29402.079999999998</v>
      </c>
      <c r="L92" s="1145">
        <f t="shared" si="20"/>
        <v>12312</v>
      </c>
      <c r="M92" s="1099">
        <f>SUM(M86:M91)</f>
        <v>150</v>
      </c>
      <c r="N92" s="695">
        <f t="shared" si="20"/>
        <v>53487.579999999994</v>
      </c>
      <c r="O92" s="695">
        <f>SUM(O86:O91)</f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76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76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1100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675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21">SUM(I95:I96)</f>
        <v>190000</v>
      </c>
      <c r="J97" s="695">
        <f t="shared" si="21"/>
        <v>5453</v>
      </c>
      <c r="K97" s="695">
        <f t="shared" si="21"/>
        <v>22178.35</v>
      </c>
      <c r="L97" s="695">
        <f t="shared" si="21"/>
        <v>5776</v>
      </c>
      <c r="M97" s="695">
        <f t="shared" si="21"/>
        <v>4694.3999999999996</v>
      </c>
      <c r="N97" s="695">
        <f t="shared" si="21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1099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76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675">
        <v>25</v>
      </c>
      <c r="N100" s="468">
        <f t="shared" ref="N100" si="22">+J100+K100+L100+M100</f>
        <v>23926.87</v>
      </c>
      <c r="O100" s="468">
        <f t="shared" ref="O100" si="23"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675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675">
        <v>25</v>
      </c>
      <c r="N102" s="457">
        <f t="shared" ref="N102:N126" si="24">+J102+K102+L102+M102</f>
        <v>9530.48</v>
      </c>
      <c r="O102" s="468">
        <f t="shared" ref="O102:O126" si="25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675">
        <v>25</v>
      </c>
      <c r="N103" s="457">
        <f t="shared" si="24"/>
        <v>9530.48</v>
      </c>
      <c r="O103" s="468">
        <f t="shared" si="25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675">
        <v>1740.46</v>
      </c>
      <c r="N104" s="457">
        <f t="shared" si="24"/>
        <v>10902.84</v>
      </c>
      <c r="O104" s="468">
        <f t="shared" si="25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675">
        <v>3455.92</v>
      </c>
      <c r="N105" s="457">
        <f t="shared" si="24"/>
        <v>12275.210000000001</v>
      </c>
      <c r="O105" s="468">
        <f t="shared" si="25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675">
        <v>1740.46</v>
      </c>
      <c r="N106" s="457">
        <f t="shared" si="24"/>
        <v>10902.84</v>
      </c>
      <c r="O106" s="468">
        <f t="shared" si="25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675">
        <v>25</v>
      </c>
      <c r="N107" s="457">
        <f t="shared" si="24"/>
        <v>9530.48</v>
      </c>
      <c r="O107" s="468">
        <f t="shared" si="25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675">
        <v>25</v>
      </c>
      <c r="N108" s="457">
        <f t="shared" si="24"/>
        <v>9530.48</v>
      </c>
      <c r="O108" s="468">
        <f t="shared" si="25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24"/>
        <v>9530.48</v>
      </c>
      <c r="O109" s="468">
        <f t="shared" si="25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24"/>
        <v>9530.48</v>
      </c>
      <c r="O110" s="468">
        <f t="shared" si="25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24"/>
        <v>9530.48</v>
      </c>
      <c r="O111" s="468">
        <f t="shared" si="25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24"/>
        <v>9530.48</v>
      </c>
      <c r="O112" s="468">
        <f t="shared" si="25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24"/>
        <v>9530.48</v>
      </c>
      <c r="O113" s="468">
        <f t="shared" si="25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4"/>
        <v>9530.48</v>
      </c>
      <c r="O114" s="468">
        <f t="shared" si="25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4"/>
        <v>9530.48</v>
      </c>
      <c r="O115" s="468">
        <f t="shared" si="25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4"/>
        <v>9530.48</v>
      </c>
      <c r="O116" s="468">
        <f t="shared" si="25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4"/>
        <v>9530.48</v>
      </c>
      <c r="O117" s="468">
        <f t="shared" si="25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4"/>
        <v>9530.48</v>
      </c>
      <c r="O118" s="468">
        <f t="shared" si="25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4"/>
        <v>9530.48</v>
      </c>
      <c r="O119" s="468">
        <f t="shared" si="25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4"/>
        <v>9530.48</v>
      </c>
      <c r="O120" s="468">
        <f t="shared" si="25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4"/>
        <v>9530.48</v>
      </c>
      <c r="O121" s="468">
        <f t="shared" si="25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4"/>
        <v>9530.48</v>
      </c>
      <c r="O122" s="468">
        <f t="shared" si="25"/>
        <v>60469.520000000004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4"/>
        <v>9530.48</v>
      </c>
      <c r="O123" s="468">
        <f t="shared" si="25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675">
        <v>25</v>
      </c>
      <c r="N124" s="468">
        <f t="shared" si="24"/>
        <v>9530.48</v>
      </c>
      <c r="O124" s="468">
        <f t="shared" si="25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4"/>
        <v>9530.48</v>
      </c>
      <c r="O125" s="468">
        <f t="shared" si="25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4"/>
        <v>9530.48</v>
      </c>
      <c r="O126" s="468">
        <f t="shared" si="25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627">
        <v>0</v>
      </c>
      <c r="L127" s="1150">
        <v>3800</v>
      </c>
      <c r="M127" s="1103">
        <v>25</v>
      </c>
      <c r="N127" s="1038">
        <v>7412.5</v>
      </c>
      <c r="O127" s="1038">
        <v>117587.5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26">+J128+K128+L128+M128</f>
        <v>5835.18</v>
      </c>
      <c r="O128" s="468">
        <f t="shared" ref="O128:O130" si="27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26"/>
        <v>7293.3200000000006</v>
      </c>
      <c r="O129" s="468">
        <f t="shared" si="27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675">
        <v>25</v>
      </c>
      <c r="N130" s="457">
        <f t="shared" si="26"/>
        <v>3532.4700000000003</v>
      </c>
      <c r="O130" s="468">
        <f t="shared" si="27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675">
        <v>25</v>
      </c>
      <c r="N131" s="457">
        <f t="shared" si="26"/>
        <v>3532.4700000000003</v>
      </c>
      <c r="O131" s="468">
        <f>+I131-N131</f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si="26"/>
        <v>3532.4700000000003</v>
      </c>
      <c r="O132" s="468">
        <f>+I132-N132</f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45536</v>
      </c>
      <c r="F133" s="855">
        <v>45689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675">
        <v>25</v>
      </c>
      <c r="N133" s="457">
        <f t="shared" si="26"/>
        <v>1502.5</v>
      </c>
      <c r="O133" s="468">
        <f>+I133-N133</f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8">SUM(I100:I133)</f>
        <v>2330500</v>
      </c>
      <c r="J134" s="695">
        <f t="shared" si="28"/>
        <v>66885.349999999991</v>
      </c>
      <c r="K134" s="695">
        <f t="shared" si="28"/>
        <v>162346.75999999995</v>
      </c>
      <c r="L134" s="1145">
        <f t="shared" si="28"/>
        <v>70847.199999999983</v>
      </c>
      <c r="M134" s="1099">
        <f t="shared" si="28"/>
        <v>11142.759999999998</v>
      </c>
      <c r="N134" s="695">
        <f t="shared" si="28"/>
        <v>311222.07</v>
      </c>
      <c r="O134" s="695">
        <f t="shared" si="28"/>
        <v>2019277.9300000004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1099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O136" si="29">+I16+I20+I25+I30+I43+I47+I52+I63+I70+I74+I79+I83+I92+I97+I134+I38+I34</f>
        <v>6050500</v>
      </c>
      <c r="J136" s="1126">
        <f t="shared" si="29"/>
        <v>173649.34999999998</v>
      </c>
      <c r="K136" s="1126">
        <f t="shared" si="29"/>
        <v>614104.35</v>
      </c>
      <c r="L136" s="1151">
        <f t="shared" si="29"/>
        <v>183935.19999999998</v>
      </c>
      <c r="M136" s="1126">
        <f t="shared" si="29"/>
        <v>63633.430000000008</v>
      </c>
      <c r="N136" s="1126">
        <f t="shared" si="29"/>
        <v>1035322.3300000001</v>
      </c>
      <c r="O136" s="1126">
        <f t="shared" si="29"/>
        <v>5015177.67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660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660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660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660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660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660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660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660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53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53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53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674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708" t="s">
        <v>1375</v>
      </c>
      <c r="J163" s="1708"/>
      <c r="K163" s="1708"/>
      <c r="L163" s="1708"/>
      <c r="M163" s="1708"/>
      <c r="N163" s="1708"/>
      <c r="O163" s="1708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692" t="s">
        <v>1503</v>
      </c>
      <c r="J164" s="1692"/>
      <c r="K164" s="1692"/>
      <c r="L164" s="1692"/>
      <c r="M164" s="1692"/>
      <c r="N164" s="1692"/>
      <c r="O164" s="1692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67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68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</row>
    <row r="168" spans="1:16" x14ac:dyDescent="0.25">
      <c r="K168" s="259"/>
      <c r="L168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63:O163"/>
    <mergeCell ref="I164:O164"/>
    <mergeCell ref="L11:L12"/>
  </mergeCells>
  <pageMargins left="1.299212598425197" right="0.11811023622047245" top="0.23622047244094491" bottom="7.874015748031496E-2" header="0.31496062992125984" footer="3.937007874015748E-2"/>
  <pageSetup paperSize="5" scale="45" fitToHeight="0" orientation="landscape" horizontalDpi="360" verticalDpi="360" r:id="rId1"/>
  <rowBreaks count="2" manualBreakCount="2">
    <brk id="53" max="14" man="1"/>
    <brk id="98" max="14" man="1"/>
  </rowBreaks>
  <colBreaks count="1" manualBreakCount="1">
    <brk id="15" max="159" man="1"/>
  </colBreaks>
  <drawing r:id="rId2"/>
</worksheet>
</file>

<file path=xl/worksheets/sheet2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36B868-47B7-4D79-BCC2-179E336928C5}">
  <dimension ref="A1:N72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44.28515625" customWidth="1"/>
    <col min="2" max="2" width="11.42578125" style="25" customWidth="1"/>
    <col min="3" max="3" width="28.710937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1510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714" t="s">
        <v>7</v>
      </c>
      <c r="B13" s="1713" t="s">
        <v>937</v>
      </c>
      <c r="C13" s="1713" t="s">
        <v>8</v>
      </c>
      <c r="D13" s="1713" t="s">
        <v>10</v>
      </c>
      <c r="E13" s="1713" t="s">
        <v>11</v>
      </c>
      <c r="F13" s="1047" t="s">
        <v>12</v>
      </c>
      <c r="G13" s="1713" t="s">
        <v>13</v>
      </c>
      <c r="H13" s="1713" t="s">
        <v>14</v>
      </c>
      <c r="I13" s="1713" t="s">
        <v>15</v>
      </c>
      <c r="J13" s="1713" t="s">
        <v>16</v>
      </c>
      <c r="K13" s="1713" t="s">
        <v>17</v>
      </c>
      <c r="L13" s="1713" t="s">
        <v>18</v>
      </c>
      <c r="M13" s="1713" t="s">
        <v>19</v>
      </c>
      <c r="N13" s="1713" t="s">
        <v>20</v>
      </c>
    </row>
    <row r="14" spans="1:14" x14ac:dyDescent="0.25">
      <c r="A14" s="1715"/>
      <c r="B14" s="1713"/>
      <c r="C14" s="1713"/>
      <c r="D14" s="1713"/>
      <c r="E14" s="1713"/>
      <c r="F14" s="1047" t="s">
        <v>21</v>
      </c>
      <c r="G14" s="1713"/>
      <c r="H14" s="1713"/>
      <c r="I14" s="1713"/>
      <c r="J14" s="1713"/>
      <c r="K14" s="1713"/>
      <c r="L14" s="1713"/>
      <c r="M14" s="1713"/>
      <c r="N14" s="1713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s="1190" customFormat="1" ht="28.5" customHeight="1" x14ac:dyDescent="0.25">
      <c r="A24" s="625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1183" t="s">
        <v>1481</v>
      </c>
      <c r="B25" s="1184" t="s">
        <v>806</v>
      </c>
      <c r="C25" s="652" t="s">
        <v>235</v>
      </c>
      <c r="D25" s="1185" t="s">
        <v>235</v>
      </c>
      <c r="E25" s="1186" t="s">
        <v>236</v>
      </c>
      <c r="F25" s="1187">
        <v>12000</v>
      </c>
      <c r="G25" s="1188">
        <v>0</v>
      </c>
      <c r="H25" s="1187">
        <v>12000</v>
      </c>
      <c r="I25" s="1189">
        <v>0</v>
      </c>
      <c r="J25" s="1189">
        <v>0</v>
      </c>
      <c r="K25" s="1189">
        <v>0</v>
      </c>
      <c r="L25" s="1189">
        <v>0</v>
      </c>
      <c r="M25" s="1189">
        <v>0</v>
      </c>
      <c r="N25" s="1187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21.7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690" t="s">
        <v>1269</v>
      </c>
      <c r="B56" s="1690"/>
      <c r="C56" s="1690"/>
      <c r="D56" s="753"/>
      <c r="E56" s="753"/>
      <c r="F56" s="754"/>
      <c r="G56" s="755"/>
      <c r="I56" s="1691" t="s">
        <v>852</v>
      </c>
      <c r="J56" s="1691"/>
      <c r="K56" s="1691"/>
      <c r="L56" s="1691"/>
      <c r="M56" s="1691"/>
      <c r="N56" s="1691"/>
    </row>
    <row r="57" spans="1:14" s="259" customFormat="1" ht="19.5" customHeight="1" x14ac:dyDescent="0.25">
      <c r="A57" s="1628" t="s">
        <v>1270</v>
      </c>
      <c r="B57" s="1628"/>
      <c r="C57" s="1628"/>
      <c r="D57" s="753"/>
      <c r="E57" s="753"/>
      <c r="F57" s="754"/>
      <c r="G57" s="755"/>
      <c r="I57" s="1692" t="s">
        <v>1505</v>
      </c>
      <c r="J57" s="1692"/>
      <c r="K57" s="1692"/>
      <c r="L57" s="1692"/>
      <c r="M57" s="1692"/>
      <c r="N57" s="1692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629"/>
      <c r="J69" s="1629"/>
      <c r="K69" s="1629"/>
      <c r="L69" s="1629"/>
      <c r="M69" s="1629"/>
      <c r="N69" s="1629"/>
    </row>
    <row r="70" spans="1:14" ht="15.75" x14ac:dyDescent="0.25">
      <c r="A70" s="267"/>
      <c r="B70" s="267"/>
      <c r="C70" s="267"/>
      <c r="D70" s="268"/>
      <c r="E70" s="268"/>
      <c r="F70" s="269"/>
      <c r="G70" s="1549"/>
      <c r="H70" s="1549"/>
      <c r="I70" s="1549"/>
      <c r="J70" s="1549"/>
      <c r="K70" s="1549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44CAF7-EE44-4E7C-B043-7DEAA7AFB215}">
  <sheetPr>
    <tabColor theme="4"/>
  </sheetPr>
  <dimension ref="B5:N96"/>
  <sheetViews>
    <sheetView showGridLines="0" topLeftCell="A58" zoomScale="136" zoomScaleNormal="136" zoomScaleSheetLayoutView="100" workbookViewId="0">
      <selection activeCell="E77" sqref="E7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5703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93" t="s">
        <v>0</v>
      </c>
      <c r="C5" s="1693"/>
      <c r="D5" s="1693"/>
      <c r="E5" s="1693"/>
      <c r="F5" s="1693"/>
      <c r="G5" s="1693"/>
      <c r="H5" s="1693"/>
      <c r="I5" s="1693"/>
      <c r="J5" s="1693"/>
      <c r="K5" s="1693"/>
      <c r="L5" s="1693"/>
      <c r="M5" s="1693"/>
    </row>
    <row r="6" spans="2:14" ht="13.5" customHeight="1" x14ac:dyDescent="0.25">
      <c r="B6" s="1693" t="s">
        <v>1</v>
      </c>
      <c r="C6" s="1693"/>
      <c r="D6" s="1693"/>
      <c r="E6" s="1693"/>
      <c r="F6" s="1693"/>
      <c r="G6" s="1693"/>
      <c r="H6" s="1693"/>
      <c r="I6" s="1693"/>
      <c r="J6" s="1693"/>
      <c r="K6" s="1693"/>
      <c r="L6" s="1693"/>
      <c r="M6" s="1693"/>
    </row>
    <row r="7" spans="2:14" ht="12" customHeight="1" x14ac:dyDescent="0.25">
      <c r="B7" s="1693" t="s">
        <v>3</v>
      </c>
      <c r="C7" s="1693"/>
      <c r="D7" s="1693"/>
      <c r="E7" s="1693"/>
      <c r="F7" s="1693"/>
      <c r="G7" s="1693"/>
      <c r="H7" s="1693"/>
      <c r="I7" s="1693"/>
      <c r="J7" s="1693"/>
      <c r="K7" s="1693"/>
      <c r="L7" s="1693"/>
      <c r="M7" s="1693"/>
    </row>
    <row r="8" spans="2:14" x14ac:dyDescent="0.25">
      <c r="B8" s="1693" t="s">
        <v>1511</v>
      </c>
      <c r="C8" s="1693"/>
      <c r="D8" s="1693"/>
      <c r="E8" s="1693"/>
      <c r="F8" s="1693"/>
      <c r="G8" s="1693"/>
      <c r="H8" s="1693"/>
      <c r="I8" s="1693"/>
      <c r="J8" s="1693"/>
      <c r="K8" s="1693"/>
      <c r="L8" s="1693"/>
      <c r="M8" s="1693"/>
    </row>
    <row r="9" spans="2:14" x14ac:dyDescent="0.25">
      <c r="B9" s="1694" t="s">
        <v>886</v>
      </c>
      <c r="C9" s="1694"/>
      <c r="D9" s="1694"/>
      <c r="E9" s="1694"/>
      <c r="F9" s="1694"/>
      <c r="G9" s="1694"/>
      <c r="H9" s="1694"/>
      <c r="I9" s="1694"/>
      <c r="J9" s="1694"/>
      <c r="K9" s="1694"/>
      <c r="L9" s="1694"/>
      <c r="M9" s="1694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726" t="s">
        <v>7</v>
      </c>
      <c r="C11" s="1726" t="s">
        <v>802</v>
      </c>
      <c r="D11" s="1728" t="s">
        <v>9</v>
      </c>
      <c r="E11" s="1046" t="s">
        <v>12</v>
      </c>
      <c r="F11" s="1730" t="s">
        <v>13</v>
      </c>
      <c r="G11" s="1724" t="s">
        <v>14</v>
      </c>
      <c r="H11" s="1724" t="s">
        <v>15</v>
      </c>
      <c r="I11" s="1724" t="s">
        <v>16</v>
      </c>
      <c r="J11" s="1724" t="s">
        <v>17</v>
      </c>
      <c r="K11" s="1724" t="s">
        <v>18</v>
      </c>
      <c r="L11" s="1724" t="s">
        <v>19</v>
      </c>
      <c r="M11" s="1724" t="s">
        <v>20</v>
      </c>
    </row>
    <row r="12" spans="2:14" ht="16.5" customHeight="1" x14ac:dyDescent="0.25">
      <c r="B12" s="1727"/>
      <c r="C12" s="1727"/>
      <c r="D12" s="1729"/>
      <c r="E12" s="1046" t="s">
        <v>21</v>
      </c>
      <c r="F12" s="1731"/>
      <c r="G12" s="1725"/>
      <c r="H12" s="1725"/>
      <c r="I12" s="1725"/>
      <c r="J12" s="1725"/>
      <c r="K12" s="1725"/>
      <c r="L12" s="1725"/>
      <c r="M12" s="1725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11">+G60+G56+G52+G47+G43+G39+G35+G31+G27+G23+G19+G15</f>
        <v>257000</v>
      </c>
      <c r="H62" s="1140">
        <f t="shared" si="11"/>
        <v>7375.9000000000015</v>
      </c>
      <c r="I62" s="1140">
        <f t="shared" si="11"/>
        <v>45992.92</v>
      </c>
      <c r="J62" s="1140">
        <f t="shared" si="11"/>
        <v>7812.8000000000011</v>
      </c>
      <c r="K62" s="1045">
        <v>0</v>
      </c>
      <c r="L62" s="1140">
        <f t="shared" si="11"/>
        <v>61181.62</v>
      </c>
      <c r="M62" s="1140">
        <f t="shared" si="11"/>
        <v>195818.38000000003</v>
      </c>
    </row>
    <row r="72" hidden="1" x14ac:dyDescent="0.25"/>
    <row r="73" hidden="1" x14ac:dyDescent="0.25"/>
    <row r="75" ht="14.25" customHeight="1" x14ac:dyDescent="0.25"/>
    <row r="76" hidden="1" x14ac:dyDescent="0.25"/>
    <row r="80" ht="0.75" customHeight="1" x14ac:dyDescent="0.25"/>
    <row r="82" spans="2:13" ht="38.25" customHeight="1" x14ac:dyDescent="0.25">
      <c r="B82" s="916"/>
      <c r="C82" s="916"/>
      <c r="D82" s="917"/>
      <c r="E82" s="918"/>
      <c r="F82" s="919"/>
      <c r="G82" s="1696" t="s">
        <v>1372</v>
      </c>
      <c r="H82" s="1696"/>
      <c r="I82" s="1696"/>
      <c r="J82" s="1696"/>
      <c r="K82" s="1696"/>
      <c r="L82" s="1696"/>
    </row>
    <row r="83" spans="2:13" x14ac:dyDescent="0.25">
      <c r="B83" s="1083" t="s">
        <v>1238</v>
      </c>
      <c r="C83" s="1083"/>
      <c r="D83" s="921"/>
      <c r="E83" s="915"/>
      <c r="F83" s="915"/>
      <c r="G83" s="1702" t="s">
        <v>1222</v>
      </c>
      <c r="H83" s="1702"/>
      <c r="I83" s="1702"/>
      <c r="J83" s="1702"/>
      <c r="K83" s="1702"/>
      <c r="L83" s="1702"/>
    </row>
    <row r="84" spans="2:13" x14ac:dyDescent="0.25">
      <c r="B84" s="916" t="s">
        <v>1239</v>
      </c>
      <c r="C84" s="916"/>
      <c r="D84" s="915"/>
      <c r="E84" s="915"/>
      <c r="F84" s="923"/>
      <c r="G84" s="1701" t="s">
        <v>1224</v>
      </c>
      <c r="H84" s="1701"/>
      <c r="I84" s="1701"/>
      <c r="J84" s="1701"/>
      <c r="K84" s="1701"/>
      <c r="L84" s="1701"/>
    </row>
    <row r="88" spans="2:13" ht="30" customHeight="1" x14ac:dyDescent="0.25"/>
    <row r="94" spans="2:13" x14ac:dyDescent="0.25">
      <c r="E94" s="924"/>
      <c r="F94" s="923"/>
      <c r="G94" s="915"/>
      <c r="H94" s="1698"/>
      <c r="I94" s="1698"/>
      <c r="J94" s="1698"/>
      <c r="K94" s="1698"/>
      <c r="L94" s="1698"/>
      <c r="M94" s="1698"/>
    </row>
    <row r="95" spans="2:13" x14ac:dyDescent="0.25">
      <c r="E95" s="925"/>
      <c r="F95" s="1694"/>
      <c r="G95" s="1694"/>
      <c r="H95" s="1694"/>
      <c r="I95" s="1694"/>
      <c r="J95" s="1694"/>
      <c r="K95" s="926"/>
      <c r="L95" s="926"/>
      <c r="M95" s="886"/>
    </row>
    <row r="96" spans="2:13" x14ac:dyDescent="0.25">
      <c r="E96" s="927" t="s">
        <v>641</v>
      </c>
      <c r="F96" s="927"/>
      <c r="G96" s="927"/>
      <c r="H96" s="927"/>
      <c r="I96" s="927"/>
      <c r="J96" s="927"/>
      <c r="K96" s="927"/>
      <c r="L96" s="927"/>
      <c r="M96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82:L82"/>
    <mergeCell ref="G83:L83"/>
    <mergeCell ref="G84:L84"/>
    <mergeCell ref="H94:M94"/>
    <mergeCell ref="F95:J95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0298AD-2D5F-42DA-9349-D0BA746E02A6}">
  <dimension ref="B5:M54"/>
  <sheetViews>
    <sheetView showGridLines="0" topLeftCell="B13" zoomScale="118" zoomScaleNormal="118" workbookViewId="0">
      <selection activeCell="K44" sqref="K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556" t="s">
        <v>0</v>
      </c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</row>
    <row r="6" spans="2:13" x14ac:dyDescent="0.25">
      <c r="B6" s="1556" t="s">
        <v>1</v>
      </c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2:13" x14ac:dyDescent="0.25">
      <c r="B7" s="1556" t="s">
        <v>3</v>
      </c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2:13" x14ac:dyDescent="0.25">
      <c r="B8" s="1556" t="s">
        <v>1512</v>
      </c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2:13" x14ac:dyDescent="0.25">
      <c r="B9" s="1557" t="s">
        <v>1197</v>
      </c>
      <c r="C9" s="1557"/>
      <c r="D9" s="1557"/>
      <c r="E9" s="1557"/>
      <c r="F9" s="1557"/>
      <c r="G9" s="1557"/>
      <c r="H9" s="1557"/>
      <c r="I9" s="1557"/>
      <c r="J9" s="1557"/>
      <c r="K9" s="1557"/>
      <c r="L9" s="1557"/>
      <c r="M9" s="1557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712" t="s">
        <v>7</v>
      </c>
      <c r="C11" s="1709" t="s">
        <v>802</v>
      </c>
      <c r="D11" s="1709" t="s">
        <v>9</v>
      </c>
      <c r="E11" s="1067" t="s">
        <v>12</v>
      </c>
      <c r="F11" s="1721" t="s">
        <v>13</v>
      </c>
      <c r="G11" s="1720" t="s">
        <v>14</v>
      </c>
      <c r="H11" s="1720" t="s">
        <v>15</v>
      </c>
      <c r="I11" s="1720" t="s">
        <v>16</v>
      </c>
      <c r="J11" s="1720" t="s">
        <v>17</v>
      </c>
      <c r="K11" s="1720" t="s">
        <v>18</v>
      </c>
      <c r="L11" s="1720" t="s">
        <v>19</v>
      </c>
      <c r="M11" s="1720" t="s">
        <v>20</v>
      </c>
    </row>
    <row r="12" spans="2:13" ht="15" customHeight="1" x14ac:dyDescent="0.25">
      <c r="B12" s="1712"/>
      <c r="C12" s="1709"/>
      <c r="D12" s="1709"/>
      <c r="E12" s="1067" t="s">
        <v>21</v>
      </c>
      <c r="F12" s="1721"/>
      <c r="G12" s="1720"/>
      <c r="H12" s="1720"/>
      <c r="I12" s="1720"/>
      <c r="J12" s="1720"/>
      <c r="K12" s="1720"/>
      <c r="L12" s="1720"/>
      <c r="M12" s="1720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19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42" ht="9.75" customHeight="1" x14ac:dyDescent="0.25"/>
    <row r="43" hidden="1" x14ac:dyDescent="0.25"/>
    <row r="49" spans="2:13" ht="38.25" customHeight="1" x14ac:dyDescent="0.25">
      <c r="B49" s="542"/>
      <c r="C49" s="542"/>
      <c r="D49" s="543"/>
      <c r="E49" s="544"/>
      <c r="F49" s="545"/>
      <c r="G49" s="1682" t="s">
        <v>1250</v>
      </c>
      <c r="H49" s="1682"/>
      <c r="I49" s="1682"/>
      <c r="J49" s="1682"/>
      <c r="K49" s="1682"/>
      <c r="L49" s="1682"/>
      <c r="M49" s="544"/>
    </row>
    <row r="50" spans="2:13" x14ac:dyDescent="0.25">
      <c r="B50" s="1082" t="s">
        <v>857</v>
      </c>
      <c r="C50" s="546"/>
      <c r="D50" s="538"/>
      <c r="E50" s="537"/>
      <c r="F50" s="537"/>
      <c r="G50" s="1627" t="s">
        <v>852</v>
      </c>
      <c r="H50" s="1627"/>
      <c r="I50" s="1627"/>
      <c r="J50" s="1627"/>
      <c r="K50" s="1627"/>
      <c r="L50" s="1627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628" t="s">
        <v>1506</v>
      </c>
      <c r="H51" s="1628"/>
      <c r="I51" s="1628"/>
      <c r="J51" s="1628"/>
      <c r="K51" s="1628"/>
      <c r="L51" s="1628"/>
      <c r="M51" s="537"/>
    </row>
    <row r="52" spans="2:13" x14ac:dyDescent="0.25">
      <c r="B52" s="546"/>
      <c r="C52" s="546"/>
      <c r="D52" s="547"/>
      <c r="E52" s="541"/>
      <c r="F52" s="540"/>
      <c r="G52" s="537"/>
      <c r="H52" s="1629"/>
      <c r="I52" s="1629"/>
      <c r="J52" s="1629"/>
      <c r="K52" s="1629"/>
      <c r="L52" s="1629"/>
      <c r="M52" s="1629"/>
    </row>
    <row r="53" spans="2:13" ht="15.75" x14ac:dyDescent="0.25">
      <c r="B53" s="267"/>
      <c r="C53" s="267"/>
      <c r="D53" s="268"/>
      <c r="E53" s="269"/>
      <c r="F53" s="1549"/>
      <c r="G53" s="1549"/>
      <c r="H53" s="1549"/>
      <c r="I53" s="1549"/>
      <c r="J53" s="1549"/>
      <c r="K53" s="271"/>
      <c r="L53" s="271"/>
      <c r="M53" s="259"/>
    </row>
    <row r="54" spans="2:13" ht="50.25" customHeight="1" x14ac:dyDescent="0.25">
      <c r="E54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9:L49"/>
    <mergeCell ref="G50:L50"/>
    <mergeCell ref="G51:L51"/>
    <mergeCell ref="H52:M52"/>
    <mergeCell ref="F53:J53"/>
  </mergeCells>
  <phoneticPr fontId="54" type="noConversion"/>
  <pageMargins left="0.57999999999999996" right="0.12" top="0.74803149606299213" bottom="0.74803149606299213" header="0.31496062992125984" footer="0.31496062992125984"/>
  <pageSetup scale="51" orientation="landscape" r:id="rId1"/>
  <drawing r:id="rId2"/>
</worksheet>
</file>

<file path=xl/worksheets/sheet2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83C098-AE85-47F4-92A9-A264B28E607E}">
  <dimension ref="A1:N49"/>
  <sheetViews>
    <sheetView topLeftCell="A16" zoomScaleNormal="100" workbookViewId="0">
      <selection sqref="A1:XFD49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551" t="s">
        <v>0</v>
      </c>
      <c r="B6" s="1551"/>
      <c r="C6" s="1551"/>
      <c r="D6" s="1551"/>
      <c r="E6" s="1551"/>
      <c r="F6" s="1551"/>
      <c r="G6" s="1551"/>
      <c r="H6" s="1551"/>
      <c r="I6" s="1551"/>
      <c r="J6" s="1551"/>
      <c r="K6" s="1551"/>
      <c r="L6" s="1551"/>
      <c r="M6" s="1551"/>
      <c r="N6" s="259"/>
    </row>
    <row r="7" spans="1:14" x14ac:dyDescent="0.25">
      <c r="A7" s="1551" t="s">
        <v>1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259"/>
    </row>
    <row r="8" spans="1:14" x14ac:dyDescent="0.25">
      <c r="A8" s="1551" t="s">
        <v>3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259"/>
    </row>
    <row r="9" spans="1:14" x14ac:dyDescent="0.25">
      <c r="A9" s="1551" t="s">
        <v>1513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259"/>
    </row>
    <row r="10" spans="1:14" x14ac:dyDescent="0.25">
      <c r="A10" s="1637" t="s">
        <v>412</v>
      </c>
      <c r="B10" s="1637"/>
      <c r="C10" s="1637"/>
      <c r="D10" s="1637"/>
      <c r="E10" s="1637"/>
      <c r="F10" s="1637"/>
      <c r="G10" s="1637"/>
      <c r="H10" s="1637"/>
      <c r="I10" s="1637"/>
      <c r="J10" s="1637"/>
      <c r="K10" s="1637"/>
      <c r="L10" s="1637"/>
      <c r="M10" s="1637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712" t="s">
        <v>7</v>
      </c>
      <c r="B12" s="1709" t="s">
        <v>937</v>
      </c>
      <c r="C12" s="1709" t="s">
        <v>9</v>
      </c>
      <c r="D12" s="1067" t="s">
        <v>832</v>
      </c>
      <c r="E12" s="1721" t="s">
        <v>12</v>
      </c>
      <c r="F12" s="1720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12" t="s">
        <v>20</v>
      </c>
    </row>
    <row r="13" spans="1:14" x14ac:dyDescent="0.25">
      <c r="A13" s="1712"/>
      <c r="B13" s="1709"/>
      <c r="C13" s="1709"/>
      <c r="D13" s="1067" t="s">
        <v>21</v>
      </c>
      <c r="E13" s="1721" t="s">
        <v>21</v>
      </c>
      <c r="F13" s="1720"/>
      <c r="G13" s="1720"/>
      <c r="H13" s="1720"/>
      <c r="I13" s="1720"/>
      <c r="J13" s="1720"/>
      <c r="K13" s="1720"/>
      <c r="L13" s="1720"/>
      <c r="M13" s="1712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626" t="s">
        <v>1225</v>
      </c>
      <c r="I39" s="1626"/>
      <c r="J39" s="1626"/>
      <c r="K39" s="1626"/>
      <c r="L39" s="1626"/>
      <c r="M39" s="1626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627" t="s">
        <v>852</v>
      </c>
      <c r="I40" s="1627"/>
      <c r="J40" s="1627"/>
      <c r="K40" s="1627"/>
      <c r="L40" s="1627"/>
      <c r="M40" s="1627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628" t="s">
        <v>1521</v>
      </c>
      <c r="I41" s="1628"/>
      <c r="J41" s="1628"/>
      <c r="K41" s="1628"/>
      <c r="L41" s="1628"/>
      <c r="M41" s="1628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629"/>
      <c r="J42" s="1629"/>
      <c r="K42" s="1629"/>
      <c r="L42" s="1629"/>
      <c r="M42" s="1629"/>
      <c r="N42" s="1629"/>
    </row>
    <row r="43" spans="1:14" ht="15.75" x14ac:dyDescent="0.25">
      <c r="A43" s="267"/>
      <c r="B43" s="267"/>
      <c r="C43" s="267"/>
      <c r="D43" s="268"/>
      <c r="E43" s="268"/>
      <c r="F43" s="269"/>
      <c r="G43" s="1549"/>
      <c r="H43" s="1549"/>
      <c r="I43" s="1549"/>
      <c r="J43" s="1549"/>
      <c r="K43" s="1549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43:K43"/>
    <mergeCell ref="G12:G13"/>
    <mergeCell ref="H12:H13"/>
    <mergeCell ref="I12:I13"/>
    <mergeCell ref="J12:J13"/>
    <mergeCell ref="K12:K13"/>
    <mergeCell ref="M12:M13"/>
    <mergeCell ref="H39:M39"/>
    <mergeCell ref="H40:M40"/>
    <mergeCell ref="H41:M41"/>
    <mergeCell ref="I42:N42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01FEA8-EE4F-4CB9-B3AB-1F648838B5F2}">
  <sheetPr>
    <pageSetUpPr fitToPage="1"/>
  </sheetPr>
  <dimension ref="B6:M37"/>
  <sheetViews>
    <sheetView showGridLines="0" topLeftCell="A5" zoomScale="118" zoomScaleNormal="118" workbookViewId="0">
      <selection activeCell="B33" sqref="B33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56" t="s">
        <v>0</v>
      </c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</row>
    <row r="7" spans="2:13" x14ac:dyDescent="0.25">
      <c r="B7" s="1556" t="s">
        <v>1</v>
      </c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</row>
    <row r="8" spans="2:13" x14ac:dyDescent="0.25">
      <c r="B8" s="1556" t="s">
        <v>3</v>
      </c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</row>
    <row r="9" spans="2:13" x14ac:dyDescent="0.25">
      <c r="B9" s="1556" t="s">
        <v>1514</v>
      </c>
      <c r="C9" s="1556"/>
      <c r="D9" s="1556"/>
      <c r="E9" s="1556"/>
      <c r="F9" s="1556"/>
      <c r="G9" s="1556"/>
      <c r="H9" s="1556"/>
      <c r="I9" s="1556"/>
      <c r="J9" s="1556"/>
      <c r="K9" s="1556"/>
      <c r="L9" s="1556"/>
      <c r="M9" s="1556"/>
    </row>
    <row r="10" spans="2:13" x14ac:dyDescent="0.25">
      <c r="B10" s="1557" t="s">
        <v>1197</v>
      </c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  <c r="M10" s="1557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712" t="s">
        <v>7</v>
      </c>
      <c r="C12" s="1709" t="s">
        <v>802</v>
      </c>
      <c r="D12" s="1709" t="s">
        <v>10</v>
      </c>
      <c r="E12" s="1067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2:13" ht="15" customHeight="1" x14ac:dyDescent="0.25">
      <c r="B13" s="1712"/>
      <c r="C13" s="1709"/>
      <c r="D13" s="1709"/>
      <c r="E13" s="1067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x14ac:dyDescent="0.25"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  <c r="M31" s="537"/>
    </row>
    <row r="32" spans="2:13" ht="38.25" customHeight="1" x14ac:dyDescent="0.25">
      <c r="B32" s="542"/>
      <c r="C32" s="542"/>
      <c r="D32" s="543"/>
      <c r="E32" s="544"/>
      <c r="F32" s="545"/>
      <c r="G32" s="1682" t="s">
        <v>1255</v>
      </c>
      <c r="H32" s="1682"/>
      <c r="I32" s="1682"/>
      <c r="J32" s="1682"/>
      <c r="K32" s="1682"/>
      <c r="L32" s="1682"/>
      <c r="M32" s="544"/>
    </row>
    <row r="33" spans="2:13" x14ac:dyDescent="0.25">
      <c r="B33" s="1082" t="s">
        <v>1507</v>
      </c>
      <c r="C33" s="1082"/>
      <c r="D33" s="538"/>
      <c r="E33" s="537"/>
      <c r="F33" s="537"/>
      <c r="G33" s="1627" t="s">
        <v>852</v>
      </c>
      <c r="H33" s="1627"/>
      <c r="I33" s="1627"/>
      <c r="J33" s="1627"/>
      <c r="K33" s="1627"/>
      <c r="L33" s="1627"/>
      <c r="M33" s="539"/>
    </row>
    <row r="34" spans="2:13" x14ac:dyDescent="0.25">
      <c r="B34" s="542" t="s">
        <v>1520</v>
      </c>
      <c r="C34" s="542"/>
      <c r="D34" s="537"/>
      <c r="E34" s="537"/>
      <c r="F34" s="540"/>
      <c r="G34" s="1628" t="s">
        <v>1506</v>
      </c>
      <c r="H34" s="1628"/>
      <c r="I34" s="1628"/>
      <c r="J34" s="1628"/>
      <c r="K34" s="1628"/>
      <c r="L34" s="1628"/>
      <c r="M34" s="537"/>
    </row>
    <row r="35" spans="2:13" x14ac:dyDescent="0.25">
      <c r="B35" s="546"/>
      <c r="C35" s="546"/>
      <c r="D35" s="547"/>
      <c r="E35" s="541"/>
      <c r="F35" s="540"/>
      <c r="G35" s="537"/>
      <c r="H35" s="1629"/>
      <c r="I35" s="1629"/>
      <c r="J35" s="1629"/>
      <c r="K35" s="1629"/>
      <c r="L35" s="1629"/>
      <c r="M35" s="1629"/>
    </row>
    <row r="36" spans="2:13" ht="15.75" x14ac:dyDescent="0.25">
      <c r="B36" s="267"/>
      <c r="C36" s="267"/>
      <c r="D36" s="268"/>
      <c r="E36" s="269"/>
      <c r="F36" s="1549"/>
      <c r="G36" s="1549"/>
      <c r="H36" s="1549"/>
      <c r="I36" s="1549"/>
      <c r="J36" s="1549"/>
      <c r="K36" s="271"/>
      <c r="L36" s="271"/>
      <c r="M36" s="259"/>
    </row>
    <row r="37" spans="2:13" x14ac:dyDescent="0.25">
      <c r="E37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2:L32"/>
    <mergeCell ref="G33:L33"/>
    <mergeCell ref="G34:L34"/>
    <mergeCell ref="H35:M35"/>
    <mergeCell ref="F36:J36"/>
  </mergeCells>
  <pageMargins left="0.7" right="0.36" top="0.75" bottom="0.75" header="0.3" footer="0.3"/>
  <pageSetup paperSize="3" scale="68" orientation="landscape" r:id="rId1"/>
  <drawing r:id="rId2"/>
</worksheet>
</file>

<file path=xl/worksheets/sheet2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D0FAA3-DFC7-4CE6-9754-9B947BC45A55}">
  <dimension ref="A1:N270"/>
  <sheetViews>
    <sheetView showGridLines="0" zoomScale="80" zoomScaleNormal="80" workbookViewId="0">
      <selection activeCell="A9" sqref="A9:M9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685" t="s">
        <v>1502</v>
      </c>
      <c r="B6" s="1685"/>
      <c r="C6" s="1685"/>
      <c r="D6" s="1685"/>
      <c r="E6" s="1685"/>
      <c r="F6" s="1685"/>
      <c r="G6" s="1685"/>
      <c r="H6" s="1685"/>
      <c r="I6" s="1685"/>
      <c r="J6" s="1685"/>
      <c r="K6" s="1685"/>
      <c r="L6" s="1685"/>
      <c r="M6" s="1685"/>
    </row>
    <row r="7" spans="1:14" ht="0.75" customHeight="1" x14ac:dyDescent="0.25">
      <c r="A7" s="1685"/>
      <c r="B7" s="1685"/>
      <c r="C7" s="1685"/>
      <c r="D7" s="1685"/>
      <c r="E7" s="1685"/>
      <c r="F7" s="1685"/>
      <c r="G7" s="1685"/>
      <c r="H7" s="1685"/>
      <c r="I7" s="1685"/>
      <c r="J7" s="1685"/>
      <c r="K7" s="1685"/>
      <c r="L7" s="1685"/>
      <c r="M7" s="1685"/>
      <c r="N7" s="1685"/>
    </row>
    <row r="8" spans="1:14" ht="15.75" x14ac:dyDescent="0.25">
      <c r="A8" s="1685" t="s">
        <v>1460</v>
      </c>
      <c r="B8" s="1685"/>
      <c r="C8" s="1685"/>
      <c r="D8" s="1685"/>
      <c r="E8" s="1685"/>
      <c r="F8" s="1685"/>
      <c r="G8" s="1685"/>
      <c r="H8" s="1685"/>
      <c r="I8" s="1685"/>
      <c r="J8" s="1685"/>
      <c r="K8" s="1685"/>
      <c r="L8" s="1685"/>
      <c r="M8" s="1685"/>
    </row>
    <row r="9" spans="1:14" ht="15.75" x14ac:dyDescent="0.25">
      <c r="A9" s="1685" t="s">
        <v>1522</v>
      </c>
      <c r="B9" s="1685"/>
      <c r="C9" s="1685"/>
      <c r="D9" s="1685"/>
      <c r="E9" s="1685"/>
      <c r="F9" s="1685"/>
      <c r="G9" s="1685"/>
      <c r="H9" s="1685"/>
      <c r="I9" s="1685"/>
      <c r="J9" s="1685"/>
      <c r="K9" s="1685"/>
      <c r="L9" s="1685"/>
      <c r="M9" s="1685"/>
    </row>
    <row r="10" spans="1:14" ht="15.75" x14ac:dyDescent="0.25">
      <c r="A10" s="1706" t="s">
        <v>404</v>
      </c>
      <c r="B10" s="1706"/>
      <c r="C10" s="1706"/>
      <c r="D10" s="1706"/>
      <c r="E10" s="1706"/>
      <c r="F10" s="1706"/>
      <c r="G10" s="1706"/>
      <c r="H10" s="1706"/>
      <c r="I10" s="1706"/>
      <c r="J10" s="1706"/>
      <c r="K10" s="1706"/>
      <c r="L10" s="1706"/>
      <c r="M10" s="170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707" t="s">
        <v>7</v>
      </c>
      <c r="B12" s="1707" t="s">
        <v>802</v>
      </c>
      <c r="C12" s="1707" t="s">
        <v>9</v>
      </c>
      <c r="D12" s="1707" t="s">
        <v>11</v>
      </c>
      <c r="E12" s="1057" t="s">
        <v>12</v>
      </c>
      <c r="F12" s="1704" t="s">
        <v>13</v>
      </c>
      <c r="G12" s="1705" t="s">
        <v>14</v>
      </c>
      <c r="H12" s="1705" t="s">
        <v>15</v>
      </c>
      <c r="I12" s="1723" t="s">
        <v>16</v>
      </c>
      <c r="J12" s="1705" t="s">
        <v>17</v>
      </c>
      <c r="K12" s="1723" t="s">
        <v>18</v>
      </c>
      <c r="L12" s="1723" t="s">
        <v>19</v>
      </c>
      <c r="M12" s="1705" t="s">
        <v>20</v>
      </c>
    </row>
    <row r="13" spans="1:14" ht="15.75" x14ac:dyDescent="0.25">
      <c r="A13" s="1707"/>
      <c r="B13" s="1707"/>
      <c r="C13" s="1707"/>
      <c r="D13" s="1707"/>
      <c r="E13" s="1057" t="s">
        <v>21</v>
      </c>
      <c r="F13" s="1704"/>
      <c r="G13" s="1705"/>
      <c r="H13" s="1705"/>
      <c r="I13" s="1723"/>
      <c r="J13" s="1705"/>
      <c r="K13" s="1723"/>
      <c r="L13" s="1723"/>
      <c r="M13" s="1705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3">
        <f>SUM(H22:H25)</f>
        <v>6299.65</v>
      </c>
      <c r="I26" s="963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965">
        <f t="shared" si="3"/>
        <v>1248.45</v>
      </c>
      <c r="I30" s="963">
        <f t="shared" si="3"/>
        <v>936.62</v>
      </c>
      <c r="J30" s="965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3">
        <f t="shared" si="6"/>
        <v>13130.250000000002</v>
      </c>
      <c r="I40" s="963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5">
        <f t="shared" ref="H44:L44" si="7">SUM(H43)</f>
        <v>2152.5</v>
      </c>
      <c r="I44" s="963">
        <f t="shared" si="7"/>
        <v>6309.38</v>
      </c>
      <c r="J44" s="965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8">SUM(F47:F48)</f>
        <v>0</v>
      </c>
      <c r="G49" s="965">
        <f t="shared" si="8"/>
        <v>61500</v>
      </c>
      <c r="H49" s="965">
        <f t="shared" si="8"/>
        <v>1765.05</v>
      </c>
      <c r="I49" s="1071">
        <f t="shared" si="8"/>
        <v>0</v>
      </c>
      <c r="J49" s="965">
        <f t="shared" si="8"/>
        <v>1869.6</v>
      </c>
      <c r="K49" s="963">
        <f t="shared" si="8"/>
        <v>1765.46</v>
      </c>
      <c r="L49" s="963">
        <f t="shared" si="8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5">
        <f t="shared" si="9"/>
        <v>1004.5</v>
      </c>
      <c r="I53" s="1071">
        <f t="shared" si="9"/>
        <v>0</v>
      </c>
      <c r="J53" s="965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5">
        <f>SUM(H56:H58)</f>
        <v>3400.95</v>
      </c>
      <c r="I59" s="965">
        <f>SUM(I56:I58)</f>
        <v>1116.24</v>
      </c>
      <c r="J59" s="965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 t="shared" ref="F74" si="14">SUM(F71:F73)</f>
        <v>0</v>
      </c>
      <c r="G74" s="963">
        <f t="shared" ref="G74:K74" si="15">SUM(G62:G73)</f>
        <v>387000</v>
      </c>
      <c r="H74" s="963">
        <f t="shared" si="15"/>
        <v>11106.9</v>
      </c>
      <c r="I74" s="963">
        <f t="shared" si="15"/>
        <v>1873.24</v>
      </c>
      <c r="J74" s="963">
        <f t="shared" si="15"/>
        <v>11764.8</v>
      </c>
      <c r="K74" s="963">
        <f t="shared" si="15"/>
        <v>9260</v>
      </c>
      <c r="L74" s="963">
        <f>SUM(L62:L73)</f>
        <v>34004.94</v>
      </c>
      <c r="M74" s="963">
        <f>SUM(M62:M73)</f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6"/>
        <v>2205.5</v>
      </c>
      <c r="M79" s="953">
        <f t="shared" si="17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6"/>
        <v>1502.5</v>
      </c>
      <c r="M83" s="953">
        <f t="shared" si="17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 t="shared" ref="L87" si="18">+H87+I87+J87+K87</f>
        <v>9577.77</v>
      </c>
      <c r="M87" s="951">
        <f t="shared" si="17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7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3">
        <f t="shared" ref="H89:L89" si="19">SUM(H77:H88)</f>
        <v>9714.9500000000007</v>
      </c>
      <c r="I89" s="963">
        <f t="shared" si="19"/>
        <v>936.62</v>
      </c>
      <c r="J89" s="963">
        <f t="shared" si="19"/>
        <v>10290.4</v>
      </c>
      <c r="K89" s="963">
        <f>SUM(K77:K88)</f>
        <v>13915.93</v>
      </c>
      <c r="L89" s="963">
        <f t="shared" si="19"/>
        <v>34857.9</v>
      </c>
      <c r="M89" s="963">
        <f>SUM(M77:M88)</f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20">SUM(F92:F93)</f>
        <v>0</v>
      </c>
      <c r="G94" s="965">
        <f>SUM(G92:G93)</f>
        <v>92500</v>
      </c>
      <c r="H94" s="965">
        <f>SUM(H92:H93)</f>
        <v>2654.75</v>
      </c>
      <c r="I94" s="963">
        <f t="shared" si="20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1">
        <v>1248.48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21">SUM(G97:G99)</f>
        <v>142000</v>
      </c>
      <c r="H100" s="963">
        <f t="shared" si="21"/>
        <v>4075.43</v>
      </c>
      <c r="I100" s="963">
        <f t="shared" si="21"/>
        <v>4432.92</v>
      </c>
      <c r="J100" s="963">
        <f t="shared" si="21"/>
        <v>4316.8</v>
      </c>
      <c r="K100" s="963">
        <f t="shared" si="21"/>
        <v>1346.7</v>
      </c>
      <c r="L100" s="963">
        <f t="shared" si="21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5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963">
        <v>5368.48</v>
      </c>
      <c r="J104" s="963">
        <f>SUM(J103:J103)</f>
        <v>2128</v>
      </c>
      <c r="K104" s="963">
        <f>SUM(K103:K103)</f>
        <v>25</v>
      </c>
      <c r="L104" s="963">
        <f>SUM(L103:L103)</f>
        <v>9530.48</v>
      </c>
      <c r="M104" s="963">
        <f>SUM(M103:M103)</f>
        <v>60469.520000000004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22">SUM(G107:G108)</f>
        <v>87000</v>
      </c>
      <c r="H109" s="963">
        <f t="shared" si="22"/>
        <v>2496.9</v>
      </c>
      <c r="I109" s="963">
        <f>SUM(I107:I108)</f>
        <v>1873.24</v>
      </c>
      <c r="J109" s="963">
        <f t="shared" si="22"/>
        <v>2644.8</v>
      </c>
      <c r="K109" s="963">
        <f t="shared" si="22"/>
        <v>50</v>
      </c>
      <c r="L109" s="963">
        <f t="shared" si="22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23">SUM(G112:G112)</f>
        <v>80000</v>
      </c>
      <c r="H113" s="965">
        <f t="shared" si="23"/>
        <v>2296</v>
      </c>
      <c r="I113" s="963">
        <f t="shared" si="23"/>
        <v>6972</v>
      </c>
      <c r="J113" s="965">
        <f t="shared" si="23"/>
        <v>2432</v>
      </c>
      <c r="K113" s="963">
        <f t="shared" si="23"/>
        <v>1740.46</v>
      </c>
      <c r="L113" s="963">
        <f t="shared" si="23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51">
        <v>6972</v>
      </c>
      <c r="J117" s="953">
        <v>2432</v>
      </c>
      <c r="K117" s="951">
        <v>5884.86</v>
      </c>
      <c r="L117" s="951">
        <f>+H117+I117+J117+K117</f>
        <v>17584.86</v>
      </c>
      <c r="M117" s="953">
        <f t="shared" ref="M117:M122" si="24">+G117-L117</f>
        <v>62415.14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23">
        <v>0</v>
      </c>
      <c r="G118" s="1007">
        <v>70000</v>
      </c>
      <c r="H118" s="1007">
        <v>2009</v>
      </c>
      <c r="I118" s="1122">
        <v>5025.38</v>
      </c>
      <c r="J118" s="1007">
        <v>2128</v>
      </c>
      <c r="K118" s="1122">
        <v>12023.24</v>
      </c>
      <c r="L118" s="1122">
        <f>+H118+I118+J118+K118</f>
        <v>21185.620000000003</v>
      </c>
      <c r="M118" s="953">
        <f t="shared" si="24"/>
        <v>48814.38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4"/>
        <v>60469.520000000004</v>
      </c>
    </row>
    <row r="120" spans="1:13" ht="18.75" x14ac:dyDescent="0.3">
      <c r="A120" s="958" t="s">
        <v>484</v>
      </c>
      <c r="B120" s="950" t="s">
        <v>807</v>
      </c>
      <c r="C120" s="977" t="s">
        <v>166</v>
      </c>
      <c r="D120" s="960" t="s">
        <v>307</v>
      </c>
      <c r="E120" s="951">
        <v>37500</v>
      </c>
      <c r="F120" s="974">
        <v>0</v>
      </c>
      <c r="G120" s="953">
        <v>37500</v>
      </c>
      <c r="H120" s="953">
        <v>1076.25</v>
      </c>
      <c r="I120" s="974">
        <v>89.81</v>
      </c>
      <c r="J120" s="953">
        <v>1140</v>
      </c>
      <c r="K120" s="951">
        <v>728</v>
      </c>
      <c r="L120" s="951">
        <f>+H120+I120+J120+K120</f>
        <v>3034.06</v>
      </c>
      <c r="M120" s="953">
        <f t="shared" si="24"/>
        <v>34465.94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974">
        <v>0</v>
      </c>
      <c r="J121" s="953">
        <v>957.6</v>
      </c>
      <c r="K121" s="951">
        <v>25</v>
      </c>
      <c r="L121" s="951">
        <v>1886.65</v>
      </c>
      <c r="M121" s="953">
        <f t="shared" si="24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974">
        <v>936.62</v>
      </c>
      <c r="J122" s="953">
        <v>1322.4</v>
      </c>
      <c r="K122" s="951">
        <v>25</v>
      </c>
      <c r="L122" s="951">
        <f>+H122+I122+J122+K122</f>
        <v>3532.4700000000003</v>
      </c>
      <c r="M122" s="953">
        <f t="shared" si="24"/>
        <v>39967.53</v>
      </c>
    </row>
    <row r="123" spans="1:13" ht="18.75" x14ac:dyDescent="0.3">
      <c r="A123" s="961" t="s">
        <v>749</v>
      </c>
      <c r="B123" s="950"/>
      <c r="C123" s="962">
        <v>7</v>
      </c>
      <c r="D123" s="962"/>
      <c r="E123" s="963">
        <f>SUM(E116:E122)</f>
        <v>517500</v>
      </c>
      <c r="F123" s="964">
        <f t="shared" ref="F123:K123" si="25">SUM(F116:F122)</f>
        <v>0</v>
      </c>
      <c r="G123" s="963">
        <f t="shared" si="25"/>
        <v>517500</v>
      </c>
      <c r="H123" s="963">
        <f t="shared" si="25"/>
        <v>14852.25</v>
      </c>
      <c r="I123" s="963">
        <f t="shared" si="25"/>
        <v>50491.780000000006</v>
      </c>
      <c r="J123" s="963">
        <f t="shared" si="25"/>
        <v>15732</v>
      </c>
      <c r="K123" s="963">
        <f t="shared" si="25"/>
        <v>18736.099999999999</v>
      </c>
      <c r="L123" s="963">
        <f>SUM(L116:L122)</f>
        <v>99812.12999999999</v>
      </c>
      <c r="M123" s="963">
        <f>SUM(M116:M122)</f>
        <v>417687.87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1">
        <v>1854</v>
      </c>
      <c r="J126" s="953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1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6">SUM(F126:F128)</f>
        <v>0</v>
      </c>
      <c r="G129" s="963">
        <f t="shared" si="26"/>
        <v>148500</v>
      </c>
      <c r="H129" s="963">
        <f t="shared" si="26"/>
        <v>4261.95</v>
      </c>
      <c r="I129" s="963">
        <f t="shared" si="26"/>
        <v>5350.3</v>
      </c>
      <c r="J129" s="963">
        <f t="shared" si="26"/>
        <v>4514.3999999999996</v>
      </c>
      <c r="K129" s="963">
        <f t="shared" si="26"/>
        <v>3044.13</v>
      </c>
      <c r="L129" s="963">
        <f t="shared" si="26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5" si="27"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ref="M133:M135" si="28"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974">
        <v>936.62</v>
      </c>
      <c r="J135" s="951">
        <v>1322.4</v>
      </c>
      <c r="K135" s="951">
        <v>25</v>
      </c>
      <c r="L135" s="951">
        <f t="shared" si="27"/>
        <v>3532.4700000000003</v>
      </c>
      <c r="M135" s="951">
        <f t="shared" si="28"/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9">SUM(G132:G135)</f>
        <v>233500</v>
      </c>
      <c r="H136" s="963">
        <f t="shared" si="29"/>
        <v>6701.45</v>
      </c>
      <c r="I136" s="963">
        <f t="shared" si="29"/>
        <v>13456.85</v>
      </c>
      <c r="J136" s="963">
        <f t="shared" si="29"/>
        <v>7098.4</v>
      </c>
      <c r="K136" s="963">
        <f t="shared" si="29"/>
        <v>1706</v>
      </c>
      <c r="L136" s="963">
        <f t="shared" si="29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1"/>
      <c r="J137" s="953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3"/>
      <c r="J138" s="965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1">
        <v>32099.49</v>
      </c>
      <c r="J139" s="953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 t="shared" ref="M140:M141" si="30"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1">
        <v>1854</v>
      </c>
      <c r="J141" s="953">
        <v>1520</v>
      </c>
      <c r="K141" s="951">
        <v>2025</v>
      </c>
      <c r="L141" s="951">
        <f>+H141+I141+J141+K141</f>
        <v>6834</v>
      </c>
      <c r="M141" s="953">
        <f t="shared" si="30"/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31">SUM(G139:G141)</f>
        <v>290000</v>
      </c>
      <c r="H142" s="965">
        <f t="shared" si="31"/>
        <v>8323</v>
      </c>
      <c r="I142" s="963">
        <f t="shared" si="31"/>
        <v>36513.17</v>
      </c>
      <c r="J142" s="965">
        <f t="shared" si="31"/>
        <v>8816</v>
      </c>
      <c r="K142" s="963">
        <f t="shared" si="31"/>
        <v>5990.1</v>
      </c>
      <c r="L142" s="963">
        <f t="shared" si="31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3"/>
      <c r="J143" s="965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3"/>
      <c r="J144" s="965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1">
        <v>7400.87</v>
      </c>
      <c r="J145" s="972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31500</v>
      </c>
      <c r="F146" s="974">
        <v>0</v>
      </c>
      <c r="G146" s="951">
        <v>31500</v>
      </c>
      <c r="H146" s="951">
        <v>904.05</v>
      </c>
      <c r="I146" s="974">
        <v>0</v>
      </c>
      <c r="J146" s="951">
        <v>957.6</v>
      </c>
      <c r="K146" s="951">
        <v>25</v>
      </c>
      <c r="L146" s="951">
        <v>1886.65</v>
      </c>
      <c r="M146" s="951">
        <f>+E146-L146</f>
        <v>29613.35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111500</v>
      </c>
      <c r="F147" s="1071">
        <v>0</v>
      </c>
      <c r="G147" s="963">
        <f t="shared" ref="G147:K147" si="32">SUM(G145:G146)</f>
        <v>111500</v>
      </c>
      <c r="H147" s="963">
        <f t="shared" si="32"/>
        <v>3200.05</v>
      </c>
      <c r="I147" s="963">
        <f t="shared" si="32"/>
        <v>7400.87</v>
      </c>
      <c r="J147" s="963">
        <f>SUM(J145:J146)</f>
        <v>3389.6</v>
      </c>
      <c r="K147" s="963">
        <f t="shared" si="32"/>
        <v>2122.1999999999998</v>
      </c>
      <c r="L147" s="963">
        <f>SUM(L145:L146)</f>
        <v>16112.72</v>
      </c>
      <c r="M147" s="963">
        <f>SUM(M145:M146)</f>
        <v>95387.28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3">SUM(E150:E150)</f>
        <v>43500</v>
      </c>
      <c r="F151" s="964">
        <f t="shared" si="33"/>
        <v>0</v>
      </c>
      <c r="G151" s="965">
        <f t="shared" si="33"/>
        <v>43500</v>
      </c>
      <c r="H151" s="965">
        <f t="shared" si="33"/>
        <v>1248.45</v>
      </c>
      <c r="I151" s="1091">
        <f t="shared" si="33"/>
        <v>936.62</v>
      </c>
      <c r="J151" s="996">
        <f t="shared" si="33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 t="shared" ref="M155:M156" si="34"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1">
        <f>+H156+I156+J156+K156</f>
        <v>5532.47</v>
      </c>
      <c r="M156" s="953">
        <f t="shared" si="34"/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5">SUM(F157)</f>
        <v>0</v>
      </c>
      <c r="G158" s="963">
        <f t="shared" ref="G158:L158" si="36">SUM(G154:G157)</f>
        <v>237000</v>
      </c>
      <c r="H158" s="963">
        <f t="shared" si="36"/>
        <v>6801.9</v>
      </c>
      <c r="I158" s="963">
        <f t="shared" si="36"/>
        <v>14642.59</v>
      </c>
      <c r="J158" s="963">
        <f t="shared" si="36"/>
        <v>7204.7999999999993</v>
      </c>
      <c r="K158" s="963">
        <f t="shared" si="36"/>
        <v>4643.3999999999996</v>
      </c>
      <c r="L158" s="963">
        <f t="shared" si="3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1"/>
      <c r="M159" s="953"/>
    </row>
    <row r="160" spans="1:13" ht="37.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7">SUM(G161:G162)</f>
        <v>150000</v>
      </c>
      <c r="H163" s="963">
        <f t="shared" si="37"/>
        <v>4305</v>
      </c>
      <c r="I163" s="963">
        <f t="shared" si="37"/>
        <v>12769.349999999999</v>
      </c>
      <c r="J163" s="963">
        <f t="shared" si="37"/>
        <v>4560</v>
      </c>
      <c r="K163" s="963">
        <f t="shared" si="37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8">SUM(F166:F167)</f>
        <v>0</v>
      </c>
      <c r="G168" s="965">
        <f>SUM(G166:G167)</f>
        <v>123500</v>
      </c>
      <c r="H168" s="965">
        <f t="shared" si="38"/>
        <v>3544.45</v>
      </c>
      <c r="I168" s="963">
        <f t="shared" si="38"/>
        <v>8337.49</v>
      </c>
      <c r="J168" s="965">
        <f t="shared" si="38"/>
        <v>3754.4</v>
      </c>
      <c r="K168" s="963">
        <f t="shared" si="38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ref="L171:L176" si="39">+H171+I171+J171+K171</f>
        <v>3532.4700000000003</v>
      </c>
      <c r="M171" s="951">
        <f t="shared" ref="M171:M176" si="40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9"/>
        <v>3532.4700000000003</v>
      </c>
      <c r="M173" s="951">
        <f t="shared" si="40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9"/>
        <v>7854.75</v>
      </c>
      <c r="M174" s="951">
        <f t="shared" si="40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9"/>
        <v>3532.4700000000003</v>
      </c>
      <c r="M176" s="951">
        <f t="shared" si="40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41">SUM(G171:G176)</f>
        <v>261000</v>
      </c>
      <c r="H177" s="963">
        <f t="shared" si="41"/>
        <v>7490.7</v>
      </c>
      <c r="I177" s="963">
        <f t="shared" si="41"/>
        <v>5105.08</v>
      </c>
      <c r="J177" s="963">
        <f t="shared" si="41"/>
        <v>7934.4</v>
      </c>
      <c r="K177" s="963">
        <f t="shared" si="41"/>
        <v>4986.92</v>
      </c>
      <c r="L177" s="963">
        <f t="shared" si="41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3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1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4</v>
      </c>
      <c r="D184" s="962"/>
      <c r="E184" s="963">
        <f>SUM(E180:E183)</f>
        <v>210500</v>
      </c>
      <c r="F184" s="974">
        <v>0</v>
      </c>
      <c r="G184" s="963">
        <f t="shared" ref="G184:L184" si="42">SUM(G180:G183)</f>
        <v>210500</v>
      </c>
      <c r="H184" s="963">
        <f t="shared" si="42"/>
        <v>6040.75</v>
      </c>
      <c r="I184" s="963">
        <f t="shared" si="42"/>
        <v>10210.730000000001</v>
      </c>
      <c r="J184" s="963">
        <f t="shared" si="42"/>
        <v>6399.2000000000007</v>
      </c>
      <c r="K184" s="963">
        <f t="shared" si="42"/>
        <v>2643.4</v>
      </c>
      <c r="L184" s="963">
        <f t="shared" si="42"/>
        <v>25294.079999999998</v>
      </c>
      <c r="M184" s="963">
        <f>SUM(M180:M183)</f>
        <v>185205.92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1" si="43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43"/>
        <v>23926.87</v>
      </c>
      <c r="M188" s="1031">
        <f t="shared" ref="M188:M223" si="44">+G188-L188</f>
        <v>96073.13</v>
      </c>
    </row>
    <row r="189" spans="1:13" ht="18.75" x14ac:dyDescent="0.3">
      <c r="A189" s="1027" t="s">
        <v>244</v>
      </c>
      <c r="B189" s="950" t="s">
        <v>806</v>
      </c>
      <c r="C189" s="1024" t="s">
        <v>489</v>
      </c>
      <c r="D189" s="960" t="s">
        <v>1064</v>
      </c>
      <c r="E189" s="951">
        <v>80000</v>
      </c>
      <c r="F189" s="974">
        <v>0</v>
      </c>
      <c r="G189" s="1032">
        <v>80000</v>
      </c>
      <c r="H189" s="951">
        <v>2296</v>
      </c>
      <c r="I189" s="1032">
        <v>7400.87</v>
      </c>
      <c r="J189" s="951">
        <v>2432</v>
      </c>
      <c r="K189" s="951">
        <v>25</v>
      </c>
      <c r="L189" s="1032">
        <f t="shared" si="43"/>
        <v>12153.869999999999</v>
      </c>
      <c r="M189" s="1031">
        <f t="shared" si="44"/>
        <v>67846.13</v>
      </c>
    </row>
    <row r="190" spans="1:13" ht="18.75" x14ac:dyDescent="0.3">
      <c r="A190" s="1027" t="s">
        <v>84</v>
      </c>
      <c r="B190" s="950" t="s">
        <v>806</v>
      </c>
      <c r="C190" s="1024" t="s">
        <v>117</v>
      </c>
      <c r="D190" s="960" t="s">
        <v>307</v>
      </c>
      <c r="E190" s="951">
        <v>70000</v>
      </c>
      <c r="F190" s="974">
        <v>0</v>
      </c>
      <c r="G190" s="951">
        <v>70000</v>
      </c>
      <c r="H190" s="951">
        <v>2009</v>
      </c>
      <c r="I190" s="1032">
        <v>5368.48</v>
      </c>
      <c r="J190" s="951">
        <v>2128</v>
      </c>
      <c r="K190" s="951">
        <v>25</v>
      </c>
      <c r="L190" s="1032">
        <f t="shared" si="43"/>
        <v>9530.48</v>
      </c>
      <c r="M190" s="1031">
        <f t="shared" si="44"/>
        <v>60469.520000000004</v>
      </c>
    </row>
    <row r="191" spans="1:13" ht="18.75" x14ac:dyDescent="0.3">
      <c r="A191" s="1027" t="s">
        <v>136</v>
      </c>
      <c r="B191" s="950" t="s">
        <v>807</v>
      </c>
      <c r="C191" s="1024" t="s">
        <v>117</v>
      </c>
      <c r="D191" s="960" t="s">
        <v>1069</v>
      </c>
      <c r="E191" s="951">
        <v>80000</v>
      </c>
      <c r="F191" s="974">
        <v>0</v>
      </c>
      <c r="G191" s="951">
        <v>80000</v>
      </c>
      <c r="H191" s="951">
        <v>2296</v>
      </c>
      <c r="I191" s="1032">
        <v>6564.09</v>
      </c>
      <c r="J191" s="951">
        <v>2432</v>
      </c>
      <c r="K191" s="951">
        <v>4158.92</v>
      </c>
      <c r="L191" s="1032">
        <f t="shared" si="43"/>
        <v>15451.01</v>
      </c>
      <c r="M191" s="1031">
        <f t="shared" si="44"/>
        <v>64548.99</v>
      </c>
    </row>
    <row r="192" spans="1:13" ht="18.75" x14ac:dyDescent="0.3">
      <c r="A192" s="1027" t="s">
        <v>94</v>
      </c>
      <c r="B192" s="950" t="s">
        <v>807</v>
      </c>
      <c r="C192" s="1024" t="s">
        <v>71</v>
      </c>
      <c r="D192" s="960" t="s">
        <v>1069</v>
      </c>
      <c r="E192" s="951">
        <v>70000</v>
      </c>
      <c r="F192" s="974">
        <v>0</v>
      </c>
      <c r="G192" s="951">
        <v>70000</v>
      </c>
      <c r="H192" s="951">
        <v>2009</v>
      </c>
      <c r="I192" s="1032">
        <v>5025.38</v>
      </c>
      <c r="J192" s="951">
        <v>2128</v>
      </c>
      <c r="K192" s="951">
        <v>1740.46</v>
      </c>
      <c r="L192" s="1032">
        <v>10902.84</v>
      </c>
      <c r="M192" s="1031">
        <f t="shared" si="44"/>
        <v>59097.16</v>
      </c>
    </row>
    <row r="193" spans="1:13" ht="18.75" x14ac:dyDescent="0.3">
      <c r="A193" s="1027" t="s">
        <v>799</v>
      </c>
      <c r="B193" s="950" t="s">
        <v>806</v>
      </c>
      <c r="C193" s="1024" t="s">
        <v>633</v>
      </c>
      <c r="D193" s="960" t="s">
        <v>1069</v>
      </c>
      <c r="E193" s="951">
        <v>80000</v>
      </c>
      <c r="F193" s="974">
        <v>0</v>
      </c>
      <c r="G193" s="951">
        <v>80000</v>
      </c>
      <c r="H193" s="951">
        <v>2296</v>
      </c>
      <c r="I193" s="1032">
        <v>6972</v>
      </c>
      <c r="J193" s="951">
        <v>2432</v>
      </c>
      <c r="K193" s="951">
        <v>1740.46</v>
      </c>
      <c r="L193" s="1032">
        <f>+H193+I193+J193+K193</f>
        <v>13440.46</v>
      </c>
      <c r="M193" s="1031">
        <f t="shared" si="44"/>
        <v>66559.540000000008</v>
      </c>
    </row>
    <row r="194" spans="1:13" ht="17.25" customHeight="1" x14ac:dyDescent="0.3">
      <c r="A194" s="1028" t="s">
        <v>177</v>
      </c>
      <c r="B194" s="1001" t="s">
        <v>807</v>
      </c>
      <c r="C194" s="1025" t="s">
        <v>1119</v>
      </c>
      <c r="D194" s="1024" t="s">
        <v>1069</v>
      </c>
      <c r="E194" s="1078">
        <v>55000</v>
      </c>
      <c r="F194" s="1079">
        <v>0</v>
      </c>
      <c r="G194" s="1080">
        <v>55000</v>
      </c>
      <c r="H194" s="1081">
        <v>1578.5</v>
      </c>
      <c r="I194" s="1074">
        <v>2559.6799999999998</v>
      </c>
      <c r="J194" s="1078">
        <v>1672</v>
      </c>
      <c r="K194" s="1081">
        <v>2097</v>
      </c>
      <c r="L194" s="1032">
        <f t="shared" ref="L194:L219" si="45">+H194+I194+J194+K194</f>
        <v>7907.18</v>
      </c>
      <c r="M194" s="1031">
        <f t="shared" si="44"/>
        <v>47092.82</v>
      </c>
    </row>
    <row r="195" spans="1:13" ht="18.75" x14ac:dyDescent="0.3">
      <c r="A195" s="1027" t="s">
        <v>173</v>
      </c>
      <c r="B195" s="950" t="s">
        <v>807</v>
      </c>
      <c r="C195" s="1024" t="s">
        <v>521</v>
      </c>
      <c r="D195" s="960" t="s">
        <v>307</v>
      </c>
      <c r="E195" s="951">
        <v>43500</v>
      </c>
      <c r="F195" s="974">
        <v>0</v>
      </c>
      <c r="G195" s="1032">
        <v>43500</v>
      </c>
      <c r="H195" s="951">
        <v>1248.45</v>
      </c>
      <c r="I195" s="1036">
        <v>679.3</v>
      </c>
      <c r="J195" s="951">
        <v>1322.4</v>
      </c>
      <c r="K195" s="951">
        <v>1740.46</v>
      </c>
      <c r="L195" s="1032">
        <f t="shared" si="45"/>
        <v>4990.6100000000006</v>
      </c>
      <c r="M195" s="1032">
        <f t="shared" si="44"/>
        <v>38509.39</v>
      </c>
    </row>
    <row r="196" spans="1:13" ht="18.75" x14ac:dyDescent="0.3">
      <c r="A196" s="1027" t="s">
        <v>1062</v>
      </c>
      <c r="B196" s="950" t="s">
        <v>807</v>
      </c>
      <c r="C196" s="1024" t="s">
        <v>521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1148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1149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45"/>
        <v>2331.06</v>
      </c>
      <c r="M198" s="1032">
        <f t="shared" si="44"/>
        <v>35168.94</v>
      </c>
    </row>
    <row r="199" spans="1:13" ht="18.75" x14ac:dyDescent="0.3">
      <c r="A199" s="1027" t="s">
        <v>1165</v>
      </c>
      <c r="B199" s="950" t="s">
        <v>807</v>
      </c>
      <c r="C199" s="1024" t="s">
        <v>276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036">
        <v>936.62</v>
      </c>
      <c r="J199" s="951">
        <v>1322.4</v>
      </c>
      <c r="K199" s="951">
        <v>25</v>
      </c>
      <c r="L199" s="1032">
        <f t="shared" si="45"/>
        <v>3532.4700000000003</v>
      </c>
      <c r="M199" s="1031">
        <f t="shared" si="44"/>
        <v>39967.53</v>
      </c>
    </row>
    <row r="200" spans="1:13" ht="18.75" x14ac:dyDescent="0.3">
      <c r="A200" s="1027" t="s">
        <v>1440</v>
      </c>
      <c r="B200" s="950" t="s">
        <v>807</v>
      </c>
      <c r="C200" s="1024" t="s">
        <v>276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v>2331.06</v>
      </c>
      <c r="M200" s="1031">
        <f t="shared" si="44"/>
        <v>35168.94</v>
      </c>
    </row>
    <row r="201" spans="1:13" ht="18.75" x14ac:dyDescent="0.3">
      <c r="A201" s="1029" t="s">
        <v>1329</v>
      </c>
      <c r="B201" s="950" t="s">
        <v>1330</v>
      </c>
      <c r="C201" s="1024" t="s">
        <v>1325</v>
      </c>
      <c r="D201" s="960" t="s">
        <v>307</v>
      </c>
      <c r="E201" s="951">
        <v>43500</v>
      </c>
      <c r="F201" s="952">
        <v>0</v>
      </c>
      <c r="G201" s="1031">
        <v>43500</v>
      </c>
      <c r="H201" s="953">
        <v>1248.45</v>
      </c>
      <c r="I201" s="1036">
        <v>936.62</v>
      </c>
      <c r="J201" s="953">
        <v>1322.4</v>
      </c>
      <c r="K201" s="951">
        <v>25</v>
      </c>
      <c r="L201" s="1032">
        <f t="shared" si="45"/>
        <v>3532.4700000000003</v>
      </c>
      <c r="M201" s="1031">
        <f t="shared" si="44"/>
        <v>39967.53</v>
      </c>
    </row>
    <row r="202" spans="1:13" ht="18.75" x14ac:dyDescent="0.3">
      <c r="A202" s="1027" t="s">
        <v>1337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f t="shared" si="45"/>
        <v>3532.4700000000003</v>
      </c>
      <c r="M202" s="1032">
        <f t="shared" si="44"/>
        <v>39967.53</v>
      </c>
    </row>
    <row r="203" spans="1:13" ht="18.75" x14ac:dyDescent="0.3">
      <c r="A203" s="1027" t="s">
        <v>1345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9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52">
        <v>0</v>
      </c>
      <c r="G207" s="1031">
        <v>43500</v>
      </c>
      <c r="H207" s="953">
        <v>1248.45</v>
      </c>
      <c r="I207" s="1036">
        <v>936.62</v>
      </c>
      <c r="J207" s="953">
        <v>1322.4</v>
      </c>
      <c r="K207" s="951">
        <v>25</v>
      </c>
      <c r="L207" s="1032">
        <f t="shared" si="45"/>
        <v>3532.4700000000003</v>
      </c>
      <c r="M207" s="1031">
        <f t="shared" si="44"/>
        <v>39967.53</v>
      </c>
    </row>
    <row r="208" spans="1:13" ht="18.75" x14ac:dyDescent="0.3">
      <c r="A208" s="1029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45"/>
        <v>1502.5</v>
      </c>
      <c r="M208" s="1031">
        <f t="shared" si="44"/>
        <v>23497.5</v>
      </c>
    </row>
    <row r="209" spans="1:13" ht="18.75" x14ac:dyDescent="0.3">
      <c r="A209" s="1029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5"/>
        <v>1502.5</v>
      </c>
      <c r="M209" s="1031">
        <f t="shared" si="44"/>
        <v>23497.5</v>
      </c>
    </row>
    <row r="210" spans="1:13" ht="18.75" x14ac:dyDescent="0.3">
      <c r="A210" s="1029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45"/>
        <v>1502.5</v>
      </c>
      <c r="M210" s="1031">
        <f t="shared" si="4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1">
        <f t="shared" si="4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45"/>
        <v>1502.5</v>
      </c>
      <c r="M212" s="1031">
        <f t="shared" si="4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1">
        <f t="shared" si="4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1">
        <f t="shared" si="4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5"/>
        <v>1798</v>
      </c>
      <c r="M215" s="1031">
        <f t="shared" si="44"/>
        <v>28202</v>
      </c>
    </row>
    <row r="216" spans="1:13" ht="18.75" x14ac:dyDescent="0.3">
      <c r="A216" s="1029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5"/>
        <v>1798</v>
      </c>
      <c r="M216" s="1031">
        <f t="shared" si="44"/>
        <v>28202</v>
      </c>
    </row>
    <row r="217" spans="1:13" ht="18.75" x14ac:dyDescent="0.3">
      <c r="A217" s="1029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2134</v>
      </c>
      <c r="L217" s="1032">
        <f t="shared" si="45"/>
        <v>3907</v>
      </c>
      <c r="M217" s="1031">
        <f t="shared" si="44"/>
        <v>26093</v>
      </c>
    </row>
    <row r="218" spans="1:13" ht="18.75" x14ac:dyDescent="0.3">
      <c r="A218" s="1029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45"/>
        <v>1798</v>
      </c>
      <c r="M218" s="1031">
        <f t="shared" si="44"/>
        <v>28202</v>
      </c>
    </row>
    <row r="219" spans="1:13" ht="18.75" x14ac:dyDescent="0.3">
      <c r="A219" s="1029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45"/>
        <v>1798</v>
      </c>
      <c r="M219" s="1031">
        <f t="shared" si="4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1740.46</v>
      </c>
      <c r="L221" s="1032">
        <v>3513.46</v>
      </c>
      <c r="M221" s="1031">
        <f t="shared" si="4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44"/>
        <v>28202</v>
      </c>
    </row>
    <row r="224" spans="1:13" ht="18.75" x14ac:dyDescent="0.3">
      <c r="A224" s="961" t="s">
        <v>847</v>
      </c>
      <c r="B224" s="999"/>
      <c r="C224" s="962">
        <v>37</v>
      </c>
      <c r="D224" s="962"/>
      <c r="E224" s="963">
        <f>SUM(E187:E223)</f>
        <v>1671500</v>
      </c>
      <c r="F224" s="1071">
        <v>0</v>
      </c>
      <c r="G224" s="963">
        <f>SUM(G187:G223)</f>
        <v>1671500</v>
      </c>
      <c r="H224" s="963">
        <f t="shared" ref="H224:L224" si="46">SUM(H187:H223)</f>
        <v>47972.05</v>
      </c>
      <c r="I224" s="963">
        <f>SUM(I187:I223)</f>
        <v>76044.739999999947</v>
      </c>
      <c r="J224" s="963">
        <f t="shared" si="46"/>
        <v>50813.600000000013</v>
      </c>
      <c r="K224" s="963">
        <f t="shared" si="46"/>
        <v>16101.759999999998</v>
      </c>
      <c r="L224" s="963">
        <f t="shared" si="46"/>
        <v>190929.14999999997</v>
      </c>
      <c r="M224" s="963">
        <f>SUM(M187:M223)</f>
        <v>1480570.85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3"/>
      <c r="J225" s="965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+C224+C184+C177+C168+C163+C158+C151+C147+C142+C136+C129+C123+C113+C109+C100++C89+C74+C59+C53+C49+C44+C40+C30+C19+C94+C104+C26</f>
        <v>131</v>
      </c>
      <c r="D226" s="1058"/>
      <c r="E226" s="1076">
        <f>+E19+E26+E30+E40+E44+E49+E53+E59+E74+E89+E94+E100+E104+E109+E113+E123+E129+E136+E142+E147+E151+E158+E163+E168+E177+E224+E184</f>
        <v>6865500</v>
      </c>
      <c r="F226" s="1072">
        <v>0</v>
      </c>
      <c r="G226" s="1076">
        <f t="shared" ref="G226:J226" si="47">+G19+G26+G30+G40+G44+G49+G53+G59+G74+G89+G94+G100+G104+G109+G113+G123+G129+G136+G142+G147+G151+G158+G163+G168+G177+G224+G184</f>
        <v>6865500</v>
      </c>
      <c r="H226" s="1076">
        <f t="shared" si="47"/>
        <v>197039.28000000003</v>
      </c>
      <c r="I226" s="1076">
        <f>+I19+I26+I30+I40+I44+I49+I53+I59+I74+I89+I94+I100+I104+I109+I113+I123+I129+I136+I142+I147+I151+I158+I163+I168+I177+I224+I184</f>
        <v>434042.75999999989</v>
      </c>
      <c r="J226" s="1076">
        <f t="shared" si="47"/>
        <v>206189.52</v>
      </c>
      <c r="K226" s="1076">
        <v>138373.18</v>
      </c>
      <c r="L226" s="1076">
        <v>975642.31</v>
      </c>
      <c r="M226" s="1076">
        <v>5889857.6900000004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853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D238" s="271"/>
      <c r="E238" s="869"/>
      <c r="F238" s="853"/>
      <c r="G238" s="853"/>
      <c r="H238" s="853"/>
      <c r="I238" s="1092"/>
      <c r="J238" s="1022"/>
      <c r="K238" s="1093"/>
      <c r="L238" s="1093"/>
      <c r="M238" s="1022"/>
    </row>
    <row r="239" spans="1:13" ht="15.75" x14ac:dyDescent="0.25">
      <c r="A239" s="853"/>
      <c r="B239" s="871"/>
      <c r="C239" s="1022"/>
      <c r="E239" s="869"/>
      <c r="F239" s="853"/>
      <c r="G239" s="853"/>
      <c r="H239" s="853"/>
      <c r="I239" s="1093"/>
      <c r="J239" s="1022"/>
      <c r="K239" s="1093"/>
      <c r="L239" s="1093"/>
      <c r="M239" s="1022"/>
    </row>
    <row r="240" spans="1:13" ht="15.75" x14ac:dyDescent="0.25">
      <c r="A240" s="853"/>
      <c r="B240" s="871"/>
      <c r="C240" s="853"/>
      <c r="D240" s="271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5.75" x14ac:dyDescent="0.25">
      <c r="A241" s="853"/>
      <c r="B241" s="871"/>
      <c r="C241" s="1022"/>
      <c r="D241" s="853"/>
      <c r="E241" s="869"/>
      <c r="F241" s="853"/>
      <c r="G241" s="853"/>
      <c r="H241" s="853"/>
      <c r="I241" s="869"/>
      <c r="J241" s="1022"/>
      <c r="K241" s="1093"/>
      <c r="L241" s="1093"/>
      <c r="M241" s="1022"/>
    </row>
    <row r="242" spans="1:14" ht="17.25" customHeight="1" x14ac:dyDescent="0.25">
      <c r="A242" s="853"/>
      <c r="B242" s="871"/>
      <c r="C242" s="872"/>
      <c r="D242" s="853"/>
      <c r="E242" s="852"/>
      <c r="F242" s="853"/>
      <c r="G242" s="853"/>
      <c r="H242" s="853"/>
      <c r="I242" s="869"/>
      <c r="J242" s="853"/>
      <c r="K242" s="869"/>
      <c r="L242" s="1093"/>
      <c r="M242" s="1022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7.25" customHeight="1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53"/>
      <c r="B251" s="871"/>
      <c r="C251" s="853"/>
      <c r="D251" s="853"/>
      <c r="E251" s="852"/>
      <c r="F251" s="853"/>
      <c r="G251" s="853"/>
      <c r="H251" s="853"/>
      <c r="I251" s="869"/>
      <c r="J251" s="853"/>
      <c r="K251" s="869"/>
      <c r="L251" s="869"/>
      <c r="M251" s="853"/>
    </row>
    <row r="252" spans="1:14" ht="15.75" x14ac:dyDescent="0.25">
      <c r="A252" s="873"/>
      <c r="B252" s="874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3"/>
      <c r="B253" s="871"/>
      <c r="C253" s="873"/>
      <c r="D253" s="873"/>
      <c r="E253" s="875"/>
      <c r="F253" s="873"/>
      <c r="G253" s="873"/>
      <c r="H253" s="873"/>
      <c r="I253" s="1094"/>
      <c r="J253" s="873"/>
      <c r="K253" s="1094"/>
      <c r="L253" s="1094"/>
      <c r="M253" s="873"/>
    </row>
    <row r="254" spans="1:14" ht="15.75" x14ac:dyDescent="0.25">
      <c r="A254" s="871"/>
      <c r="B254" s="871"/>
      <c r="C254" s="871"/>
      <c r="D254" s="871"/>
      <c r="E254" s="876"/>
      <c r="F254" s="877"/>
      <c r="G254" s="878"/>
      <c r="H254" s="879"/>
      <c r="I254" s="1095"/>
      <c r="J254" s="880"/>
      <c r="K254" s="1095"/>
      <c r="L254" s="1095"/>
      <c r="M254" s="880"/>
    </row>
    <row r="255" spans="1:14" ht="15.75" x14ac:dyDescent="0.25">
      <c r="A255" s="1703" t="s">
        <v>1271</v>
      </c>
      <c r="B255" s="1703"/>
      <c r="C255" s="874"/>
      <c r="D255" s="874"/>
      <c r="E255" s="875"/>
      <c r="F255" s="873"/>
      <c r="G255" s="873"/>
      <c r="H255" s="1683" t="s">
        <v>852</v>
      </c>
      <c r="I255" s="1683"/>
      <c r="J255" s="1683"/>
      <c r="K255" s="1683"/>
      <c r="L255" s="1683"/>
      <c r="M255" s="1683"/>
    </row>
    <row r="256" spans="1:14" ht="15.75" x14ac:dyDescent="0.25">
      <c r="A256" s="930" t="s">
        <v>1376</v>
      </c>
      <c r="B256" s="871"/>
      <c r="C256" s="871"/>
      <c r="D256" s="871"/>
      <c r="E256" s="875"/>
      <c r="F256" s="873"/>
      <c r="H256" s="622"/>
      <c r="I256" s="1684" t="s">
        <v>1504</v>
      </c>
      <c r="J256" s="1684"/>
      <c r="K256" s="1684"/>
      <c r="L256" s="1684"/>
      <c r="M256" s="622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40.25" customHeight="1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519"/>
      <c r="J269" s="928"/>
      <c r="K269" s="519"/>
      <c r="L269" s="519"/>
      <c r="M269" s="928"/>
      <c r="N269" s="537"/>
    </row>
    <row r="270" spans="1:14" ht="15.75" x14ac:dyDescent="0.25">
      <c r="A270" s="874"/>
      <c r="B270" s="851"/>
      <c r="C270" s="874"/>
      <c r="D270" s="874"/>
      <c r="E270" s="883"/>
      <c r="F270" s="874"/>
      <c r="G270" s="884"/>
      <c r="H270" s="882"/>
      <c r="I270" s="1094"/>
      <c r="J270" s="885"/>
      <c r="K270" s="1096"/>
      <c r="L270" s="1096"/>
      <c r="M270" s="885"/>
    </row>
  </sheetData>
  <mergeCells count="20">
    <mergeCell ref="A6:M6"/>
    <mergeCell ref="A7:N7"/>
    <mergeCell ref="A8:M8"/>
    <mergeCell ref="A9:M9"/>
    <mergeCell ref="A10:M10"/>
    <mergeCell ref="M12:M13"/>
    <mergeCell ref="A255:B255"/>
    <mergeCell ref="H255:M255"/>
    <mergeCell ref="I256:L25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5" max="13" man="1"/>
  </rowBreaks>
  <drawing r:id="rId2"/>
</worksheet>
</file>

<file path=xl/worksheets/sheet2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062B86-4DC8-41C4-BD8E-46821239DF2B}">
  <dimension ref="A1:S168"/>
  <sheetViews>
    <sheetView zoomScale="106" zoomScaleNormal="106" zoomScaleSheetLayoutView="89" workbookViewId="0">
      <selection activeCell="A7" sqref="A7:O7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8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1523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709" t="s">
        <v>7</v>
      </c>
      <c r="B11" s="1709" t="s">
        <v>937</v>
      </c>
      <c r="C11" s="1712" t="s">
        <v>9</v>
      </c>
      <c r="D11" s="1709" t="s">
        <v>832</v>
      </c>
      <c r="E11" s="1709" t="s">
        <v>834</v>
      </c>
      <c r="F11" s="1709" t="s">
        <v>209</v>
      </c>
      <c r="G11" s="1051" t="s">
        <v>12</v>
      </c>
      <c r="H11" s="1711" t="s">
        <v>13</v>
      </c>
      <c r="I11" s="1710" t="s">
        <v>14</v>
      </c>
      <c r="J11" s="1710" t="s">
        <v>15</v>
      </c>
      <c r="K11" s="1710" t="s">
        <v>16</v>
      </c>
      <c r="L11" s="1722" t="s">
        <v>17</v>
      </c>
      <c r="M11" s="1722" t="s">
        <v>18</v>
      </c>
      <c r="N11" s="1710" t="s">
        <v>19</v>
      </c>
      <c r="O11" s="1710" t="s">
        <v>20</v>
      </c>
    </row>
    <row r="12" spans="1:15" x14ac:dyDescent="0.25">
      <c r="A12" s="1709"/>
      <c r="B12" s="1709"/>
      <c r="C12" s="1712"/>
      <c r="D12" s="1709"/>
      <c r="E12" s="1709"/>
      <c r="F12" s="1709"/>
      <c r="G12" s="1051" t="s">
        <v>21</v>
      </c>
      <c r="H12" s="1711"/>
      <c r="I12" s="1710"/>
      <c r="J12" s="1710"/>
      <c r="K12" s="1710"/>
      <c r="L12" s="1722"/>
      <c r="M12" s="1722"/>
      <c r="N12" s="1710"/>
      <c r="O12" s="1710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7025</v>
      </c>
      <c r="N24" s="457">
        <f>+J24+K24+L24+M24</f>
        <v>16530.48</v>
      </c>
      <c r="O24" s="457">
        <f>+I24-N24</f>
        <v>53469.520000000004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7050</v>
      </c>
      <c r="N25" s="1145">
        <f t="shared" si="2"/>
        <v>49287.1</v>
      </c>
      <c r="O25" s="1145">
        <f t="shared" si="2"/>
        <v>170712.90000000002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626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695">
        <f>SUM(M28:M29)</f>
        <v>11472.33</v>
      </c>
      <c r="N30" s="695">
        <f t="shared" si="4"/>
        <v>43408.05</v>
      </c>
      <c r="O30" s="695">
        <f t="shared" si="4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626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695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695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695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626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695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468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468"/>
      <c r="N40" s="457"/>
      <c r="O40" s="457"/>
    </row>
    <row r="41" spans="1:15" ht="30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86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695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73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695"/>
      <c r="N45" s="695"/>
      <c r="O45" s="695"/>
    </row>
    <row r="46" spans="1:15" ht="26.25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626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97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468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97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468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468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97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468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97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038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038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038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>SUM(M55:M62)</f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97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97"/>
      <c r="N65" s="697"/>
      <c r="O65" s="697"/>
    </row>
    <row r="66" spans="1:15" ht="30" customHeight="1" x14ac:dyDescent="0.25">
      <c r="A66" s="286" t="s">
        <v>593</v>
      </c>
      <c r="B66" s="281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69">
        <v>0</v>
      </c>
      <c r="I66" s="468">
        <v>150000</v>
      </c>
      <c r="J66" s="468">
        <v>4305</v>
      </c>
      <c r="K66" s="468">
        <v>23866.62</v>
      </c>
      <c r="L66" s="1149">
        <v>4560</v>
      </c>
      <c r="M66" s="468">
        <v>2568.4</v>
      </c>
      <c r="N66" s="468">
        <v>35300.019999999997</v>
      </c>
      <c r="O66" s="468">
        <f>+I66-N66</f>
        <v>114699.98000000001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468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>SUM(M66:M69)</f>
        <v>2643.4</v>
      </c>
      <c r="N70" s="695">
        <f>SUM(N66:N69)</f>
        <v>63891.459999999992</v>
      </c>
      <c r="O70" s="695">
        <f t="shared" si="13"/>
        <v>296108.54000000004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695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97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468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695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695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695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695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695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695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626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695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695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97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468">
        <v>25</v>
      </c>
      <c r="N86" s="468">
        <f t="shared" ref="N86:N91" si="17">+J86+K86+L86+M86</f>
        <v>9530.48</v>
      </c>
      <c r="O86" s="468">
        <f t="shared" ref="O86:O91" si="18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468">
        <v>25</v>
      </c>
      <c r="N87" s="468">
        <f t="shared" si="17"/>
        <v>9530.48</v>
      </c>
      <c r="O87" s="468">
        <f t="shared" si="18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si="17"/>
        <v>9530.48</v>
      </c>
      <c r="O88" s="468">
        <f t="shared" si="18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7"/>
        <v>9530.48</v>
      </c>
      <c r="O89" s="468">
        <f t="shared" si="18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7"/>
        <v>9530.48</v>
      </c>
      <c r="O90" s="468">
        <f t="shared" si="18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468">
        <v>25</v>
      </c>
      <c r="N91" s="468">
        <f t="shared" si="17"/>
        <v>5835.18</v>
      </c>
      <c r="O91" s="468">
        <f t="shared" si="18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 t="shared" ref="H92" si="19">SUM(H91)</f>
        <v>0</v>
      </c>
      <c r="I92" s="695">
        <f>SUM(I86:I91)</f>
        <v>405000</v>
      </c>
      <c r="J92" s="695">
        <f>SUM(J86:J91)</f>
        <v>11623.5</v>
      </c>
      <c r="K92" s="695">
        <f t="shared" ref="K92:N92" si="20">SUM(K86:K91)</f>
        <v>29402.079999999998</v>
      </c>
      <c r="L92" s="1145">
        <f t="shared" si="20"/>
        <v>12312</v>
      </c>
      <c r="M92" s="695">
        <f>SUM(M86:M91)</f>
        <v>150</v>
      </c>
      <c r="N92" s="695">
        <f t="shared" si="20"/>
        <v>53487.579999999994</v>
      </c>
      <c r="O92" s="695">
        <f>SUM(O86:O91)</f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97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97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626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468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21">SUM(I95:I96)</f>
        <v>190000</v>
      </c>
      <c r="J97" s="695">
        <f t="shared" si="21"/>
        <v>5453</v>
      </c>
      <c r="K97" s="695">
        <f t="shared" si="21"/>
        <v>22178.35</v>
      </c>
      <c r="L97" s="695">
        <f t="shared" si="21"/>
        <v>5776</v>
      </c>
      <c r="M97" s="695">
        <f>SUM(M95:M96)</f>
        <v>4694.3999999999996</v>
      </c>
      <c r="N97" s="695">
        <f t="shared" si="21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695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97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468">
        <v>25</v>
      </c>
      <c r="N100" s="468">
        <f t="shared" ref="N100" si="22">+J100+K100+L100+M100</f>
        <v>23926.87</v>
      </c>
      <c r="O100" s="468">
        <f t="shared" ref="O100" si="23"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468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468">
        <v>25</v>
      </c>
      <c r="N102" s="457">
        <f t="shared" ref="N102:N126" si="24">+J102+K102+L102+M102</f>
        <v>9530.48</v>
      </c>
      <c r="O102" s="468">
        <f t="shared" ref="O102:O126" si="25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468">
        <v>25</v>
      </c>
      <c r="N103" s="457">
        <f t="shared" si="24"/>
        <v>9530.48</v>
      </c>
      <c r="O103" s="468">
        <f t="shared" si="25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468">
        <v>1740.46</v>
      </c>
      <c r="N104" s="457">
        <f t="shared" si="24"/>
        <v>10902.84</v>
      </c>
      <c r="O104" s="468">
        <f t="shared" si="25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468">
        <v>3455.92</v>
      </c>
      <c r="N105" s="457">
        <f t="shared" si="24"/>
        <v>12275.210000000001</v>
      </c>
      <c r="O105" s="468">
        <f t="shared" si="25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468">
        <v>1740.46</v>
      </c>
      <c r="N106" s="457">
        <f t="shared" si="24"/>
        <v>10902.84</v>
      </c>
      <c r="O106" s="468">
        <f t="shared" si="25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468">
        <v>25</v>
      </c>
      <c r="N107" s="457">
        <f t="shared" si="24"/>
        <v>9530.48</v>
      </c>
      <c r="O107" s="468">
        <f t="shared" si="25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468">
        <v>25</v>
      </c>
      <c r="N108" s="457">
        <f t="shared" si="24"/>
        <v>9530.48</v>
      </c>
      <c r="O108" s="468">
        <f t="shared" si="25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4"/>
        <v>9530.48</v>
      </c>
      <c r="O109" s="468">
        <f t="shared" si="25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4"/>
        <v>9530.48</v>
      </c>
      <c r="O110" s="468">
        <f t="shared" si="25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4"/>
        <v>9530.48</v>
      </c>
      <c r="O111" s="468">
        <f t="shared" si="25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24"/>
        <v>9530.48</v>
      </c>
      <c r="O112" s="468">
        <f t="shared" si="25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24"/>
        <v>9530.48</v>
      </c>
      <c r="O113" s="468">
        <f t="shared" si="25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4"/>
        <v>9530.48</v>
      </c>
      <c r="O114" s="468">
        <f t="shared" si="25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4"/>
        <v>9530.48</v>
      </c>
      <c r="O115" s="468">
        <f t="shared" si="25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4"/>
        <v>9530.48</v>
      </c>
      <c r="O116" s="468">
        <f t="shared" si="25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4"/>
        <v>9530.48</v>
      </c>
      <c r="O117" s="468">
        <f t="shared" si="25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4"/>
        <v>9530.48</v>
      </c>
      <c r="O118" s="468">
        <f t="shared" si="25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4"/>
        <v>9530.48</v>
      </c>
      <c r="O119" s="468">
        <f t="shared" si="25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4"/>
        <v>9530.48</v>
      </c>
      <c r="O120" s="468">
        <f t="shared" si="25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4"/>
        <v>9530.48</v>
      </c>
      <c r="O121" s="468">
        <f t="shared" si="25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5025.38</v>
      </c>
      <c r="L122" s="1149">
        <v>2128</v>
      </c>
      <c r="M122" s="468">
        <v>1740.46</v>
      </c>
      <c r="N122" s="468">
        <f t="shared" si="24"/>
        <v>10902.84</v>
      </c>
      <c r="O122" s="468">
        <f t="shared" si="25"/>
        <v>59097.16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4"/>
        <v>9530.48</v>
      </c>
      <c r="O123" s="468">
        <f t="shared" si="25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24"/>
        <v>9530.48</v>
      </c>
      <c r="O124" s="468">
        <f t="shared" si="25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4"/>
        <v>9530.48</v>
      </c>
      <c r="O125" s="468">
        <f t="shared" si="25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4"/>
        <v>9530.48</v>
      </c>
      <c r="O126" s="468">
        <f t="shared" si="25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1037">
        <v>17985.990000000002</v>
      </c>
      <c r="L127" s="1150">
        <v>3800</v>
      </c>
      <c r="M127" s="1038">
        <v>25</v>
      </c>
      <c r="N127" s="1038">
        <f>SUM(J127:M127)</f>
        <v>25398.49</v>
      </c>
      <c r="O127" s="1038">
        <f>+G127-N127</f>
        <v>99601.51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26">+J128+K128+L128+M128</f>
        <v>5835.18</v>
      </c>
      <c r="O128" s="468">
        <f t="shared" ref="O128:O130" si="27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26"/>
        <v>7293.3200000000006</v>
      </c>
      <c r="O129" s="468">
        <f t="shared" si="27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468">
        <v>25</v>
      </c>
      <c r="N130" s="457">
        <f t="shared" si="26"/>
        <v>3532.4700000000003</v>
      </c>
      <c r="O130" s="468">
        <f t="shared" si="27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468">
        <v>25</v>
      </c>
      <c r="N131" s="457">
        <f t="shared" si="26"/>
        <v>3532.4700000000003</v>
      </c>
      <c r="O131" s="468">
        <f>+I131-N131</f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6"/>
        <v>3532.4700000000003</v>
      </c>
      <c r="O132" s="468">
        <f>+I132-N132</f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45689</v>
      </c>
      <c r="F133" s="855">
        <v>45870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468">
        <v>25</v>
      </c>
      <c r="N133" s="457">
        <f t="shared" si="26"/>
        <v>1502.5</v>
      </c>
      <c r="O133" s="468">
        <f>+I133-N133</f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8">SUM(I100:I133)</f>
        <v>2330500</v>
      </c>
      <c r="J134" s="695">
        <f t="shared" si="28"/>
        <v>66885.349999999991</v>
      </c>
      <c r="K134" s="695">
        <f t="shared" si="28"/>
        <v>179989.64999999994</v>
      </c>
      <c r="L134" s="1145">
        <f t="shared" si="28"/>
        <v>70847.199999999983</v>
      </c>
      <c r="M134" s="695">
        <f>SUM(M100:M133)</f>
        <v>12858.219999999998</v>
      </c>
      <c r="N134" s="695">
        <f t="shared" si="28"/>
        <v>330580.42</v>
      </c>
      <c r="O134" s="695">
        <f t="shared" si="28"/>
        <v>1999919.5800000003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695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N136" si="29">+I16+I20+I25+I30+I43+I47+I52+I63+I70+I74+I79+I83+I92+I97+I134+I38+I34</f>
        <v>6050500</v>
      </c>
      <c r="J136" s="1126">
        <f t="shared" si="29"/>
        <v>173649.34999999998</v>
      </c>
      <c r="K136" s="1126">
        <f t="shared" si="29"/>
        <v>631747.23999999987</v>
      </c>
      <c r="L136" s="1151">
        <f t="shared" si="29"/>
        <v>183935.19999999998</v>
      </c>
      <c r="M136" s="1126">
        <f>+M16+M20+M25+M30+M43+M47+M52+M63+M70+M74+M79+M83+M92+M97+M134+M38+M34</f>
        <v>69892.290000000008</v>
      </c>
      <c r="N136" s="1126">
        <f t="shared" si="29"/>
        <v>1059224.08</v>
      </c>
      <c r="O136" s="1126">
        <f>+O16+O20+O25+O30+O43+O47+O52+O63+O70+O74+O79+O83+O92+O97+O134+O38+O34</f>
        <v>4991275.92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1161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1161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1161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1161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1161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1161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1161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1161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46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46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46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1097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708" t="s">
        <v>1375</v>
      </c>
      <c r="J163" s="1708"/>
      <c r="K163" s="1708"/>
      <c r="L163" s="1708"/>
      <c r="M163" s="1708"/>
      <c r="N163" s="1708"/>
      <c r="O163" s="1708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692" t="s">
        <v>1503</v>
      </c>
      <c r="J164" s="1692"/>
      <c r="K164" s="1692"/>
      <c r="L164" s="1692"/>
      <c r="M164" s="1692"/>
      <c r="N164" s="1692"/>
      <c r="O164" s="1692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51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05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  <c r="M167"/>
    </row>
    <row r="168" spans="1:16" x14ac:dyDescent="0.25">
      <c r="K168" s="259"/>
      <c r="L168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63:O163"/>
    <mergeCell ref="I164:O164"/>
    <mergeCell ref="L11:L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57" max="14" man="1"/>
    <brk id="107" max="14" man="1"/>
  </rowBreaks>
  <colBreaks count="1" manualBreakCount="1">
    <brk id="15" max="159" man="1"/>
  </colBreaks>
  <drawing r:id="rId2"/>
</worksheet>
</file>

<file path=xl/worksheets/sheet2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79DED7-EBED-481F-BB20-51B200EE5E1C}">
  <dimension ref="A1:N72"/>
  <sheetViews>
    <sheetView topLeftCell="A8" zoomScaleNormal="100" workbookViewId="0">
      <selection activeCell="A18" sqref="A18:XFD18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1525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714" t="s">
        <v>7</v>
      </c>
      <c r="B13" s="1713" t="s">
        <v>937</v>
      </c>
      <c r="C13" s="1713" t="s">
        <v>8</v>
      </c>
      <c r="D13" s="1713" t="s">
        <v>10</v>
      </c>
      <c r="E13" s="1713" t="s">
        <v>11</v>
      </c>
      <c r="F13" s="1047" t="s">
        <v>12</v>
      </c>
      <c r="G13" s="1713" t="s">
        <v>13</v>
      </c>
      <c r="H13" s="1713" t="s">
        <v>14</v>
      </c>
      <c r="I13" s="1713" t="s">
        <v>15</v>
      </c>
      <c r="J13" s="1713" t="s">
        <v>16</v>
      </c>
      <c r="K13" s="1713" t="s">
        <v>17</v>
      </c>
      <c r="L13" s="1713" t="s">
        <v>18</v>
      </c>
      <c r="M13" s="1713" t="s">
        <v>19</v>
      </c>
      <c r="N13" s="1713" t="s">
        <v>20</v>
      </c>
    </row>
    <row r="14" spans="1:14" x14ac:dyDescent="0.25">
      <c r="A14" s="1715"/>
      <c r="B14" s="1713"/>
      <c r="C14" s="1713"/>
      <c r="D14" s="1713"/>
      <c r="E14" s="1713"/>
      <c r="F14" s="1047" t="s">
        <v>21</v>
      </c>
      <c r="G14" s="1713"/>
      <c r="H14" s="1713"/>
      <c r="I14" s="1713"/>
      <c r="J14" s="1713"/>
      <c r="K14" s="1713"/>
      <c r="L14" s="1713"/>
      <c r="M14" s="1713"/>
      <c r="N14" s="1713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690" t="s">
        <v>1269</v>
      </c>
      <c r="B56" s="1690"/>
      <c r="C56" s="1690"/>
      <c r="D56" s="753"/>
      <c r="E56" s="753"/>
      <c r="F56" s="754"/>
      <c r="G56" s="755"/>
      <c r="I56" s="1691" t="s">
        <v>852</v>
      </c>
      <c r="J56" s="1691"/>
      <c r="K56" s="1691"/>
      <c r="L56" s="1691"/>
      <c r="M56" s="1691"/>
      <c r="N56" s="1691"/>
    </row>
    <row r="57" spans="1:14" s="259" customFormat="1" ht="19.5" customHeight="1" x14ac:dyDescent="0.25">
      <c r="A57" s="1628" t="s">
        <v>1270</v>
      </c>
      <c r="B57" s="1628"/>
      <c r="C57" s="1628"/>
      <c r="D57" s="753"/>
      <c r="E57" s="753"/>
      <c r="F57" s="754"/>
      <c r="G57" s="755"/>
      <c r="I57" s="1692" t="s">
        <v>1505</v>
      </c>
      <c r="J57" s="1692"/>
      <c r="K57" s="1692"/>
      <c r="L57" s="1692"/>
      <c r="M57" s="1692"/>
      <c r="N57" s="1692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629"/>
      <c r="J69" s="1629"/>
      <c r="K69" s="1629"/>
      <c r="L69" s="1629"/>
      <c r="M69" s="1629"/>
      <c r="N69" s="1629"/>
    </row>
    <row r="70" spans="1:14" ht="15.75" x14ac:dyDescent="0.25">
      <c r="A70" s="267"/>
      <c r="B70" s="267"/>
      <c r="C70" s="267"/>
      <c r="D70" s="268"/>
      <c r="E70" s="268"/>
      <c r="F70" s="269"/>
      <c r="G70" s="1549"/>
      <c r="H70" s="1549"/>
      <c r="I70" s="1549"/>
      <c r="J70" s="1549"/>
      <c r="K70" s="1549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5C888-DF1F-4E27-9A71-3A22A9A3DAB1}">
  <dimension ref="B5:N93"/>
  <sheetViews>
    <sheetView showGridLines="0" topLeftCell="A59" zoomScale="136" zoomScaleNormal="136" zoomScaleSheetLayoutView="100" workbookViewId="0">
      <selection activeCell="C74" sqref="C7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93" t="s">
        <v>0</v>
      </c>
      <c r="C5" s="1693"/>
      <c r="D5" s="1693"/>
      <c r="E5" s="1693"/>
      <c r="F5" s="1693"/>
      <c r="G5" s="1693"/>
      <c r="H5" s="1693"/>
      <c r="I5" s="1693"/>
      <c r="J5" s="1693"/>
      <c r="K5" s="1693"/>
      <c r="L5" s="1693"/>
      <c r="M5" s="1693"/>
    </row>
    <row r="6" spans="2:14" ht="13.5" customHeight="1" x14ac:dyDescent="0.25">
      <c r="B6" s="1693" t="s">
        <v>1</v>
      </c>
      <c r="C6" s="1693"/>
      <c r="D6" s="1693"/>
      <c r="E6" s="1693"/>
      <c r="F6" s="1693"/>
      <c r="G6" s="1693"/>
      <c r="H6" s="1693"/>
      <c r="I6" s="1693"/>
      <c r="J6" s="1693"/>
      <c r="K6" s="1693"/>
      <c r="L6" s="1693"/>
      <c r="M6" s="1693"/>
    </row>
    <row r="7" spans="2:14" ht="12" customHeight="1" x14ac:dyDescent="0.25">
      <c r="B7" s="1693" t="s">
        <v>3</v>
      </c>
      <c r="C7" s="1693"/>
      <c r="D7" s="1693"/>
      <c r="E7" s="1693"/>
      <c r="F7" s="1693"/>
      <c r="G7" s="1693"/>
      <c r="H7" s="1693"/>
      <c r="I7" s="1693"/>
      <c r="J7" s="1693"/>
      <c r="K7" s="1693"/>
      <c r="L7" s="1693"/>
      <c r="M7" s="1693"/>
    </row>
    <row r="8" spans="2:14" x14ac:dyDescent="0.25">
      <c r="B8" s="1693" t="s">
        <v>1526</v>
      </c>
      <c r="C8" s="1693"/>
      <c r="D8" s="1693"/>
      <c r="E8" s="1693"/>
      <c r="F8" s="1693"/>
      <c r="G8" s="1693"/>
      <c r="H8" s="1693"/>
      <c r="I8" s="1693"/>
      <c r="J8" s="1693"/>
      <c r="K8" s="1693"/>
      <c r="L8" s="1693"/>
      <c r="M8" s="1693"/>
    </row>
    <row r="9" spans="2:14" x14ac:dyDescent="0.25">
      <c r="B9" s="1694" t="s">
        <v>886</v>
      </c>
      <c r="C9" s="1694"/>
      <c r="D9" s="1694"/>
      <c r="E9" s="1694"/>
      <c r="F9" s="1694"/>
      <c r="G9" s="1694"/>
      <c r="H9" s="1694"/>
      <c r="I9" s="1694"/>
      <c r="J9" s="1694"/>
      <c r="K9" s="1694"/>
      <c r="L9" s="1694"/>
      <c r="M9" s="1694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726" t="s">
        <v>7</v>
      </c>
      <c r="C11" s="1726" t="s">
        <v>802</v>
      </c>
      <c r="D11" s="1728" t="s">
        <v>9</v>
      </c>
      <c r="E11" s="1046" t="s">
        <v>12</v>
      </c>
      <c r="F11" s="1730" t="s">
        <v>13</v>
      </c>
      <c r="G11" s="1724" t="s">
        <v>14</v>
      </c>
      <c r="H11" s="1724" t="s">
        <v>15</v>
      </c>
      <c r="I11" s="1724" t="s">
        <v>16</v>
      </c>
      <c r="J11" s="1724" t="s">
        <v>17</v>
      </c>
      <c r="K11" s="1724" t="s">
        <v>18</v>
      </c>
      <c r="L11" s="1724" t="s">
        <v>19</v>
      </c>
      <c r="M11" s="1724" t="s">
        <v>20</v>
      </c>
    </row>
    <row r="12" spans="2:14" ht="16.5" customHeight="1" x14ac:dyDescent="0.25">
      <c r="B12" s="1727"/>
      <c r="C12" s="1727"/>
      <c r="D12" s="1729"/>
      <c r="E12" s="1046" t="s">
        <v>21</v>
      </c>
      <c r="F12" s="1731"/>
      <c r="G12" s="1725"/>
      <c r="H12" s="1725"/>
      <c r="I12" s="1725"/>
      <c r="J12" s="1725"/>
      <c r="K12" s="1725"/>
      <c r="L12" s="1725"/>
      <c r="M12" s="1725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11">+G60+G56+G52+G47+G43+G39+G35+G31+G27+G23+G19+G15</f>
        <v>257000</v>
      </c>
      <c r="H62" s="1140">
        <f t="shared" si="11"/>
        <v>7375.9000000000015</v>
      </c>
      <c r="I62" s="1140">
        <f t="shared" si="11"/>
        <v>45992.92</v>
      </c>
      <c r="J62" s="1140">
        <f t="shared" si="11"/>
        <v>7812.8000000000011</v>
      </c>
      <c r="K62" s="1045">
        <v>0</v>
      </c>
      <c r="L62" s="1140">
        <f t="shared" si="11"/>
        <v>61181.62</v>
      </c>
      <c r="M62" s="1140">
        <f t="shared" si="11"/>
        <v>195818.38000000003</v>
      </c>
    </row>
    <row r="69" spans="2:12" ht="15" hidden="1" customHeight="1" x14ac:dyDescent="0.25"/>
    <row r="70" spans="2:12" ht="15" hidden="1" customHeight="1" x14ac:dyDescent="0.25"/>
    <row r="72" spans="2:12" ht="14.25" customHeight="1" x14ac:dyDescent="0.25"/>
    <row r="73" spans="2:12" ht="15" hidden="1" customHeight="1" x14ac:dyDescent="0.25"/>
    <row r="77" spans="2:12" ht="0.75" customHeight="1" x14ac:dyDescent="0.25"/>
    <row r="79" spans="2:12" ht="38.25" customHeight="1" x14ac:dyDescent="0.25">
      <c r="B79" s="916"/>
      <c r="C79" s="916"/>
      <c r="D79" s="917"/>
      <c r="E79" s="918"/>
      <c r="F79" s="919"/>
      <c r="G79" s="1696" t="s">
        <v>1372</v>
      </c>
      <c r="H79" s="1696"/>
      <c r="I79" s="1696"/>
      <c r="J79" s="1696"/>
      <c r="K79" s="1696"/>
      <c r="L79" s="1696"/>
    </row>
    <row r="80" spans="2:12" x14ac:dyDescent="0.25">
      <c r="B80" s="1083" t="s">
        <v>1238</v>
      </c>
      <c r="C80" s="1083"/>
      <c r="D80" s="921"/>
      <c r="E80" s="915"/>
      <c r="F80" s="915"/>
      <c r="G80" s="1702" t="s">
        <v>1222</v>
      </c>
      <c r="H80" s="1702"/>
      <c r="I80" s="1702"/>
      <c r="J80" s="1702"/>
      <c r="K80" s="1702"/>
      <c r="L80" s="1702"/>
    </row>
    <row r="81" spans="2:13" x14ac:dyDescent="0.25">
      <c r="B81" s="916" t="s">
        <v>1239</v>
      </c>
      <c r="C81" s="916"/>
      <c r="D81" s="915"/>
      <c r="E81" s="915"/>
      <c r="F81" s="923"/>
      <c r="G81" s="1701" t="s">
        <v>1224</v>
      </c>
      <c r="H81" s="1701"/>
      <c r="I81" s="1701"/>
      <c r="J81" s="1701"/>
      <c r="K81" s="1701"/>
      <c r="L81" s="1701"/>
    </row>
    <row r="85" spans="2:13" ht="30" customHeight="1" x14ac:dyDescent="0.25"/>
    <row r="91" spans="2:13" x14ac:dyDescent="0.25">
      <c r="E91" s="924"/>
      <c r="F91" s="923"/>
      <c r="G91" s="915"/>
      <c r="H91" s="1698"/>
      <c r="I91" s="1698"/>
      <c r="J91" s="1698"/>
      <c r="K91" s="1698"/>
      <c r="L91" s="1698"/>
      <c r="M91" s="1698"/>
    </row>
    <row r="92" spans="2:13" x14ac:dyDescent="0.25">
      <c r="E92" s="925"/>
      <c r="F92" s="1694"/>
      <c r="G92" s="1694"/>
      <c r="H92" s="1694"/>
      <c r="I92" s="1694"/>
      <c r="J92" s="1694"/>
      <c r="K92" s="926"/>
      <c r="L92" s="926"/>
      <c r="M92" s="886"/>
    </row>
    <row r="93" spans="2:13" x14ac:dyDescent="0.25">
      <c r="E93" s="927" t="s">
        <v>641</v>
      </c>
      <c r="F93" s="927"/>
      <c r="G93" s="927"/>
      <c r="H93" s="927"/>
      <c r="I93" s="927"/>
      <c r="J93" s="927"/>
      <c r="K93" s="927"/>
      <c r="L93" s="927"/>
      <c r="M93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9:L79"/>
    <mergeCell ref="G80:L80"/>
    <mergeCell ref="G81:L81"/>
    <mergeCell ref="H91:M91"/>
    <mergeCell ref="F92:J9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55AB79-3419-49E3-813F-42FFBB97E155}">
  <dimension ref="B6:M63"/>
  <sheetViews>
    <sheetView showGridLines="0" topLeftCell="A30" zoomScale="118" zoomScaleNormal="118" workbookViewId="0">
      <selection activeCell="D37" sqref="D37:D38"/>
    </sheetView>
  </sheetViews>
  <sheetFormatPr baseColWidth="10" defaultRowHeight="15" x14ac:dyDescent="0.25"/>
  <cols>
    <col min="1" max="1" width="1.42578125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51" t="s">
        <v>0</v>
      </c>
      <c r="C6" s="1551"/>
      <c r="D6" s="1551"/>
      <c r="E6" s="1551"/>
      <c r="F6" s="1551"/>
      <c r="G6" s="1551"/>
      <c r="H6" s="1551"/>
      <c r="I6" s="1551"/>
      <c r="J6" s="1551"/>
      <c r="K6" s="1551"/>
      <c r="L6" s="1551"/>
      <c r="M6" s="1551"/>
    </row>
    <row r="7" spans="2:13" x14ac:dyDescent="0.25">
      <c r="B7" s="1551" t="s">
        <v>1</v>
      </c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2:13" x14ac:dyDescent="0.25">
      <c r="B8" s="1551" t="s">
        <v>3</v>
      </c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2:13" x14ac:dyDescent="0.25">
      <c r="B9" s="1551" t="s">
        <v>1527</v>
      </c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2:13" x14ac:dyDescent="0.25">
      <c r="B10" s="1552" t="s">
        <v>1197</v>
      </c>
      <c r="C10" s="1552"/>
      <c r="D10" s="1552"/>
      <c r="E10" s="1552"/>
      <c r="F10" s="1552"/>
      <c r="G10" s="1552"/>
      <c r="H10" s="1552"/>
      <c r="I10" s="1552"/>
      <c r="J10" s="1552"/>
      <c r="K10" s="1552"/>
      <c r="L10" s="1552"/>
      <c r="M10" s="1552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712" t="s">
        <v>7</v>
      </c>
      <c r="C12" s="1709" t="s">
        <v>802</v>
      </c>
      <c r="D12" s="1709" t="s">
        <v>9</v>
      </c>
      <c r="E12" s="1067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2:13" ht="15" customHeight="1" x14ac:dyDescent="0.25">
      <c r="B13" s="1712"/>
      <c r="C13" s="1709"/>
      <c r="D13" s="1709"/>
      <c r="E13" s="1067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1446</v>
      </c>
      <c r="E23" s="468">
        <v>40000</v>
      </c>
      <c r="F23" s="456">
        <v>0</v>
      </c>
      <c r="G23" s="457">
        <v>40000</v>
      </c>
      <c r="H23" s="457">
        <v>1148</v>
      </c>
      <c r="I23" s="457">
        <v>8369.56</v>
      </c>
      <c r="J23" s="457">
        <v>1216</v>
      </c>
      <c r="K23" s="1111">
        <v>0</v>
      </c>
      <c r="L23" s="457">
        <f>+H23+I23+J23</f>
        <v>10733.56</v>
      </c>
      <c r="M23" s="457">
        <f>+G23-L23</f>
        <v>29266.440000000002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40000</v>
      </c>
      <c r="F24" s="464">
        <v>0</v>
      </c>
      <c r="G24" s="463">
        <v>40000</v>
      </c>
      <c r="H24" s="463">
        <v>1148</v>
      </c>
      <c r="I24" s="463">
        <v>8369.56</v>
      </c>
      <c r="J24" s="463">
        <v>1216</v>
      </c>
      <c r="K24" s="1112">
        <v>0</v>
      </c>
      <c r="L24" s="463">
        <f>+H24+I24+J24</f>
        <v>10733.56</v>
      </c>
      <c r="M24" s="463">
        <v>29266.44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63" t="s">
        <v>865</v>
      </c>
      <c r="C33" s="1063"/>
      <c r="D33" s="1064">
        <v>5</v>
      </c>
      <c r="E33" s="1065">
        <f>+E16+E20+E24+E28+E31</f>
        <v>176500</v>
      </c>
      <c r="F33" s="1066">
        <v>0</v>
      </c>
      <c r="G33" s="1065">
        <f t="shared" ref="G33:M33" si="2">+G16+G20+G24+G28+G31</f>
        <v>176500</v>
      </c>
      <c r="H33" s="1065">
        <f t="shared" si="2"/>
        <v>5065.55</v>
      </c>
      <c r="I33" s="1065">
        <f t="shared" si="2"/>
        <v>38356.31</v>
      </c>
      <c r="J33" s="1065">
        <f t="shared" si="2"/>
        <v>5365.6</v>
      </c>
      <c r="K33" s="1114">
        <v>0</v>
      </c>
      <c r="L33" s="1065">
        <f t="shared" si="2"/>
        <v>48787.46</v>
      </c>
      <c r="M33" s="1065">
        <f t="shared" si="2"/>
        <v>127712.54000000001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682" t="s">
        <v>1250</v>
      </c>
      <c r="H49" s="1682"/>
      <c r="I49" s="1682"/>
      <c r="J49" s="1682"/>
      <c r="K49" s="1682"/>
      <c r="L49" s="1682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627" t="s">
        <v>852</v>
      </c>
      <c r="H50" s="1627"/>
      <c r="I50" s="1627"/>
      <c r="J50" s="1627"/>
      <c r="K50" s="1627"/>
      <c r="L50" s="1627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628" t="s">
        <v>1506</v>
      </c>
      <c r="H51" s="1628"/>
      <c r="I51" s="1628"/>
      <c r="J51" s="1628"/>
      <c r="K51" s="1628"/>
      <c r="L51" s="1628"/>
      <c r="M51" s="537"/>
    </row>
    <row r="52" spans="2:13" x14ac:dyDescent="0.25">
      <c r="B52" s="546"/>
      <c r="C52" s="546"/>
      <c r="D52" s="547"/>
      <c r="E52" s="541"/>
      <c r="F52" s="540"/>
      <c r="G52" s="537"/>
      <c r="H52" s="1629"/>
      <c r="I52" s="1629"/>
      <c r="J52" s="1629"/>
      <c r="K52" s="1629"/>
      <c r="L52" s="1629"/>
      <c r="M52" s="1629"/>
    </row>
    <row r="53" spans="2:13" x14ac:dyDescent="0.25">
      <c r="B53" s="531"/>
      <c r="C53" s="531"/>
      <c r="D53" s="259"/>
      <c r="E53" s="1174"/>
      <c r="F53" s="1552"/>
      <c r="G53" s="1552"/>
      <c r="H53" s="1552"/>
      <c r="I53" s="1552"/>
      <c r="J53" s="1552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49:L49"/>
    <mergeCell ref="G50:L50"/>
    <mergeCell ref="G51:L51"/>
    <mergeCell ref="H52:M52"/>
    <mergeCell ref="F53:J53"/>
  </mergeCells>
  <pageMargins left="0.57999999999999996" right="0.12" top="0.74803149606299213" bottom="0.74803149606299213" header="0.31496062992125984" footer="0.31496062992125984"/>
  <pageSetup scale="49" orientation="landscape" r:id="rId1"/>
  <drawing r:id="rId2"/>
</worksheet>
</file>

<file path=xl/worksheets/sheet2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A15FD-442E-46EC-A010-F39EE6DD8096}">
  <dimension ref="A1:N49"/>
  <sheetViews>
    <sheetView zoomScaleNormal="100" workbookViewId="0">
      <selection activeCell="P26" sqref="P26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551" t="s">
        <v>0</v>
      </c>
      <c r="B6" s="1551"/>
      <c r="C6" s="1551"/>
      <c r="D6" s="1551"/>
      <c r="E6" s="1551"/>
      <c r="F6" s="1551"/>
      <c r="G6" s="1551"/>
      <c r="H6" s="1551"/>
      <c r="I6" s="1551"/>
      <c r="J6" s="1551"/>
      <c r="K6" s="1551"/>
      <c r="L6" s="1551"/>
      <c r="M6" s="1551"/>
      <c r="N6" s="259"/>
    </row>
    <row r="7" spans="1:14" x14ac:dyDescent="0.25">
      <c r="A7" s="1551" t="s">
        <v>1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259"/>
    </row>
    <row r="8" spans="1:14" x14ac:dyDescent="0.25">
      <c r="A8" s="1551" t="s">
        <v>3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259"/>
    </row>
    <row r="9" spans="1:14" x14ac:dyDescent="0.25">
      <c r="A9" s="1551" t="s">
        <v>1528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259"/>
    </row>
    <row r="10" spans="1:14" x14ac:dyDescent="0.25">
      <c r="A10" s="1637" t="s">
        <v>412</v>
      </c>
      <c r="B10" s="1637"/>
      <c r="C10" s="1637"/>
      <c r="D10" s="1637"/>
      <c r="E10" s="1637"/>
      <c r="F10" s="1637"/>
      <c r="G10" s="1637"/>
      <c r="H10" s="1637"/>
      <c r="I10" s="1637"/>
      <c r="J10" s="1637"/>
      <c r="K10" s="1637"/>
      <c r="L10" s="1637"/>
      <c r="M10" s="1637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712" t="s">
        <v>7</v>
      </c>
      <c r="B12" s="1709" t="s">
        <v>937</v>
      </c>
      <c r="C12" s="1709" t="s">
        <v>9</v>
      </c>
      <c r="D12" s="1067" t="s">
        <v>832</v>
      </c>
      <c r="E12" s="1721" t="s">
        <v>12</v>
      </c>
      <c r="F12" s="1720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12" t="s">
        <v>20</v>
      </c>
    </row>
    <row r="13" spans="1:14" x14ac:dyDescent="0.25">
      <c r="A13" s="1712"/>
      <c r="B13" s="1709"/>
      <c r="C13" s="1709"/>
      <c r="D13" s="1067" t="s">
        <v>21</v>
      </c>
      <c r="E13" s="1721" t="s">
        <v>21</v>
      </c>
      <c r="F13" s="1720"/>
      <c r="G13" s="1720"/>
      <c r="H13" s="1720"/>
      <c r="I13" s="1720"/>
      <c r="J13" s="1720"/>
      <c r="K13" s="1720"/>
      <c r="L13" s="1720"/>
      <c r="M13" s="1712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626" t="s">
        <v>1225</v>
      </c>
      <c r="I39" s="1626"/>
      <c r="J39" s="1626"/>
      <c r="K39" s="1626"/>
      <c r="L39" s="1626"/>
      <c r="M39" s="1626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627" t="s">
        <v>852</v>
      </c>
      <c r="I40" s="1627"/>
      <c r="J40" s="1627"/>
      <c r="K40" s="1627"/>
      <c r="L40" s="1627"/>
      <c r="M40" s="1627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628" t="s">
        <v>1521</v>
      </c>
      <c r="I41" s="1628"/>
      <c r="J41" s="1628"/>
      <c r="K41" s="1628"/>
      <c r="L41" s="1628"/>
      <c r="M41" s="1628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629"/>
      <c r="J42" s="1629"/>
      <c r="K42" s="1629"/>
      <c r="L42" s="1629"/>
      <c r="M42" s="1629"/>
      <c r="N42" s="1629"/>
    </row>
    <row r="43" spans="1:14" ht="15.75" x14ac:dyDescent="0.25">
      <c r="A43" s="267"/>
      <c r="B43" s="267"/>
      <c r="C43" s="267"/>
      <c r="D43" s="268"/>
      <c r="E43" s="268"/>
      <c r="F43" s="269"/>
      <c r="G43" s="1549"/>
      <c r="H43" s="1549"/>
      <c r="I43" s="1549"/>
      <c r="J43" s="1549"/>
      <c r="K43" s="1549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43:K43"/>
    <mergeCell ref="G12:G13"/>
    <mergeCell ref="H12:H13"/>
    <mergeCell ref="I12:I13"/>
    <mergeCell ref="J12:J13"/>
    <mergeCell ref="K12:K13"/>
    <mergeCell ref="M12:M13"/>
    <mergeCell ref="H39:M39"/>
    <mergeCell ref="H40:M40"/>
    <mergeCell ref="H41:M41"/>
    <mergeCell ref="I42:N42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C7EA27-7F99-493C-99E7-AC7E8F398709}">
  <sheetPr>
    <pageSetUpPr fitToPage="1"/>
  </sheetPr>
  <dimension ref="A6:L37"/>
  <sheetViews>
    <sheetView showGridLines="0" zoomScale="118" zoomScaleNormal="118" workbookViewId="0">
      <selection activeCell="C28" sqref="C28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1529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1197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712" t="s">
        <v>7</v>
      </c>
      <c r="B12" s="1709" t="s">
        <v>802</v>
      </c>
      <c r="C12" s="1709" t="s">
        <v>10</v>
      </c>
      <c r="D12" s="1067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5" customHeight="1" x14ac:dyDescent="0.25">
      <c r="A13" s="1712"/>
      <c r="B13" s="1709"/>
      <c r="C13" s="1709"/>
      <c r="D13" s="1067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682" t="s">
        <v>1255</v>
      </c>
      <c r="G32" s="1682"/>
      <c r="H32" s="1682"/>
      <c r="I32" s="1682"/>
      <c r="J32" s="1682"/>
      <c r="K32" s="1682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627" t="s">
        <v>852</v>
      </c>
      <c r="G33" s="1627"/>
      <c r="H33" s="1627"/>
      <c r="I33" s="1627"/>
      <c r="J33" s="1627"/>
      <c r="K33" s="1627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628" t="s">
        <v>1506</v>
      </c>
      <c r="G34" s="1628"/>
      <c r="H34" s="1628"/>
      <c r="I34" s="1628"/>
      <c r="J34" s="1628"/>
      <c r="K34" s="1628"/>
      <c r="L34" s="537"/>
    </row>
    <row r="35" spans="1:12" x14ac:dyDescent="0.25">
      <c r="A35" s="546"/>
      <c r="B35" s="546"/>
      <c r="C35" s="547"/>
      <c r="D35" s="541"/>
      <c r="E35" s="540"/>
      <c r="F35" s="537"/>
      <c r="G35" s="1629"/>
      <c r="H35" s="1629"/>
      <c r="I35" s="1629"/>
      <c r="J35" s="1629"/>
      <c r="K35" s="1629"/>
      <c r="L35" s="1629"/>
    </row>
    <row r="36" spans="1:12" ht="15.75" x14ac:dyDescent="0.25">
      <c r="A36" s="267"/>
      <c r="B36" s="267"/>
      <c r="C36" s="268"/>
      <c r="D36" s="269"/>
      <c r="E36" s="1549"/>
      <c r="F36" s="1549"/>
      <c r="G36" s="1549"/>
      <c r="H36" s="1549"/>
      <c r="I36" s="1549"/>
      <c r="J36" s="271"/>
      <c r="K36" s="271"/>
      <c r="L36" s="259"/>
    </row>
    <row r="37" spans="1:12" x14ac:dyDescent="0.25">
      <c r="D37" t="s">
        <v>641</v>
      </c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32:K32"/>
    <mergeCell ref="F33:K33"/>
    <mergeCell ref="F34:K34"/>
    <mergeCell ref="G35:L35"/>
    <mergeCell ref="E36:I36"/>
  </mergeCells>
  <pageMargins left="0.7" right="0.36" top="0.75" bottom="0.75" header="0.3" footer="0.3"/>
  <pageSetup paperSize="3" orientation="landscape" r:id="rId1"/>
  <drawing r:id="rId2"/>
</worksheet>
</file>

<file path=xl/worksheets/sheet3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B556A9-7A70-403C-85BF-09CD27B08D11}">
  <sheetPr>
    <pageSetUpPr fitToPage="1"/>
  </sheetPr>
  <dimension ref="A1:N262"/>
  <sheetViews>
    <sheetView showGridLines="0" topLeftCell="A221" zoomScale="80" zoomScaleNormal="80" workbookViewId="0">
      <selection activeCell="K253" sqref="K253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1089"/>
      <c r="J5" s="867"/>
      <c r="K5" s="1089"/>
      <c r="L5" s="1089"/>
      <c r="M5" s="867"/>
    </row>
    <row r="6" spans="1:14" ht="15.75" x14ac:dyDescent="0.25">
      <c r="A6" s="1685" t="s">
        <v>1502</v>
      </c>
      <c r="B6" s="1685"/>
      <c r="C6" s="1685"/>
      <c r="D6" s="1685"/>
      <c r="E6" s="1685"/>
      <c r="F6" s="1685"/>
      <c r="G6" s="1685"/>
      <c r="H6" s="1685"/>
      <c r="I6" s="1685"/>
      <c r="J6" s="1685"/>
      <c r="K6" s="1685"/>
      <c r="L6" s="1685"/>
      <c r="M6" s="1685"/>
    </row>
    <row r="7" spans="1:14" ht="0.75" customHeight="1" x14ac:dyDescent="0.25">
      <c r="A7" s="1685"/>
      <c r="B7" s="1685"/>
      <c r="C7" s="1685"/>
      <c r="D7" s="1685"/>
      <c r="E7" s="1685"/>
      <c r="F7" s="1685"/>
      <c r="G7" s="1685"/>
      <c r="H7" s="1685"/>
      <c r="I7" s="1685"/>
      <c r="J7" s="1685"/>
      <c r="K7" s="1685"/>
      <c r="L7" s="1685"/>
      <c r="M7" s="1685"/>
      <c r="N7" s="1685"/>
    </row>
    <row r="8" spans="1:14" ht="15.75" x14ac:dyDescent="0.25">
      <c r="A8" s="1685" t="s">
        <v>1460</v>
      </c>
      <c r="B8" s="1685"/>
      <c r="C8" s="1685"/>
      <c r="D8" s="1685"/>
      <c r="E8" s="1685"/>
      <c r="F8" s="1685"/>
      <c r="G8" s="1685"/>
      <c r="H8" s="1685"/>
      <c r="I8" s="1685"/>
      <c r="J8" s="1685"/>
      <c r="K8" s="1685"/>
      <c r="L8" s="1685"/>
      <c r="M8" s="1685"/>
    </row>
    <row r="9" spans="1:14" ht="15.75" x14ac:dyDescent="0.25">
      <c r="A9" s="1685" t="s">
        <v>1533</v>
      </c>
      <c r="B9" s="1685"/>
      <c r="C9" s="1685"/>
      <c r="D9" s="1685"/>
      <c r="E9" s="1685"/>
      <c r="F9" s="1685"/>
      <c r="G9" s="1685"/>
      <c r="H9" s="1685"/>
      <c r="I9" s="1685"/>
      <c r="J9" s="1685"/>
      <c r="K9" s="1685"/>
      <c r="L9" s="1685"/>
      <c r="M9" s="1685"/>
    </row>
    <row r="10" spans="1:14" ht="15.75" x14ac:dyDescent="0.25">
      <c r="A10" s="1706" t="s">
        <v>404</v>
      </c>
      <c r="B10" s="1706"/>
      <c r="C10" s="1706"/>
      <c r="D10" s="1706"/>
      <c r="E10" s="1706"/>
      <c r="F10" s="1706"/>
      <c r="G10" s="1706"/>
      <c r="H10" s="1706"/>
      <c r="I10" s="1706"/>
      <c r="J10" s="1706"/>
      <c r="K10" s="1706"/>
      <c r="L10" s="1706"/>
      <c r="M10" s="170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707" t="s">
        <v>7</v>
      </c>
      <c r="B12" s="1707" t="s">
        <v>802</v>
      </c>
      <c r="C12" s="1707" t="s">
        <v>9</v>
      </c>
      <c r="D12" s="1707" t="s">
        <v>11</v>
      </c>
      <c r="E12" s="1057" t="s">
        <v>12</v>
      </c>
      <c r="F12" s="1704" t="s">
        <v>13</v>
      </c>
      <c r="G12" s="1705" t="s">
        <v>14</v>
      </c>
      <c r="H12" s="1705" t="s">
        <v>15</v>
      </c>
      <c r="I12" s="1723" t="s">
        <v>16</v>
      </c>
      <c r="J12" s="1705" t="s">
        <v>17</v>
      </c>
      <c r="K12" s="1723" t="s">
        <v>18</v>
      </c>
      <c r="L12" s="1723" t="s">
        <v>19</v>
      </c>
      <c r="M12" s="1705" t="s">
        <v>20</v>
      </c>
    </row>
    <row r="13" spans="1:14" ht="15.75" x14ac:dyDescent="0.25">
      <c r="A13" s="1707"/>
      <c r="B13" s="1707"/>
      <c r="C13" s="1707"/>
      <c r="D13" s="1707"/>
      <c r="E13" s="1057" t="s">
        <v>21</v>
      </c>
      <c r="F13" s="1704"/>
      <c r="G13" s="1705"/>
      <c r="H13" s="1705"/>
      <c r="I13" s="1723"/>
      <c r="J13" s="1705"/>
      <c r="K13" s="1723"/>
      <c r="L13" s="1723"/>
      <c r="M13" s="1705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3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1177">
        <f t="shared" si="3"/>
        <v>1248.45</v>
      </c>
      <c r="I30" s="963">
        <f t="shared" si="3"/>
        <v>936.62</v>
      </c>
      <c r="J30" s="965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6">
        <f t="shared" si="6"/>
        <v>13130.250000000002</v>
      </c>
      <c r="I40" s="963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L44" si="7">SUM(H43)</f>
        <v>2152.5</v>
      </c>
      <c r="I44" s="963">
        <f t="shared" si="7"/>
        <v>6309.38</v>
      </c>
      <c r="J44" s="965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8">SUM(F47:F48)</f>
        <v>0</v>
      </c>
      <c r="G49" s="965">
        <f t="shared" si="8"/>
        <v>61500</v>
      </c>
      <c r="H49" s="966">
        <f t="shared" si="8"/>
        <v>1765.05</v>
      </c>
      <c r="I49" s="1071">
        <f t="shared" si="8"/>
        <v>0</v>
      </c>
      <c r="J49" s="965">
        <f t="shared" si="8"/>
        <v>1869.6</v>
      </c>
      <c r="K49" s="963">
        <f t="shared" si="8"/>
        <v>1765.46</v>
      </c>
      <c r="L49" s="963">
        <f t="shared" si="8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6">
        <f t="shared" si="9"/>
        <v>1004.5</v>
      </c>
      <c r="I53" s="1071">
        <f t="shared" si="9"/>
        <v>0</v>
      </c>
      <c r="J53" s="965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6">
        <f>SUM(H56:H58)</f>
        <v>3400.95</v>
      </c>
      <c r="I59" s="965">
        <f>SUM(I56:I58)</f>
        <v>1116.24</v>
      </c>
      <c r="J59" s="965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 t="shared" ref="F74" si="14">SUM(F71:F73)</f>
        <v>0</v>
      </c>
      <c r="G74" s="963">
        <f t="shared" ref="G74:K74" si="15">SUM(G62:G73)</f>
        <v>387000</v>
      </c>
      <c r="H74" s="966">
        <f t="shared" si="15"/>
        <v>11106.9</v>
      </c>
      <c r="I74" s="963">
        <f t="shared" si="15"/>
        <v>1873.24</v>
      </c>
      <c r="J74" s="963">
        <f t="shared" si="15"/>
        <v>11764.8</v>
      </c>
      <c r="K74" s="963">
        <f t="shared" si="15"/>
        <v>9260</v>
      </c>
      <c r="L74" s="963">
        <f>SUM(L62:L73)</f>
        <v>34004.94</v>
      </c>
      <c r="M74" s="963">
        <f>SUM(M62:M73)</f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6"/>
        <v>2205.5</v>
      </c>
      <c r="M79" s="953">
        <f t="shared" si="17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6"/>
        <v>1502.5</v>
      </c>
      <c r="M83" s="953">
        <f t="shared" si="17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 t="shared" ref="L87" si="18">+H87+I87+J87+K87</f>
        <v>9577.77</v>
      </c>
      <c r="M87" s="951">
        <f t="shared" si="17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7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9">SUM(H77:H88)</f>
        <v>9714.9500000000007</v>
      </c>
      <c r="I89" s="963">
        <f t="shared" si="19"/>
        <v>936.62</v>
      </c>
      <c r="J89" s="963">
        <f t="shared" si="19"/>
        <v>10290.4</v>
      </c>
      <c r="K89" s="963">
        <f>SUM(K77:K88)</f>
        <v>13915.93</v>
      </c>
      <c r="L89" s="963">
        <f t="shared" si="19"/>
        <v>34857.9</v>
      </c>
      <c r="M89" s="963">
        <f>SUM(M77:M88)</f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20">SUM(F92:F93)</f>
        <v>0</v>
      </c>
      <c r="G94" s="965">
        <f>SUM(G92:G93)</f>
        <v>92500</v>
      </c>
      <c r="H94" s="966">
        <f>SUM(H92:H93)</f>
        <v>2654.75</v>
      </c>
      <c r="I94" s="963">
        <f t="shared" si="20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21">SUM(G97:G99)</f>
        <v>142000</v>
      </c>
      <c r="H100" s="966">
        <f t="shared" si="21"/>
        <v>4075.3999999999996</v>
      </c>
      <c r="I100" s="963">
        <f t="shared" si="21"/>
        <v>4432.92</v>
      </c>
      <c r="J100" s="963">
        <f t="shared" si="21"/>
        <v>4316.8</v>
      </c>
      <c r="K100" s="963">
        <f t="shared" si="21"/>
        <v>1346.7</v>
      </c>
      <c r="L100" s="963">
        <f t="shared" si="21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1178">
        <v>0</v>
      </c>
      <c r="J104" s="963">
        <f>SUM(J103:J103)</f>
        <v>2128</v>
      </c>
      <c r="K104" s="963">
        <f>SUM(K103:K103)</f>
        <v>25</v>
      </c>
      <c r="L104" s="963">
        <f>SUM(L103:L103)</f>
        <v>4162</v>
      </c>
      <c r="M104" s="963">
        <f>SUM(M103:M103)</f>
        <v>65838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22">SUM(G107:G108)</f>
        <v>87000</v>
      </c>
      <c r="H109" s="963">
        <f>SUM(H107:H108)</f>
        <v>2496.9</v>
      </c>
      <c r="I109" s="963">
        <f>SUM(I107:I108)</f>
        <v>1873.24</v>
      </c>
      <c r="J109" s="963">
        <f t="shared" si="22"/>
        <v>2644.8</v>
      </c>
      <c r="K109" s="963">
        <f t="shared" si="22"/>
        <v>50</v>
      </c>
      <c r="L109" s="963">
        <f t="shared" si="22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23">SUM(G112:G112)</f>
        <v>80000</v>
      </c>
      <c r="H113" s="965">
        <f t="shared" si="23"/>
        <v>2296</v>
      </c>
      <c r="I113" s="963">
        <f t="shared" si="23"/>
        <v>6972</v>
      </c>
      <c r="J113" s="965">
        <f t="shared" si="23"/>
        <v>2432</v>
      </c>
      <c r="K113" s="963">
        <f t="shared" si="23"/>
        <v>1740.46</v>
      </c>
      <c r="L113" s="963">
        <f t="shared" si="23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74">
        <v>0</v>
      </c>
      <c r="J117" s="953">
        <v>2432</v>
      </c>
      <c r="K117" s="951">
        <v>5884.86</v>
      </c>
      <c r="L117" s="951">
        <f>+H117+I117+J117+K117</f>
        <v>10612.86</v>
      </c>
      <c r="M117" s="953">
        <f t="shared" ref="M117:M121" si="24">+G117-L117</f>
        <v>69387.14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76">
        <v>0</v>
      </c>
      <c r="G118" s="1122">
        <v>70000</v>
      </c>
      <c r="H118" s="1122">
        <v>2009</v>
      </c>
      <c r="I118" s="1122">
        <v>5025.38</v>
      </c>
      <c r="J118" s="1122">
        <v>2128</v>
      </c>
      <c r="K118" s="1122">
        <v>13731.75</v>
      </c>
      <c r="L118" s="1122">
        <f>+H118+I118+J118+K118</f>
        <v>22894.13</v>
      </c>
      <c r="M118" s="951">
        <f t="shared" si="24"/>
        <v>47105.869999999995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4"/>
        <v>60469.520000000004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4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4"/>
        <v>39967.53</v>
      </c>
    </row>
    <row r="122" spans="1:13" ht="18.75" x14ac:dyDescent="0.3">
      <c r="A122" s="961" t="s">
        <v>749</v>
      </c>
      <c r="B122" s="950"/>
      <c r="C122" s="962">
        <v>6</v>
      </c>
      <c r="D122" s="962"/>
      <c r="E122" s="963">
        <f t="shared" ref="E122:M122" si="25">SUM(E116:E121)</f>
        <v>480000</v>
      </c>
      <c r="F122" s="964">
        <f t="shared" si="25"/>
        <v>0</v>
      </c>
      <c r="G122" s="963">
        <f t="shared" si="25"/>
        <v>480000</v>
      </c>
      <c r="H122" s="963">
        <f t="shared" si="25"/>
        <v>13776</v>
      </c>
      <c r="I122" s="963">
        <f t="shared" si="25"/>
        <v>43429.970000000008</v>
      </c>
      <c r="J122" s="963">
        <f t="shared" si="25"/>
        <v>14592</v>
      </c>
      <c r="K122" s="963">
        <f t="shared" si="25"/>
        <v>19716.61</v>
      </c>
      <c r="L122" s="963">
        <f t="shared" si="25"/>
        <v>91514.58</v>
      </c>
      <c r="M122" s="963">
        <f t="shared" si="25"/>
        <v>388485.42000000004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38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L128" si="26">SUM(F125:F127)</f>
        <v>0</v>
      </c>
      <c r="G128" s="963">
        <f t="shared" si="26"/>
        <v>148500</v>
      </c>
      <c r="H128" s="963">
        <f t="shared" si="26"/>
        <v>4261.95</v>
      </c>
      <c r="I128" s="963">
        <f t="shared" si="26"/>
        <v>5350.3</v>
      </c>
      <c r="J128" s="963">
        <f t="shared" si="26"/>
        <v>4514.3999999999996</v>
      </c>
      <c r="K128" s="963">
        <f t="shared" si="26"/>
        <v>3044.13</v>
      </c>
      <c r="L128" s="963">
        <f t="shared" si="26"/>
        <v>17170.780000000002</v>
      </c>
      <c r="M128" s="963">
        <f>SUM(M125:M127)</f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7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8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7"/>
        <v>6538.18</v>
      </c>
      <c r="M133" s="951">
        <f t="shared" si="28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 t="shared" si="27"/>
        <v>3532.4700000000003</v>
      </c>
      <c r="M134" s="951">
        <f t="shared" si="28"/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L135" si="29">SUM(G131:G134)</f>
        <v>233500</v>
      </c>
      <c r="H135" s="963">
        <f t="shared" si="29"/>
        <v>6701.45</v>
      </c>
      <c r="I135" s="963">
        <f t="shared" si="29"/>
        <v>13456.85</v>
      </c>
      <c r="J135" s="963">
        <f t="shared" si="29"/>
        <v>7098.4</v>
      </c>
      <c r="K135" s="963">
        <f t="shared" si="29"/>
        <v>1706</v>
      </c>
      <c r="L135" s="963">
        <f t="shared" si="29"/>
        <v>28962.7</v>
      </c>
      <c r="M135" s="963">
        <f>SUM(M131:M134)</f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1515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0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1854</v>
      </c>
      <c r="J140" s="953">
        <v>1520</v>
      </c>
      <c r="K140" s="951">
        <v>2025</v>
      </c>
      <c r="L140" s="951">
        <f>+H140+I140+J140+K140</f>
        <v>6834</v>
      </c>
      <c r="M140" s="953">
        <f t="shared" si="30"/>
        <v>43166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1">SUM(G138:G140)</f>
        <v>290000</v>
      </c>
      <c r="H141" s="965">
        <f t="shared" si="31"/>
        <v>8323</v>
      </c>
      <c r="I141" s="963">
        <f t="shared" si="31"/>
        <v>36513.17</v>
      </c>
      <c r="J141" s="965">
        <f t="shared" si="31"/>
        <v>8816</v>
      </c>
      <c r="K141" s="963">
        <f t="shared" si="31"/>
        <v>5990.1</v>
      </c>
      <c r="L141" s="963">
        <f t="shared" si="31"/>
        <v>59642.270000000004</v>
      </c>
      <c r="M141" s="965">
        <f>SUM(M138:M140)</f>
        <v>230357.72999999998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f>+E145-L145</f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K146" si="32">SUM(G144:G145)</f>
        <v>111500</v>
      </c>
      <c r="H146" s="966">
        <f t="shared" si="32"/>
        <v>3200.05</v>
      </c>
      <c r="I146" s="963">
        <f t="shared" si="32"/>
        <v>7400.87</v>
      </c>
      <c r="J146" s="963">
        <f>SUM(J144:J145)</f>
        <v>3389.6</v>
      </c>
      <c r="K146" s="963">
        <f t="shared" si="32"/>
        <v>2122.1999999999998</v>
      </c>
      <c r="L146" s="963">
        <f>SUM(L144:L145)</f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SUM(H149:K149)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3">SUM(E149:E149)</f>
        <v>43500</v>
      </c>
      <c r="F150" s="964">
        <f t="shared" si="33"/>
        <v>0</v>
      </c>
      <c r="G150" s="965">
        <f t="shared" si="33"/>
        <v>43500</v>
      </c>
      <c r="H150" s="965">
        <f t="shared" si="33"/>
        <v>1248.45</v>
      </c>
      <c r="I150" s="1091">
        <f t="shared" si="33"/>
        <v>936.62</v>
      </c>
      <c r="J150" s="996">
        <f t="shared" si="33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4"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4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5">SUM(F156)</f>
        <v>0</v>
      </c>
      <c r="G157" s="963">
        <f t="shared" ref="G157:L157" si="36">SUM(G153:G156)</f>
        <v>237000</v>
      </c>
      <c r="H157" s="963">
        <f t="shared" si="36"/>
        <v>6801.9</v>
      </c>
      <c r="I157" s="963">
        <f t="shared" si="36"/>
        <v>14642.59</v>
      </c>
      <c r="J157" s="963">
        <f t="shared" si="36"/>
        <v>7204.7999999999993</v>
      </c>
      <c r="K157" s="963">
        <f t="shared" si="36"/>
        <v>4643.3999999999996</v>
      </c>
      <c r="L157" s="963">
        <f t="shared" si="36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37.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7">SUM(G160:G161)</f>
        <v>150000</v>
      </c>
      <c r="H162" s="963">
        <f t="shared" si="37"/>
        <v>4305</v>
      </c>
      <c r="I162" s="963">
        <f t="shared" si="37"/>
        <v>12769.349999999999</v>
      </c>
      <c r="J162" s="963">
        <f t="shared" si="37"/>
        <v>4560</v>
      </c>
      <c r="K162" s="963">
        <f t="shared" si="37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8">SUM(F165:F166)</f>
        <v>0</v>
      </c>
      <c r="G167" s="965">
        <f>SUM(G165:G166)</f>
        <v>123500</v>
      </c>
      <c r="H167" s="965">
        <f t="shared" si="38"/>
        <v>3544.45</v>
      </c>
      <c r="I167" s="963">
        <f t="shared" si="38"/>
        <v>8337.49</v>
      </c>
      <c r="J167" s="965">
        <f t="shared" si="38"/>
        <v>3754.4</v>
      </c>
      <c r="K167" s="963">
        <f t="shared" si="38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9">+H170+I170+J170+K170</f>
        <v>3532.4700000000003</v>
      </c>
      <c r="M170" s="951">
        <f t="shared" ref="M170:M175" si="4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9"/>
        <v>3532.4700000000003</v>
      </c>
      <c r="M171" s="951">
        <f t="shared" si="4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9"/>
        <v>7854.75</v>
      </c>
      <c r="M173" s="951">
        <f t="shared" si="40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9"/>
        <v>3532.4700000000003</v>
      </c>
      <c r="M174" s="951">
        <f t="shared" si="40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L176" si="41">SUM(G170:G175)</f>
        <v>261000</v>
      </c>
      <c r="H176" s="963">
        <f t="shared" si="41"/>
        <v>7490.7</v>
      </c>
      <c r="I176" s="963">
        <f t="shared" si="41"/>
        <v>5105.08</v>
      </c>
      <c r="J176" s="963">
        <f t="shared" si="41"/>
        <v>7934.4</v>
      </c>
      <c r="K176" s="963">
        <f t="shared" si="41"/>
        <v>4986.92</v>
      </c>
      <c r="L176" s="963">
        <f t="shared" si="41"/>
        <v>25517.100000000002</v>
      </c>
      <c r="M176" s="963">
        <f>SUM(M170:M175)</f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L183" si="42">SUM(G179:G182)</f>
        <v>210500</v>
      </c>
      <c r="H183" s="963">
        <f t="shared" si="42"/>
        <v>6041.3499999999995</v>
      </c>
      <c r="I183" s="963">
        <f t="shared" si="42"/>
        <v>10210.730000000001</v>
      </c>
      <c r="J183" s="963">
        <f t="shared" si="42"/>
        <v>6399.2000000000007</v>
      </c>
      <c r="K183" s="963">
        <f t="shared" si="42"/>
        <v>2643.4</v>
      </c>
      <c r="L183" s="963">
        <f t="shared" si="42"/>
        <v>25294.68</v>
      </c>
      <c r="M183" s="963">
        <f>SUM(M179:M182)</f>
        <v>185205.32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 t="shared" ref="L186:L190" si="43"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 t="shared" si="43"/>
        <v>23926.87</v>
      </c>
      <c r="M187" s="1031">
        <f t="shared" ref="M187:M222" si="4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3"/>
        <v>12153.869999999999</v>
      </c>
      <c r="M188" s="1031">
        <f t="shared" si="4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3"/>
        <v>9530.48</v>
      </c>
      <c r="M189" s="1031">
        <f t="shared" si="4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3"/>
        <v>15451.01</v>
      </c>
      <c r="M190" s="1031">
        <f t="shared" si="4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4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4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2097.1999999999998</v>
      </c>
      <c r="L193" s="1032">
        <f t="shared" ref="L193:L218" si="45">+H193+I193+J193+K193</f>
        <v>7907.38</v>
      </c>
      <c r="M193" s="1032">
        <f t="shared" si="44"/>
        <v>47092.62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45"/>
        <v>4990.6100000000006</v>
      </c>
      <c r="M194" s="1032">
        <f t="shared" si="4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89.81</v>
      </c>
      <c r="J195" s="951">
        <v>1140</v>
      </c>
      <c r="K195" s="951">
        <v>25</v>
      </c>
      <c r="L195" s="1032">
        <f t="shared" si="45"/>
        <v>2331.06</v>
      </c>
      <c r="M195" s="1032">
        <f t="shared" si="44"/>
        <v>35168.94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5"/>
        <v>3532.4700000000003</v>
      </c>
      <c r="M198" s="1032">
        <f t="shared" si="4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44"/>
        <v>35168.94</v>
      </c>
    </row>
    <row r="200" spans="1:13" ht="18.75" x14ac:dyDescent="0.3">
      <c r="A200" s="1027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45"/>
        <v>3532.4700000000003</v>
      </c>
      <c r="M200" s="1032">
        <f t="shared" si="4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45"/>
        <v>3532.4700000000003</v>
      </c>
      <c r="M201" s="1032">
        <f t="shared" si="4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936.62</v>
      </c>
      <c r="J206" s="951">
        <v>1322.4</v>
      </c>
      <c r="K206" s="951">
        <v>25</v>
      </c>
      <c r="L206" s="1032">
        <f t="shared" si="45"/>
        <v>3532.4700000000003</v>
      </c>
      <c r="M206" s="1032">
        <f t="shared" si="44"/>
        <v>39967.53</v>
      </c>
    </row>
    <row r="207" spans="1:13" ht="18.75" x14ac:dyDescent="0.3">
      <c r="A207" s="1027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 t="shared" si="45"/>
        <v>1502.5</v>
      </c>
      <c r="M207" s="1032">
        <f t="shared" si="44"/>
        <v>23497.5</v>
      </c>
    </row>
    <row r="208" spans="1:13" ht="18.75" x14ac:dyDescent="0.3">
      <c r="A208" s="1027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45"/>
        <v>1502.5</v>
      </c>
      <c r="M208" s="1032">
        <f t="shared" si="44"/>
        <v>23497.5</v>
      </c>
    </row>
    <row r="209" spans="1:13" ht="18.75" x14ac:dyDescent="0.3">
      <c r="A209" s="1027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45"/>
        <v>1502.5</v>
      </c>
      <c r="M209" s="1032">
        <f t="shared" si="4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5"/>
        <v>1502.5</v>
      </c>
      <c r="M210" s="1032">
        <f t="shared" si="4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2">
        <f t="shared" si="4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5"/>
        <v>1798</v>
      </c>
      <c r="M212" s="1032">
        <f t="shared" si="4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2">
        <f t="shared" si="4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2">
        <f t="shared" si="44"/>
        <v>28202</v>
      </c>
    </row>
    <row r="215" spans="1:13" ht="18.75" x14ac:dyDescent="0.3">
      <c r="A215" s="1027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5"/>
        <v>1798</v>
      </c>
      <c r="M215" s="1032">
        <f t="shared" si="44"/>
        <v>28202</v>
      </c>
    </row>
    <row r="216" spans="1:13" ht="18.75" x14ac:dyDescent="0.3">
      <c r="A216" s="1027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2134</v>
      </c>
      <c r="L216" s="1032">
        <f t="shared" si="45"/>
        <v>3907</v>
      </c>
      <c r="M216" s="1032">
        <f t="shared" si="44"/>
        <v>26093</v>
      </c>
    </row>
    <row r="217" spans="1:13" ht="18.75" x14ac:dyDescent="0.3">
      <c r="A217" s="1027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f t="shared" si="45"/>
        <v>1798</v>
      </c>
      <c r="M217" s="1032">
        <f t="shared" si="44"/>
        <v>28202</v>
      </c>
    </row>
    <row r="218" spans="1:13" ht="18.75" x14ac:dyDescent="0.3">
      <c r="A218" s="1027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f t="shared" si="45"/>
        <v>1798</v>
      </c>
      <c r="M218" s="1032">
        <f t="shared" si="4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f t="shared" si="4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2">
        <f t="shared" si="4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 t="shared" si="4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 t="shared" si="44"/>
        <v>28202</v>
      </c>
    </row>
    <row r="223" spans="1:13" ht="18.75" x14ac:dyDescent="0.3">
      <c r="A223" s="949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>SUM(G186:G222)</f>
        <v>1671500</v>
      </c>
      <c r="H223" s="963">
        <f t="shared" ref="H223:L223" si="46">SUM(H186:H222)</f>
        <v>47972.05</v>
      </c>
      <c r="I223" s="963">
        <f>SUM(I186:I222)</f>
        <v>76043.739999999947</v>
      </c>
      <c r="J223" s="963">
        <f t="shared" si="46"/>
        <v>50813.600000000013</v>
      </c>
      <c r="K223" s="963">
        <f>SUM(K186:K222)</f>
        <v>16101.96</v>
      </c>
      <c r="L223" s="963">
        <f t="shared" si="46"/>
        <v>190929.34999999998</v>
      </c>
      <c r="M223" s="963">
        <f>SUM(M186:M222)</f>
        <v>1480570.6500000001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+C223+C183+C176+C167+C162+C157+C150+C146+C141+C135+C128+C122+C113+C109+C100++C89+C74+C59+C53+C49+C44+C40+C30+C19+C94+C104+C26</f>
        <v>130</v>
      </c>
      <c r="D225" s="1058"/>
      <c r="E225" s="1076">
        <f>+E19+E26+E30+E40+E44+E49+E53+E59+E74+E89+E94+E100+E104+E109+E113+E122+E128+E135+E141+E146+E150+E157+E162+E167+E176+E223+E183</f>
        <v>6828000</v>
      </c>
      <c r="F225" s="1072">
        <v>0</v>
      </c>
      <c r="G225" s="1076">
        <f>+G19+G26+G30+G40+G44+G49+G53+G59+G74+G89+G94+G100+G104+G109+G113+G122+G128+G135+G141+G146+G150+G157+G162+G167+G176+G223+G183</f>
        <v>6828000</v>
      </c>
      <c r="H225" s="1076">
        <f>+H19+H26+H30+H40+H44+H49+H53+H59+H74+H89+H94+H100+H104+H109+H113+H122+H128+H135+H141+H146+H150+H157+H162+H167+H176+H223+H183</f>
        <v>195963.6</v>
      </c>
      <c r="I225" s="1076">
        <f>+I19+I26+I30+I40+I44+I49+I53+I59+I74+I89+I94+I100+I104+I109+I113+I122+I128+I135+I141+I146+I150+I157+I162+I167+I176+I223+I183</f>
        <v>421611.46999999991</v>
      </c>
      <c r="J225" s="1076">
        <f>+J19+J26+J30+J40+J44+J49+J53+J59+J74+J89+J94+J100+J104+J109+J113+J122+J128+J135+J141+J146+J150+J157+J162+J167+J176+J223+J183</f>
        <v>205049.52</v>
      </c>
      <c r="K225" s="1076">
        <v>16101.96</v>
      </c>
      <c r="L225" s="1076">
        <v>975642.31</v>
      </c>
      <c r="M225" s="1076">
        <v>5889857.6900000004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703" t="s">
        <v>1271</v>
      </c>
      <c r="B247" s="1703"/>
      <c r="C247" s="874"/>
      <c r="D247" s="874"/>
      <c r="E247" s="875"/>
      <c r="F247" s="873"/>
      <c r="G247" s="873"/>
      <c r="H247" s="1683" t="s">
        <v>852</v>
      </c>
      <c r="I247" s="1683"/>
      <c r="J247" s="1683"/>
      <c r="K247" s="1683"/>
      <c r="L247" s="1683"/>
      <c r="M247" s="1683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684" t="s">
        <v>1504</v>
      </c>
      <c r="J248" s="1684"/>
      <c r="K248" s="1684"/>
      <c r="L248" s="1684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168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A6:M6"/>
    <mergeCell ref="A7:N7"/>
    <mergeCell ref="A8:M8"/>
    <mergeCell ref="A9:M9"/>
    <mergeCell ref="A10:M10"/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2" manualBreakCount="2">
    <brk id="89" max="13" man="1"/>
    <brk id="174" max="13" man="1"/>
  </rowBreaks>
  <drawing r:id="rId2"/>
</worksheet>
</file>

<file path=xl/worksheets/sheet3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B18D02-CBA5-43F7-8DA2-94584F3A45AB}">
  <dimension ref="A1:S163"/>
  <sheetViews>
    <sheetView topLeftCell="A138" zoomScale="106" zoomScaleNormal="106" zoomScaleSheetLayoutView="89" workbookViewId="0">
      <selection activeCell="C162" sqref="C162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46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1549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709" t="s">
        <v>7</v>
      </c>
      <c r="B11" s="1709" t="s">
        <v>937</v>
      </c>
      <c r="C11" s="1712" t="s">
        <v>10</v>
      </c>
      <c r="D11" s="1709" t="s">
        <v>832</v>
      </c>
      <c r="E11" s="1709" t="s">
        <v>834</v>
      </c>
      <c r="F11" s="1709" t="s">
        <v>209</v>
      </c>
      <c r="G11" s="1051" t="s">
        <v>12</v>
      </c>
      <c r="H11" s="1711" t="s">
        <v>13</v>
      </c>
      <c r="I11" s="1710" t="s">
        <v>14</v>
      </c>
      <c r="J11" s="1710" t="s">
        <v>15</v>
      </c>
      <c r="K11" s="1710" t="s">
        <v>16</v>
      </c>
      <c r="L11" s="1722" t="s">
        <v>17</v>
      </c>
      <c r="M11" s="1722" t="s">
        <v>18</v>
      </c>
      <c r="N11" s="1710" t="s">
        <v>19</v>
      </c>
      <c r="O11" s="1710" t="s">
        <v>20</v>
      </c>
    </row>
    <row r="12" spans="1:15" x14ac:dyDescent="0.25">
      <c r="A12" s="1709"/>
      <c r="B12" s="1709"/>
      <c r="C12" s="1712"/>
      <c r="D12" s="1709"/>
      <c r="E12" s="1709"/>
      <c r="F12" s="1709"/>
      <c r="G12" s="1051" t="s">
        <v>21</v>
      </c>
      <c r="H12" s="1711"/>
      <c r="I12" s="1710"/>
      <c r="J12" s="1710"/>
      <c r="K12" s="1710"/>
      <c r="L12" s="1722"/>
      <c r="M12" s="1722"/>
      <c r="N12" s="1710"/>
      <c r="O12" s="1710"/>
    </row>
    <row r="13" spans="1:15" ht="29.25" customHeight="1" x14ac:dyDescent="0.25">
      <c r="A13" s="1014" t="s">
        <v>1550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836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695">
        <f t="shared" ref="H29:O29" si="3">SUM(H28)</f>
        <v>0</v>
      </c>
      <c r="I29" s="695">
        <f t="shared" si="3"/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45597</v>
      </c>
      <c r="F32" s="855">
        <v>45748</v>
      </c>
      <c r="G32" s="626">
        <v>70000</v>
      </c>
      <c r="H32" s="1111">
        <v>0</v>
      </c>
      <c r="I32" s="626">
        <v>70000</v>
      </c>
      <c r="J32" s="498">
        <v>2009</v>
      </c>
      <c r="K32" s="214">
        <v>5368.48</v>
      </c>
      <c r="L32" s="1149">
        <v>2128</v>
      </c>
      <c r="M32" s="626">
        <v>8903.93</v>
      </c>
      <c r="N32" s="457">
        <f>SUM(J32:M32)</f>
        <v>18409.41</v>
      </c>
      <c r="O32" s="457">
        <f>+I32-N32</f>
        <v>51590.59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70000</v>
      </c>
      <c r="H33" s="1112">
        <v>0</v>
      </c>
      <c r="I33" s="695">
        <v>70000</v>
      </c>
      <c r="J33" s="494">
        <v>2009</v>
      </c>
      <c r="K33" s="217">
        <v>5368.48</v>
      </c>
      <c r="L33" s="1145">
        <v>2128</v>
      </c>
      <c r="M33" s="695">
        <v>8903.93</v>
      </c>
      <c r="N33" s="463">
        <f>SUM(J33:M33)</f>
        <v>18409.41</v>
      </c>
      <c r="O33" s="463">
        <f>+I33-N33</f>
        <v>51590.59</v>
      </c>
    </row>
    <row r="34" spans="1:15" ht="21" customHeight="1" x14ac:dyDescent="0.25">
      <c r="A34" s="466" t="s">
        <v>1551</v>
      </c>
      <c r="B34" s="465"/>
      <c r="C34" s="492"/>
      <c r="D34" s="465"/>
      <c r="E34" s="695"/>
      <c r="F34" s="696"/>
      <c r="G34" s="695"/>
      <c r="H34" s="1145"/>
      <c r="I34" s="695"/>
      <c r="J34" s="695"/>
      <c r="K34" s="1099"/>
      <c r="L34" s="1145"/>
      <c r="M34" s="695"/>
      <c r="N34" s="153"/>
      <c r="O34" s="153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45627</v>
      </c>
      <c r="F35" s="855">
        <v>45778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2837</v>
      </c>
      <c r="N35" s="626">
        <f>SUM(J35:M35)</f>
        <v>17909.120000000003</v>
      </c>
      <c r="O35" s="626">
        <f>+G35-N35</f>
        <v>72090.880000000005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2837</v>
      </c>
      <c r="N36" s="695">
        <f>SUM(J36:M36)</f>
        <v>17909.120000000003</v>
      </c>
      <c r="O36" s="695">
        <f>+G36-N36</f>
        <v>72090.880000000005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1475</v>
      </c>
      <c r="D39" s="281" t="s">
        <v>1063</v>
      </c>
      <c r="E39" s="500">
        <v>45597</v>
      </c>
      <c r="F39" s="855">
        <v>45748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30" customHeight="1" x14ac:dyDescent="0.25">
      <c r="A43" s="280" t="s">
        <v>461</v>
      </c>
      <c r="B43" s="281" t="s">
        <v>807</v>
      </c>
      <c r="C43" s="282" t="s">
        <v>1544</v>
      </c>
      <c r="D43" s="281" t="s">
        <v>1063</v>
      </c>
      <c r="E43" s="855">
        <v>45597</v>
      </c>
      <c r="F43" s="855">
        <v>45748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45566</v>
      </c>
      <c r="F44" s="855">
        <v>45717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 t="shared" ref="H45" si="4">SUM(H44)</f>
        <v>0</v>
      </c>
      <c r="I45" s="695">
        <f t="shared" ref="I45:O45" si="5">SUM(I43:I44)</f>
        <v>175000</v>
      </c>
      <c r="J45" s="695">
        <f t="shared" si="5"/>
        <v>5022.5</v>
      </c>
      <c r="K45" s="695">
        <f t="shared" si="5"/>
        <v>19120.419999999998</v>
      </c>
      <c r="L45" s="1145">
        <f t="shared" si="5"/>
        <v>5320</v>
      </c>
      <c r="M45" s="695">
        <f>SUM(M43:M44)</f>
        <v>2159</v>
      </c>
      <c r="N45" s="695">
        <f t="shared" si="5"/>
        <v>31621.919999999998</v>
      </c>
      <c r="O45" s="695">
        <f t="shared" si="5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ht="21" customHeight="1" x14ac:dyDescent="0.25">
      <c r="A47" s="1014" t="s">
        <v>1287</v>
      </c>
      <c r="B47" s="465"/>
      <c r="C47" s="492"/>
      <c r="D47" s="465"/>
      <c r="E47" s="500"/>
      <c r="F47" s="855"/>
      <c r="G47" s="695"/>
      <c r="H47" s="1144"/>
      <c r="I47" s="695"/>
      <c r="J47" s="695"/>
      <c r="K47" s="695"/>
      <c r="L47" s="1145"/>
      <c r="M47" s="695"/>
      <c r="N47" s="695"/>
      <c r="O47" s="695"/>
    </row>
    <row r="48" spans="1:15" ht="26.25" customHeight="1" x14ac:dyDescent="0.25">
      <c r="A48" s="496" t="s">
        <v>1553</v>
      </c>
      <c r="B48" s="497" t="s">
        <v>807</v>
      </c>
      <c r="C48" s="282" t="s">
        <v>1545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6">SUM(I48)</f>
        <v>95000</v>
      </c>
      <c r="J49" s="697">
        <f t="shared" si="6"/>
        <v>2726.5</v>
      </c>
      <c r="K49" s="697">
        <f t="shared" si="6"/>
        <v>10929.24</v>
      </c>
      <c r="L49" s="1145">
        <f t="shared" si="6"/>
        <v>2888</v>
      </c>
      <c r="M49" s="697">
        <f>SUM(M48)</f>
        <v>8637.92</v>
      </c>
      <c r="N49" s="697">
        <f t="shared" si="6"/>
        <v>25181.659999999996</v>
      </c>
      <c r="O49" s="697">
        <f t="shared" si="6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1425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45597</v>
      </c>
      <c r="F53" s="855">
        <v>45748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 t="shared" ref="H54" si="7">SUM(H53)</f>
        <v>0</v>
      </c>
      <c r="I54" s="697">
        <f t="shared" ref="I54:O54" si="8">SUM(I52:I53)</f>
        <v>175000</v>
      </c>
      <c r="J54" s="697">
        <f t="shared" si="8"/>
        <v>5022.5</v>
      </c>
      <c r="K54" s="697">
        <f t="shared" si="8"/>
        <v>19369.55</v>
      </c>
      <c r="L54" s="1145">
        <f t="shared" si="8"/>
        <v>5320</v>
      </c>
      <c r="M54" s="697">
        <f>SUM(M52:M53)</f>
        <v>2593.4</v>
      </c>
      <c r="N54" s="697">
        <f t="shared" si="8"/>
        <v>32305.45</v>
      </c>
      <c r="O54" s="697">
        <f t="shared" si="8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9">+J57+K57+L57+M57</f>
        <v>25398.49</v>
      </c>
      <c r="O57" s="498">
        <f t="shared" ref="O57:O63" si="10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9"/>
        <v>25398.49</v>
      </c>
      <c r="O58" s="498">
        <f t="shared" si="10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45597</v>
      </c>
      <c r="F60" s="855">
        <v>45748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9"/>
        <v>25398.49</v>
      </c>
      <c r="O62" s="626">
        <f t="shared" si="10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45597</v>
      </c>
      <c r="F63" s="855">
        <v>45748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9"/>
        <v>29628.34</v>
      </c>
      <c r="O63" s="626">
        <f t="shared" si="10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45597</v>
      </c>
      <c r="F64" s="855">
        <v>45748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11">SUM(I57:I64)</f>
        <v>1010000</v>
      </c>
      <c r="J65" s="697">
        <f t="shared" si="11"/>
        <v>28987</v>
      </c>
      <c r="K65" s="697">
        <f t="shared" si="11"/>
        <v>145811.31000000003</v>
      </c>
      <c r="L65" s="1145">
        <f t="shared" si="11"/>
        <v>30704</v>
      </c>
      <c r="M65" s="697">
        <f>SUM(M57:M64)</f>
        <v>1915.46</v>
      </c>
      <c r="N65" s="697">
        <f t="shared" si="11"/>
        <v>207417.77</v>
      </c>
      <c r="O65" s="697">
        <f t="shared" si="11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45597</v>
      </c>
      <c r="F68" s="855">
        <v>45748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45597</v>
      </c>
      <c r="F69" s="855">
        <v>45748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45717</v>
      </c>
      <c r="F70" s="855">
        <v>45870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2">SUM(I68:I71)</f>
        <v>360000</v>
      </c>
      <c r="J72" s="695">
        <f t="shared" si="12"/>
        <v>10332</v>
      </c>
      <c r="K72" s="695">
        <f t="shared" si="12"/>
        <v>39972.06</v>
      </c>
      <c r="L72" s="1145">
        <f t="shared" si="12"/>
        <v>10944</v>
      </c>
      <c r="M72" s="695">
        <f>SUM(M68:M71)</f>
        <v>2643.4</v>
      </c>
      <c r="N72" s="695">
        <f>SUM(N68:N71)</f>
        <v>63891.459999999992</v>
      </c>
      <c r="O72" s="695">
        <f t="shared" si="12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45597</v>
      </c>
      <c r="F75" s="855">
        <v>45748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3">SUM(H75)</f>
        <v>0</v>
      </c>
      <c r="I76" s="695">
        <f t="shared" si="13"/>
        <v>185000</v>
      </c>
      <c r="J76" s="695">
        <f t="shared" si="13"/>
        <v>5309.5</v>
      </c>
      <c r="K76" s="695">
        <f t="shared" si="13"/>
        <v>32099.49</v>
      </c>
      <c r="L76" s="1145">
        <f t="shared" si="13"/>
        <v>5624</v>
      </c>
      <c r="M76" s="695">
        <f>SUM(M75)</f>
        <v>4557.26</v>
      </c>
      <c r="N76" s="695">
        <f t="shared" si="13"/>
        <v>47590.250000000007</v>
      </c>
      <c r="O76" s="695">
        <f t="shared" si="13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1543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45597</v>
      </c>
      <c r="F79" s="855">
        <v>45748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 t="shared" ref="H81" si="14">SUM(H80)</f>
        <v>0</v>
      </c>
      <c r="I81" s="695">
        <f t="shared" ref="I81:O81" si="15">SUM(I79:I80)</f>
        <v>130000</v>
      </c>
      <c r="J81" s="695">
        <f t="shared" si="15"/>
        <v>3731</v>
      </c>
      <c r="K81" s="695">
        <f t="shared" si="15"/>
        <v>8855.16</v>
      </c>
      <c r="L81" s="1145">
        <f t="shared" si="15"/>
        <v>3952</v>
      </c>
      <c r="M81" s="695">
        <f>SUM(M79:M80)</f>
        <v>50</v>
      </c>
      <c r="N81" s="695">
        <f t="shared" si="15"/>
        <v>16588.16</v>
      </c>
      <c r="O81" s="695">
        <f t="shared" si="15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78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6">+J88+K88+L88+M88</f>
        <v>9530.48</v>
      </c>
      <c r="O88" s="468">
        <f t="shared" ref="O88:O93" si="17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45597</v>
      </c>
      <c r="F89" s="855">
        <v>45748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6"/>
        <v>9530.48</v>
      </c>
      <c r="O89" s="468">
        <f t="shared" si="17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6"/>
        <v>9530.48</v>
      </c>
      <c r="O90" s="468">
        <f t="shared" si="17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45566</v>
      </c>
      <c r="F91" s="855">
        <v>45717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6"/>
        <v>9530.48</v>
      </c>
      <c r="O91" s="468">
        <f t="shared" si="17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6"/>
        <v>9530.48</v>
      </c>
      <c r="O92" s="468">
        <f t="shared" si="17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6"/>
        <v>5835.18</v>
      </c>
      <c r="O93" s="468">
        <f t="shared" si="17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 t="shared" ref="H94" si="18">SUM(H93)</f>
        <v>0</v>
      </c>
      <c r="I94" s="695">
        <f>SUM(I88:I93)</f>
        <v>405000</v>
      </c>
      <c r="J94" s="695">
        <f>SUM(J88:J93)</f>
        <v>11623.5</v>
      </c>
      <c r="K94" s="695">
        <f t="shared" ref="K94:N94" si="19">SUM(K88:K93)</f>
        <v>29402.079999999998</v>
      </c>
      <c r="L94" s="1145">
        <f t="shared" si="19"/>
        <v>12312</v>
      </c>
      <c r="M94" s="695">
        <f>SUM(M88:M93)</f>
        <v>150</v>
      </c>
      <c r="N94" s="695">
        <f t="shared" si="19"/>
        <v>53487.579999999994</v>
      </c>
      <c r="O94" s="695">
        <f>SUM(O88:O93)</f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20">SUM(I97:I98)</f>
        <v>190000</v>
      </c>
      <c r="J99" s="695">
        <f t="shared" si="20"/>
        <v>5453</v>
      </c>
      <c r="K99" s="695">
        <f t="shared" si="20"/>
        <v>22178.35</v>
      </c>
      <c r="L99" s="695">
        <f t="shared" si="20"/>
        <v>5776</v>
      </c>
      <c r="M99" s="695">
        <f>SUM(M97:M98)</f>
        <v>4694.3999999999996</v>
      </c>
      <c r="N99" s="695">
        <f t="shared" si="20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 t="shared" ref="N102" si="21">+J102+K102+L102+M102</f>
        <v>23926.87</v>
      </c>
      <c r="O102" s="468">
        <f t="shared" ref="O102" si="22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23">+J104+K104+L104+M104</f>
        <v>9530.48</v>
      </c>
      <c r="O104" s="468">
        <f t="shared" ref="O104:O128" si="24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23"/>
        <v>9530.48</v>
      </c>
      <c r="O105" s="468">
        <f t="shared" si="24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23"/>
        <v>10902.84</v>
      </c>
      <c r="O106" s="468">
        <f t="shared" si="24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23"/>
        <v>12275.210000000001</v>
      </c>
      <c r="O107" s="468">
        <f t="shared" si="24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23"/>
        <v>10902.84</v>
      </c>
      <c r="O108" s="468">
        <f t="shared" si="24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3"/>
        <v>9530.48</v>
      </c>
      <c r="O109" s="468">
        <f t="shared" si="24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3"/>
        <v>9530.48</v>
      </c>
      <c r="O110" s="468">
        <f t="shared" si="24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3"/>
        <v>9530.48</v>
      </c>
      <c r="O111" s="468">
        <f t="shared" si="24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23"/>
        <v>9530.48</v>
      </c>
      <c r="O112" s="468">
        <f t="shared" si="24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23"/>
        <v>9530.48</v>
      </c>
      <c r="O113" s="468">
        <f t="shared" si="24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3"/>
        <v>9530.48</v>
      </c>
      <c r="O114" s="468">
        <f t="shared" si="24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3"/>
        <v>9530.48</v>
      </c>
      <c r="O115" s="468">
        <f t="shared" si="24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3"/>
        <v>9530.48</v>
      </c>
      <c r="O116" s="468">
        <f t="shared" si="24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3"/>
        <v>9530.48</v>
      </c>
      <c r="O117" s="468">
        <f t="shared" si="24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3"/>
        <v>9530.48</v>
      </c>
      <c r="O118" s="468">
        <f t="shared" si="24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3"/>
        <v>9530.48</v>
      </c>
      <c r="O119" s="468">
        <f t="shared" si="24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3"/>
        <v>9530.48</v>
      </c>
      <c r="O120" s="468">
        <f t="shared" si="24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3"/>
        <v>9530.48</v>
      </c>
      <c r="O121" s="468">
        <f t="shared" si="24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3"/>
        <v>9530.48</v>
      </c>
      <c r="O122" s="468">
        <f t="shared" si="24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3"/>
        <v>9530.48</v>
      </c>
      <c r="O123" s="468">
        <f t="shared" si="24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23"/>
        <v>10902.84</v>
      </c>
      <c r="O124" s="468">
        <f t="shared" si="24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3"/>
        <v>9530.48</v>
      </c>
      <c r="O125" s="468">
        <f t="shared" si="24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3"/>
        <v>9530.48</v>
      </c>
      <c r="O126" s="468">
        <f t="shared" si="24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3"/>
        <v>9530.48</v>
      </c>
      <c r="O127" s="468">
        <f t="shared" si="24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3"/>
        <v>9530.48</v>
      </c>
      <c r="O128" s="468">
        <f t="shared" si="24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25">+J130+K130+L130+M130</f>
        <v>5835.18</v>
      </c>
      <c r="O130" s="468">
        <f t="shared" ref="O130:O132" si="26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25"/>
        <v>7293.3200000000006</v>
      </c>
      <c r="O131" s="468">
        <f t="shared" si="26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5"/>
        <v>3532.4700000000003</v>
      </c>
      <c r="O132" s="468">
        <f t="shared" si="26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25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45566</v>
      </c>
      <c r="F134" s="855">
        <v>45717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25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25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7">SUM(I102:I135)</f>
        <v>2330500</v>
      </c>
      <c r="J136" s="695">
        <f t="shared" si="27"/>
        <v>66885.349999999991</v>
      </c>
      <c r="K136" s="695">
        <f t="shared" si="27"/>
        <v>179989.64999999994</v>
      </c>
      <c r="L136" s="1145">
        <f t="shared" si="27"/>
        <v>70847.199999999983</v>
      </c>
      <c r="M136" s="695">
        <f>SUM(M102:M135)</f>
        <v>12858.219999999998</v>
      </c>
      <c r="N136" s="695">
        <f t="shared" si="27"/>
        <v>330580.42</v>
      </c>
      <c r="O136" s="695">
        <f t="shared" si="27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</f>
        <v>5980500</v>
      </c>
      <c r="H138" s="1114">
        <v>0</v>
      </c>
      <c r="I138" s="1126">
        <f>+I16+I20+I25+I29+I45+I49+I54+I65+I72+I76+I81+I85+I94+I99+I136+I40+I36</f>
        <v>5980500</v>
      </c>
      <c r="J138" s="1126">
        <f>+J16+J20+J25+J29+J45+J49+J54+J65+J72+J76+J81+J85+J94+J99+J136+J40+J36</f>
        <v>171640.34999999998</v>
      </c>
      <c r="K138" s="1126">
        <f>+K16+K20+K25+K29+K45+K49+K54+K65+K72+K76+K81+K85+K94+K99+K136+K40+K36</f>
        <v>626378.75999999989</v>
      </c>
      <c r="L138" s="1151">
        <f>+L16+L20+L25+L29+L45+L49+L54+L65+L72+L76+L81+L85+L94+L99+L136+L40+L36</f>
        <v>181807.19999999998</v>
      </c>
      <c r="M138" s="1126">
        <f>+M136+M99+M94+M85+M81+M76+M72+M65+M54+M49+M45+M40+M36+M33+M29+M25+M20+M16</f>
        <v>78119.789999999994</v>
      </c>
      <c r="N138" s="1126">
        <f>+N16+N20+N25+N29+N45+N49+N54+N65+N72+N76+N81+N85+N94+N99+N136+N40+N36+N33</f>
        <v>1067451.5799999998</v>
      </c>
      <c r="O138" s="1126">
        <f>+O16+O20+O25+O29+O45+O49+O54+O65+O72+O76+O81+O85+O94+O99+O136+O40+O36+O33</f>
        <v>4983048.42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708" t="s">
        <v>1375</v>
      </c>
      <c r="J158" s="1708"/>
      <c r="K158" s="1708"/>
      <c r="L158" s="1708"/>
      <c r="M158" s="1708"/>
      <c r="N158" s="1708"/>
      <c r="O158" s="1708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692" t="s">
        <v>1554</v>
      </c>
      <c r="J159" s="1692"/>
      <c r="K159" s="1692"/>
      <c r="L159" s="1692"/>
      <c r="M159" s="1692"/>
      <c r="N159" s="1692"/>
      <c r="O159" s="1692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8:O158"/>
    <mergeCell ref="I159:O159"/>
    <mergeCell ref="L11:L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1" max="15" man="1"/>
    <brk id="121" max="15" man="1"/>
  </rowBreaks>
  <drawing r:id="rId2"/>
</worksheet>
</file>

<file path=xl/worksheets/sheet3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B36CF0-C01A-430B-89A4-F0EB50185035}">
  <dimension ref="A1:N72"/>
  <sheetViews>
    <sheetView topLeftCell="A29" zoomScaleNormal="100" workbookViewId="0">
      <selection activeCell="E22" sqref="E22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1534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713" t="s">
        <v>7</v>
      </c>
      <c r="B13" s="1713" t="s">
        <v>937</v>
      </c>
      <c r="C13" s="1713" t="s">
        <v>8</v>
      </c>
      <c r="D13" s="1713" t="s">
        <v>10</v>
      </c>
      <c r="E13" s="1713" t="s">
        <v>11</v>
      </c>
      <c r="F13" s="1047" t="s">
        <v>12</v>
      </c>
      <c r="G13" s="1713" t="s">
        <v>13</v>
      </c>
      <c r="H13" s="1713" t="s">
        <v>14</v>
      </c>
      <c r="I13" s="1713" t="s">
        <v>15</v>
      </c>
      <c r="J13" s="1713" t="s">
        <v>16</v>
      </c>
      <c r="K13" s="1713" t="s">
        <v>17</v>
      </c>
      <c r="L13" s="1713" t="s">
        <v>18</v>
      </c>
      <c r="M13" s="1713" t="s">
        <v>19</v>
      </c>
      <c r="N13" s="1713" t="s">
        <v>20</v>
      </c>
    </row>
    <row r="14" spans="1:14" x14ac:dyDescent="0.25">
      <c r="A14" s="1713"/>
      <c r="B14" s="1713"/>
      <c r="C14" s="1713"/>
      <c r="D14" s="1713"/>
      <c r="E14" s="1713"/>
      <c r="F14" s="1047" t="s">
        <v>21</v>
      </c>
      <c r="G14" s="1713"/>
      <c r="H14" s="1713"/>
      <c r="I14" s="1713"/>
      <c r="J14" s="1713"/>
      <c r="K14" s="1713"/>
      <c r="L14" s="1713"/>
      <c r="M14" s="1713"/>
      <c r="N14" s="1713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37.5" customHeight="1" x14ac:dyDescent="0.25">
      <c r="A34" s="1180" t="s">
        <v>865</v>
      </c>
      <c r="B34" s="1180"/>
      <c r="C34" s="1181">
        <v>18</v>
      </c>
      <c r="D34" s="1181"/>
      <c r="E34" s="1181"/>
      <c r="F34" s="1182">
        <f t="shared" ref="F34:N34" si="2">+F33</f>
        <v>266000</v>
      </c>
      <c r="G34" s="1182">
        <f t="shared" si="2"/>
        <v>0</v>
      </c>
      <c r="H34" s="1182">
        <f t="shared" si="2"/>
        <v>266000</v>
      </c>
      <c r="I34" s="1182">
        <f t="shared" si="2"/>
        <v>0</v>
      </c>
      <c r="J34" s="1182">
        <f t="shared" si="2"/>
        <v>4195.88</v>
      </c>
      <c r="K34" s="1182">
        <f t="shared" si="2"/>
        <v>0</v>
      </c>
      <c r="L34" s="1182">
        <f t="shared" si="2"/>
        <v>0</v>
      </c>
      <c r="M34" s="1182">
        <f t="shared" si="2"/>
        <v>4195.88</v>
      </c>
      <c r="N34" s="1182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690" t="s">
        <v>1269</v>
      </c>
      <c r="B56" s="1690"/>
      <c r="C56" s="1690"/>
      <c r="D56" s="753"/>
      <c r="E56" s="753"/>
      <c r="F56" s="754"/>
      <c r="G56" s="755"/>
      <c r="I56" s="1691" t="s">
        <v>852</v>
      </c>
      <c r="J56" s="1691"/>
      <c r="K56" s="1691"/>
      <c r="L56" s="1691"/>
      <c r="M56" s="1691"/>
      <c r="N56" s="1691"/>
    </row>
    <row r="57" spans="1:14" s="259" customFormat="1" ht="19.5" customHeight="1" x14ac:dyDescent="0.25">
      <c r="A57" s="1628" t="s">
        <v>1270</v>
      </c>
      <c r="B57" s="1628"/>
      <c r="C57" s="1628"/>
      <c r="D57" s="753"/>
      <c r="E57" s="753"/>
      <c r="F57" s="754"/>
      <c r="G57" s="755"/>
      <c r="I57" s="1692" t="s">
        <v>1505</v>
      </c>
      <c r="J57" s="1692"/>
      <c r="K57" s="1692"/>
      <c r="L57" s="1692"/>
      <c r="M57" s="1692"/>
      <c r="N57" s="1692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135.7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629"/>
      <c r="J69" s="1629"/>
      <c r="K69" s="1629"/>
      <c r="L69" s="1629"/>
      <c r="M69" s="1629"/>
      <c r="N69" s="1629"/>
    </row>
    <row r="70" spans="1:14" ht="15.75" x14ac:dyDescent="0.25">
      <c r="A70" s="267"/>
      <c r="B70" s="267"/>
      <c r="C70" s="267"/>
      <c r="D70" s="268"/>
      <c r="E70" s="268"/>
      <c r="F70" s="269"/>
      <c r="G70" s="1549"/>
      <c r="H70" s="1549"/>
      <c r="I70" s="1549"/>
      <c r="J70" s="1549"/>
      <c r="K70" s="1549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94F596-CE96-496B-B2E2-01343CC5D972}">
  <sheetPr>
    <pageSetUpPr fitToPage="1"/>
  </sheetPr>
  <dimension ref="B5:N90"/>
  <sheetViews>
    <sheetView showGridLines="0" view="pageBreakPreview" topLeftCell="A53" zoomScaleNormal="136" zoomScaleSheetLayoutView="100" workbookViewId="0">
      <selection sqref="A1:N9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93" t="s">
        <v>0</v>
      </c>
      <c r="C5" s="1693"/>
      <c r="D5" s="1693"/>
      <c r="E5" s="1693"/>
      <c r="F5" s="1693"/>
      <c r="G5" s="1693"/>
      <c r="H5" s="1693"/>
      <c r="I5" s="1693"/>
      <c r="J5" s="1693"/>
      <c r="K5" s="1693"/>
      <c r="L5" s="1693"/>
      <c r="M5" s="1693"/>
    </row>
    <row r="6" spans="2:14" ht="13.5" customHeight="1" x14ac:dyDescent="0.25">
      <c r="B6" s="1693" t="s">
        <v>1</v>
      </c>
      <c r="C6" s="1693"/>
      <c r="D6" s="1693"/>
      <c r="E6" s="1693"/>
      <c r="F6" s="1693"/>
      <c r="G6" s="1693"/>
      <c r="H6" s="1693"/>
      <c r="I6" s="1693"/>
      <c r="J6" s="1693"/>
      <c r="K6" s="1693"/>
      <c r="L6" s="1693"/>
      <c r="M6" s="1693"/>
    </row>
    <row r="7" spans="2:14" ht="12" customHeight="1" x14ac:dyDescent="0.25">
      <c r="B7" s="1693" t="s">
        <v>3</v>
      </c>
      <c r="C7" s="1693"/>
      <c r="D7" s="1693"/>
      <c r="E7" s="1693"/>
      <c r="F7" s="1693"/>
      <c r="G7" s="1693"/>
      <c r="H7" s="1693"/>
      <c r="I7" s="1693"/>
      <c r="J7" s="1693"/>
      <c r="K7" s="1693"/>
      <c r="L7" s="1693"/>
      <c r="M7" s="1693"/>
    </row>
    <row r="8" spans="2:14" x14ac:dyDescent="0.25">
      <c r="B8" s="1693" t="s">
        <v>1535</v>
      </c>
      <c r="C8" s="1693"/>
      <c r="D8" s="1693"/>
      <c r="E8" s="1693"/>
      <c r="F8" s="1693"/>
      <c r="G8" s="1693"/>
      <c r="H8" s="1693"/>
      <c r="I8" s="1693"/>
      <c r="J8" s="1693"/>
      <c r="K8" s="1693"/>
      <c r="L8" s="1693"/>
      <c r="M8" s="1693"/>
    </row>
    <row r="9" spans="2:14" x14ac:dyDescent="0.25">
      <c r="B9" s="1694" t="s">
        <v>886</v>
      </c>
      <c r="C9" s="1694"/>
      <c r="D9" s="1694"/>
      <c r="E9" s="1694"/>
      <c r="F9" s="1694"/>
      <c r="G9" s="1694"/>
      <c r="H9" s="1694"/>
      <c r="I9" s="1694"/>
      <c r="J9" s="1694"/>
      <c r="K9" s="1694"/>
      <c r="L9" s="1694"/>
      <c r="M9" s="1694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726" t="s">
        <v>7</v>
      </c>
      <c r="C11" s="1726" t="s">
        <v>802</v>
      </c>
      <c r="D11" s="1728" t="s">
        <v>9</v>
      </c>
      <c r="E11" s="1046" t="s">
        <v>12</v>
      </c>
      <c r="F11" s="1730" t="s">
        <v>13</v>
      </c>
      <c r="G11" s="1724" t="s">
        <v>14</v>
      </c>
      <c r="H11" s="1724" t="s">
        <v>15</v>
      </c>
      <c r="I11" s="1724" t="s">
        <v>16</v>
      </c>
      <c r="J11" s="1724" t="s">
        <v>17</v>
      </c>
      <c r="K11" s="1724" t="s">
        <v>18</v>
      </c>
      <c r="L11" s="1724" t="s">
        <v>19</v>
      </c>
      <c r="M11" s="1724" t="s">
        <v>20</v>
      </c>
    </row>
    <row r="12" spans="2:14" ht="16.5" customHeight="1" x14ac:dyDescent="0.25">
      <c r="B12" s="1727"/>
      <c r="C12" s="1727"/>
      <c r="D12" s="1729"/>
      <c r="E12" s="1046" t="s">
        <v>21</v>
      </c>
      <c r="F12" s="1731"/>
      <c r="G12" s="1725"/>
      <c r="H12" s="1725"/>
      <c r="I12" s="1725"/>
      <c r="J12" s="1725"/>
      <c r="K12" s="1725"/>
      <c r="L12" s="1725"/>
      <c r="M12" s="1725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" si="4">+E42</f>
        <v>11500</v>
      </c>
      <c r="F43" s="937">
        <v>0</v>
      </c>
      <c r="G43" s="905">
        <f t="shared" ref="G43:J43" si="5">+G42</f>
        <v>11500</v>
      </c>
      <c r="H43" s="905">
        <f t="shared" si="5"/>
        <v>330.05</v>
      </c>
      <c r="I43" s="905">
        <f t="shared" si="5"/>
        <v>1623.06</v>
      </c>
      <c r="J43" s="905">
        <f t="shared" si="5"/>
        <v>349.6</v>
      </c>
      <c r="K43" s="937">
        <v>0</v>
      </c>
      <c r="L43" s="905">
        <f t="shared" ref="L43" si="6"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7">SUM(G46:G47)</f>
        <v>51500</v>
      </c>
      <c r="H48" s="905">
        <f t="shared" si="7"/>
        <v>1478.05</v>
      </c>
      <c r="I48" s="905">
        <f t="shared" si="7"/>
        <v>11032.06</v>
      </c>
      <c r="J48" s="905">
        <f t="shared" si="7"/>
        <v>1565.6</v>
      </c>
      <c r="K48" s="937">
        <v>0</v>
      </c>
      <c r="L48" s="905">
        <f t="shared" si="7"/>
        <v>14075.71</v>
      </c>
      <c r="M48" s="905">
        <f t="shared" si="7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 t="shared" ref="G52:J52" si="8">+G51</f>
        <v>11500</v>
      </c>
      <c r="H52" s="905">
        <f t="shared" si="8"/>
        <v>330.05</v>
      </c>
      <c r="I52" s="905">
        <f t="shared" si="8"/>
        <v>1623.06</v>
      </c>
      <c r="J52" s="905">
        <f t="shared" si="8"/>
        <v>349.6</v>
      </c>
      <c r="K52" s="937">
        <v>0</v>
      </c>
      <c r="L52" s="905">
        <f t="shared" ref="L52" si="9"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10">+E55</f>
        <v>40000</v>
      </c>
      <c r="F56" s="937">
        <v>0</v>
      </c>
      <c r="G56" s="905">
        <f t="shared" si="10"/>
        <v>40000</v>
      </c>
      <c r="H56" s="905">
        <f t="shared" si="10"/>
        <v>1148</v>
      </c>
      <c r="I56" s="905">
        <f t="shared" si="10"/>
        <v>9409</v>
      </c>
      <c r="J56" s="905">
        <f t="shared" si="10"/>
        <v>1216</v>
      </c>
      <c r="K56" s="937">
        <v>0</v>
      </c>
      <c r="L56" s="905">
        <f t="shared" si="10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696" t="s">
        <v>1372</v>
      </c>
      <c r="H78" s="1696"/>
      <c r="I78" s="1696"/>
      <c r="J78" s="1696"/>
      <c r="K78" s="1696"/>
      <c r="L78" s="1696"/>
    </row>
    <row r="79" spans="2:12" x14ac:dyDescent="0.25">
      <c r="B79" s="1083" t="s">
        <v>1238</v>
      </c>
      <c r="C79" s="1083"/>
      <c r="D79" s="921"/>
      <c r="E79" s="915"/>
      <c r="F79" s="915"/>
      <c r="G79" s="1702" t="s">
        <v>1222</v>
      </c>
      <c r="H79" s="1702"/>
      <c r="I79" s="1702"/>
      <c r="J79" s="1702"/>
      <c r="K79" s="1702"/>
      <c r="L79" s="1702"/>
    </row>
    <row r="80" spans="2:12" x14ac:dyDescent="0.25">
      <c r="B80" s="916" t="s">
        <v>1239</v>
      </c>
      <c r="C80" s="916"/>
      <c r="D80" s="915"/>
      <c r="E80" s="915"/>
      <c r="F80" s="923"/>
      <c r="G80" s="1701" t="s">
        <v>1224</v>
      </c>
      <c r="H80" s="1701"/>
      <c r="I80" s="1701"/>
      <c r="J80" s="1701"/>
      <c r="K80" s="1701"/>
      <c r="L80" s="1701"/>
    </row>
    <row r="84" spans="5:13" ht="30" customHeight="1" x14ac:dyDescent="0.25"/>
    <row r="88" spans="5:13" x14ac:dyDescent="0.25">
      <c r="E88" s="924"/>
      <c r="F88" s="923"/>
      <c r="G88" s="915"/>
      <c r="H88" s="1698"/>
      <c r="I88" s="1698"/>
      <c r="J88" s="1698"/>
      <c r="K88" s="1698"/>
      <c r="L88" s="1698"/>
      <c r="M88" s="1698"/>
    </row>
    <row r="89" spans="5:13" x14ac:dyDescent="0.25">
      <c r="E89" s="925"/>
      <c r="F89" s="1694"/>
      <c r="G89" s="1694"/>
      <c r="H89" s="1694"/>
      <c r="I89" s="1694"/>
      <c r="J89" s="1694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8:L78"/>
    <mergeCell ref="G79:L79"/>
    <mergeCell ref="G80:L80"/>
    <mergeCell ref="H88:M88"/>
    <mergeCell ref="F89:J89"/>
  </mergeCells>
  <pageMargins left="1.299212598425197" right="7.874015748031496E-2" top="0.02" bottom="0.27559055118110237" header="0" footer="0"/>
  <pageSetup scale="49" orientation="landscape" r:id="rId1"/>
  <drawing r:id="rId2"/>
</worksheet>
</file>

<file path=xl/worksheets/sheet3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29E6-DCAF-42D5-A793-7F4D537EA5CB}">
  <dimension ref="A6:M63"/>
  <sheetViews>
    <sheetView showGridLines="0" topLeftCell="B16" zoomScale="118" zoomScaleNormal="118" workbookViewId="0">
      <selection activeCell="D41" sqref="D41"/>
    </sheetView>
  </sheetViews>
  <sheetFormatPr baseColWidth="10" defaultRowHeight="15" x14ac:dyDescent="0.25"/>
  <cols>
    <col min="1" max="1" width="1.42578125" hidden="1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51" t="s">
        <v>0</v>
      </c>
      <c r="C6" s="1551"/>
      <c r="D6" s="1551"/>
      <c r="E6" s="1551"/>
      <c r="F6" s="1551"/>
      <c r="G6" s="1551"/>
      <c r="H6" s="1551"/>
      <c r="I6" s="1551"/>
      <c r="J6" s="1551"/>
      <c r="K6" s="1551"/>
      <c r="L6" s="1551"/>
      <c r="M6" s="1551"/>
    </row>
    <row r="7" spans="2:13" x14ac:dyDescent="0.25">
      <c r="B7" s="1551" t="s">
        <v>1</v>
      </c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2:13" x14ac:dyDescent="0.25">
      <c r="B8" s="1551" t="s">
        <v>3</v>
      </c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2:13" x14ac:dyDescent="0.25">
      <c r="B9" s="1551" t="s">
        <v>1536</v>
      </c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2:13" x14ac:dyDescent="0.25">
      <c r="B10" s="1552" t="s">
        <v>1197</v>
      </c>
      <c r="C10" s="1552"/>
      <c r="D10" s="1552"/>
      <c r="E10" s="1552"/>
      <c r="F10" s="1552"/>
      <c r="G10" s="1552"/>
      <c r="H10" s="1552"/>
      <c r="I10" s="1552"/>
      <c r="J10" s="1552"/>
      <c r="K10" s="1552"/>
      <c r="L10" s="1552"/>
      <c r="M10" s="1552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712" t="s">
        <v>7</v>
      </c>
      <c r="C12" s="1709" t="s">
        <v>802</v>
      </c>
      <c r="D12" s="1709" t="s">
        <v>9</v>
      </c>
      <c r="E12" s="1067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2:13" ht="15" customHeight="1" x14ac:dyDescent="0.25">
      <c r="B13" s="1712"/>
      <c r="C13" s="1709"/>
      <c r="D13" s="1709"/>
      <c r="E13" s="1067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52" t="s">
        <v>865</v>
      </c>
      <c r="C33" s="1063"/>
      <c r="D33" s="1064">
        <f>+D16+D20+D24+D28+D31</f>
        <v>5</v>
      </c>
      <c r="E33" s="1065">
        <f>+E16+E20+E24+E28+E31</f>
        <v>161500</v>
      </c>
      <c r="F33" s="1066">
        <v>0</v>
      </c>
      <c r="G33" s="1065">
        <f t="shared" ref="G33:M33" si="2">+G16+G20+G24+G28+G31</f>
        <v>161500</v>
      </c>
      <c r="H33" s="1065">
        <f t="shared" si="2"/>
        <v>4635.05</v>
      </c>
      <c r="I33" s="1065">
        <f t="shared" si="2"/>
        <v>34827.939999999995</v>
      </c>
      <c r="J33" s="1065">
        <f t="shared" si="2"/>
        <v>4909.6000000000004</v>
      </c>
      <c r="K33" s="1114">
        <v>0</v>
      </c>
      <c r="L33" s="1065">
        <f t="shared" si="2"/>
        <v>44372.59</v>
      </c>
      <c r="M33" s="1065">
        <f t="shared" si="2"/>
        <v>117127.41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682" t="s">
        <v>1250</v>
      </c>
      <c r="H49" s="1682"/>
      <c r="I49" s="1682"/>
      <c r="J49" s="1682"/>
      <c r="K49" s="1682"/>
      <c r="L49" s="1682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627" t="s">
        <v>852</v>
      </c>
      <c r="H50" s="1627"/>
      <c r="I50" s="1627"/>
      <c r="J50" s="1627"/>
      <c r="K50" s="1627"/>
      <c r="L50" s="1627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628" t="s">
        <v>1506</v>
      </c>
      <c r="H51" s="1628"/>
      <c r="I51" s="1628"/>
      <c r="J51" s="1628"/>
      <c r="K51" s="1628"/>
      <c r="L51" s="1628"/>
      <c r="M51" s="537"/>
    </row>
    <row r="52" spans="2:13" x14ac:dyDescent="0.25">
      <c r="B52" s="546"/>
      <c r="C52" s="546"/>
      <c r="D52" s="547"/>
      <c r="E52" s="541"/>
      <c r="F52" s="540"/>
      <c r="G52" s="537"/>
      <c r="H52" s="1629"/>
      <c r="I52" s="1629"/>
      <c r="J52" s="1629"/>
      <c r="K52" s="1629"/>
      <c r="L52" s="1629"/>
      <c r="M52" s="1629"/>
    </row>
    <row r="53" spans="2:13" x14ac:dyDescent="0.25">
      <c r="B53" s="531"/>
      <c r="C53" s="531"/>
      <c r="D53" s="259"/>
      <c r="E53" s="1174"/>
      <c r="F53" s="1552"/>
      <c r="G53" s="1552"/>
      <c r="H53" s="1552"/>
      <c r="I53" s="1552"/>
      <c r="J53" s="1552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49:L49"/>
    <mergeCell ref="G50:L50"/>
    <mergeCell ref="G51:L51"/>
    <mergeCell ref="H52:M52"/>
    <mergeCell ref="F53:J53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1E1869-194D-484E-8967-94AD9D8277DE}">
  <dimension ref="A1:N49"/>
  <sheetViews>
    <sheetView zoomScaleNormal="100" workbookViewId="0">
      <selection activeCell="G45" sqref="G45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551" t="s">
        <v>0</v>
      </c>
      <c r="B6" s="1551"/>
      <c r="C6" s="1551"/>
      <c r="D6" s="1551"/>
      <c r="E6" s="1551"/>
      <c r="F6" s="1551"/>
      <c r="G6" s="1551"/>
      <c r="H6" s="1551"/>
      <c r="I6" s="1551"/>
      <c r="J6" s="1551"/>
      <c r="K6" s="1551"/>
      <c r="L6" s="1551"/>
      <c r="M6" s="1551"/>
      <c r="N6" s="259"/>
    </row>
    <row r="7" spans="1:14" x14ac:dyDescent="0.25">
      <c r="A7" s="1551" t="s">
        <v>1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259"/>
    </row>
    <row r="8" spans="1:14" x14ac:dyDescent="0.25">
      <c r="A8" s="1551" t="s">
        <v>3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259"/>
    </row>
    <row r="9" spans="1:14" x14ac:dyDescent="0.25">
      <c r="A9" s="1551" t="s">
        <v>1537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259"/>
    </row>
    <row r="10" spans="1:14" x14ac:dyDescent="0.25">
      <c r="A10" s="1637" t="s">
        <v>412</v>
      </c>
      <c r="B10" s="1637"/>
      <c r="C10" s="1637"/>
      <c r="D10" s="1637"/>
      <c r="E10" s="1637"/>
      <c r="F10" s="1637"/>
      <c r="G10" s="1637"/>
      <c r="H10" s="1637"/>
      <c r="I10" s="1637"/>
      <c r="J10" s="1637"/>
      <c r="K10" s="1637"/>
      <c r="L10" s="1637"/>
      <c r="M10" s="1637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712" t="s">
        <v>7</v>
      </c>
      <c r="B12" s="1709" t="s">
        <v>937</v>
      </c>
      <c r="C12" s="1709" t="s">
        <v>9</v>
      </c>
      <c r="D12" s="1067" t="s">
        <v>832</v>
      </c>
      <c r="E12" s="1721" t="s">
        <v>12</v>
      </c>
      <c r="F12" s="1720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12" t="s">
        <v>20</v>
      </c>
    </row>
    <row r="13" spans="1:14" x14ac:dyDescent="0.25">
      <c r="A13" s="1712"/>
      <c r="B13" s="1709"/>
      <c r="C13" s="1709"/>
      <c r="D13" s="1067" t="s">
        <v>21</v>
      </c>
      <c r="E13" s="1721" t="s">
        <v>21</v>
      </c>
      <c r="F13" s="1720"/>
      <c r="G13" s="1720"/>
      <c r="H13" s="1720"/>
      <c r="I13" s="1720"/>
      <c r="J13" s="1720"/>
      <c r="K13" s="1720"/>
      <c r="L13" s="1720"/>
      <c r="M13" s="1712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>+G16+G20</f>
        <v>150000</v>
      </c>
      <c r="H22" s="1104">
        <f t="shared" ref="H22:M22" si="1">+H16+H20</f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626" t="s">
        <v>1225</v>
      </c>
      <c r="I39" s="1626"/>
      <c r="J39" s="1626"/>
      <c r="K39" s="1626"/>
      <c r="L39" s="1626"/>
      <c r="M39" s="1626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627" t="s">
        <v>852</v>
      </c>
      <c r="I40" s="1627"/>
      <c r="J40" s="1627"/>
      <c r="K40" s="1627"/>
      <c r="L40" s="1627"/>
      <c r="M40" s="1627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628" t="s">
        <v>1521</v>
      </c>
      <c r="I41" s="1628"/>
      <c r="J41" s="1628"/>
      <c r="K41" s="1628"/>
      <c r="L41" s="1628"/>
      <c r="M41" s="1628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629"/>
      <c r="J42" s="1629"/>
      <c r="K42" s="1629"/>
      <c r="L42" s="1629"/>
      <c r="M42" s="1629"/>
      <c r="N42" s="1629"/>
    </row>
    <row r="43" spans="1:14" ht="15.75" x14ac:dyDescent="0.25">
      <c r="A43" s="267"/>
      <c r="B43" s="267"/>
      <c r="C43" s="267"/>
      <c r="D43" s="268"/>
      <c r="E43" s="268"/>
      <c r="F43" s="269"/>
      <c r="G43" s="1549"/>
      <c r="H43" s="1549"/>
      <c r="I43" s="1549"/>
      <c r="J43" s="1549"/>
      <c r="K43" s="1549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43:K43"/>
    <mergeCell ref="G12:G13"/>
    <mergeCell ref="H12:H13"/>
    <mergeCell ref="I12:I13"/>
    <mergeCell ref="J12:J13"/>
    <mergeCell ref="K12:K13"/>
    <mergeCell ref="M12:M13"/>
    <mergeCell ref="H39:M39"/>
    <mergeCell ref="H40:M40"/>
    <mergeCell ref="H41:M41"/>
    <mergeCell ref="I42:N42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0B56FC-6876-4850-AA68-DA49485FAFAB}">
  <sheetPr>
    <pageSetUpPr fitToPage="1"/>
  </sheetPr>
  <dimension ref="A6:L37"/>
  <sheetViews>
    <sheetView showGridLines="0" zoomScale="118" zoomScaleNormal="118" workbookViewId="0">
      <selection activeCell="C27" sqref="C27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1538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1197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712" t="s">
        <v>7</v>
      </c>
      <c r="B12" s="1709" t="s">
        <v>802</v>
      </c>
      <c r="C12" s="1709" t="s">
        <v>10</v>
      </c>
      <c r="D12" s="1067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5" customHeight="1" x14ac:dyDescent="0.25">
      <c r="A13" s="1712"/>
      <c r="B13" s="1709"/>
      <c r="C13" s="1709"/>
      <c r="D13" s="1067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682" t="s">
        <v>1255</v>
      </c>
      <c r="G32" s="1682"/>
      <c r="H32" s="1682"/>
      <c r="I32" s="1682"/>
      <c r="J32" s="1682"/>
      <c r="K32" s="1682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627" t="s">
        <v>852</v>
      </c>
      <c r="G33" s="1627"/>
      <c r="H33" s="1627"/>
      <c r="I33" s="1627"/>
      <c r="J33" s="1627"/>
      <c r="K33" s="1627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628" t="s">
        <v>1506</v>
      </c>
      <c r="G34" s="1628"/>
      <c r="H34" s="1628"/>
      <c r="I34" s="1628"/>
      <c r="J34" s="1628"/>
      <c r="K34" s="1628"/>
      <c r="L34" s="537"/>
    </row>
    <row r="35" spans="1:12" x14ac:dyDescent="0.25">
      <c r="A35" s="546"/>
      <c r="B35" s="546"/>
      <c r="C35" s="547"/>
      <c r="D35" s="541"/>
      <c r="E35" s="540"/>
      <c r="F35" s="537"/>
      <c r="G35" s="1629"/>
      <c r="H35" s="1629"/>
      <c r="I35" s="1629"/>
      <c r="J35" s="1629"/>
      <c r="K35" s="1629"/>
      <c r="L35" s="1629"/>
    </row>
    <row r="36" spans="1:12" ht="15.75" x14ac:dyDescent="0.25">
      <c r="A36" s="267"/>
      <c r="B36" s="267"/>
      <c r="C36" s="268"/>
      <c r="D36" s="269"/>
      <c r="E36" s="1549"/>
      <c r="F36" s="1549"/>
      <c r="G36" s="1549"/>
      <c r="H36" s="1549"/>
      <c r="I36" s="1549"/>
      <c r="J36" s="271"/>
      <c r="K36" s="271"/>
      <c r="L36" s="259"/>
    </row>
    <row r="37" spans="1:12" x14ac:dyDescent="0.25">
      <c r="D37" t="s">
        <v>641</v>
      </c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32:K32"/>
    <mergeCell ref="F33:K33"/>
    <mergeCell ref="F34:K34"/>
    <mergeCell ref="G35:L35"/>
    <mergeCell ref="E36:I36"/>
  </mergeCells>
  <pageMargins left="0.7" right="0.36" top="0.75" bottom="0.75" header="0.3" footer="0.3"/>
  <pageSetup paperSize="3" scale="97" orientation="landscape" r:id="rId1"/>
  <drawing r:id="rId2"/>
</worksheet>
</file>

<file path=xl/worksheets/sheet3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917D7E-B065-400E-AD36-87222B3005DC}">
  <sheetPr>
    <pageSetUpPr fitToPage="1"/>
  </sheetPr>
  <dimension ref="A1:N260"/>
  <sheetViews>
    <sheetView showGridLines="0" topLeftCell="A211" zoomScale="80" zoomScaleNormal="80" workbookViewId="0">
      <selection activeCell="E230" sqref="E230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685" t="s">
        <v>1502</v>
      </c>
      <c r="B6" s="1685"/>
      <c r="C6" s="1685"/>
      <c r="D6" s="1685"/>
      <c r="E6" s="1685"/>
      <c r="F6" s="1685"/>
      <c r="G6" s="1685"/>
      <c r="H6" s="1685"/>
      <c r="I6" s="1685"/>
      <c r="J6" s="1685"/>
      <c r="K6" s="1685"/>
      <c r="L6" s="1685"/>
      <c r="M6" s="1685"/>
    </row>
    <row r="7" spans="1:14" ht="0.75" customHeight="1" x14ac:dyDescent="0.25">
      <c r="A7" s="1685"/>
      <c r="B7" s="1685"/>
      <c r="C7" s="1685"/>
      <c r="D7" s="1685"/>
      <c r="E7" s="1685"/>
      <c r="F7" s="1685"/>
      <c r="G7" s="1685"/>
      <c r="H7" s="1685"/>
      <c r="I7" s="1685"/>
      <c r="J7" s="1685"/>
      <c r="K7" s="1685"/>
      <c r="L7" s="1685"/>
      <c r="M7" s="1685"/>
      <c r="N7" s="1685"/>
    </row>
    <row r="8" spans="1:14" ht="15.75" x14ac:dyDescent="0.25">
      <c r="A8" s="1685" t="s">
        <v>1460</v>
      </c>
      <c r="B8" s="1685"/>
      <c r="C8" s="1685"/>
      <c r="D8" s="1685"/>
      <c r="E8" s="1685"/>
      <c r="F8" s="1685"/>
      <c r="G8" s="1685"/>
      <c r="H8" s="1685"/>
      <c r="I8" s="1685"/>
      <c r="J8" s="1685"/>
      <c r="K8" s="1685"/>
      <c r="L8" s="1685"/>
      <c r="M8" s="1685"/>
    </row>
    <row r="9" spans="1:14" ht="15.75" x14ac:dyDescent="0.25">
      <c r="A9" s="1685" t="s">
        <v>1557</v>
      </c>
      <c r="B9" s="1685"/>
      <c r="C9" s="1685"/>
      <c r="D9" s="1685"/>
      <c r="E9" s="1685"/>
      <c r="F9" s="1685"/>
      <c r="G9" s="1685"/>
      <c r="H9" s="1685"/>
      <c r="I9" s="1685"/>
      <c r="J9" s="1685"/>
      <c r="K9" s="1685"/>
      <c r="L9" s="1685"/>
      <c r="M9" s="1685"/>
    </row>
    <row r="10" spans="1:14" ht="15.75" x14ac:dyDescent="0.25">
      <c r="A10" s="1706" t="s">
        <v>404</v>
      </c>
      <c r="B10" s="1706"/>
      <c r="C10" s="1706"/>
      <c r="D10" s="1706"/>
      <c r="E10" s="1706"/>
      <c r="F10" s="1706"/>
      <c r="G10" s="1706"/>
      <c r="H10" s="1706"/>
      <c r="I10" s="1706"/>
      <c r="J10" s="1706"/>
      <c r="K10" s="1706"/>
      <c r="L10" s="1706"/>
      <c r="M10" s="170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707" t="s">
        <v>7</v>
      </c>
      <c r="B12" s="1707" t="s">
        <v>802</v>
      </c>
      <c r="C12" s="1707" t="s">
        <v>9</v>
      </c>
      <c r="D12" s="1707" t="s">
        <v>11</v>
      </c>
      <c r="E12" s="1057" t="s">
        <v>12</v>
      </c>
      <c r="F12" s="1704" t="s">
        <v>13</v>
      </c>
      <c r="G12" s="1705" t="s">
        <v>14</v>
      </c>
      <c r="H12" s="1705" t="s">
        <v>15</v>
      </c>
      <c r="I12" s="1723" t="s">
        <v>16</v>
      </c>
      <c r="J12" s="1723" t="s">
        <v>17</v>
      </c>
      <c r="K12" s="1723" t="s">
        <v>18</v>
      </c>
      <c r="L12" s="1723" t="s">
        <v>19</v>
      </c>
      <c r="M12" s="1705" t="s">
        <v>20</v>
      </c>
    </row>
    <row r="13" spans="1:14" ht="15.75" x14ac:dyDescent="0.25">
      <c r="A13" s="1707"/>
      <c r="B13" s="1707"/>
      <c r="C13" s="1707"/>
      <c r="D13" s="1707"/>
      <c r="E13" s="1057" t="s">
        <v>21</v>
      </c>
      <c r="F13" s="1704"/>
      <c r="G13" s="1705"/>
      <c r="H13" s="1705"/>
      <c r="I13" s="1723"/>
      <c r="J13" s="1723"/>
      <c r="K13" s="1723"/>
      <c r="L13" s="1723"/>
      <c r="M13" s="1705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14085.849999999999</v>
      </c>
      <c r="L19" s="963">
        <f>SUM(L15:L18)</f>
        <v>161618.25999999998</v>
      </c>
      <c r="M19" s="965">
        <f>SUM(M15:M18)</f>
        <v>498381.74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6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1177">
        <f t="shared" si="3"/>
        <v>1248.45</v>
      </c>
      <c r="I30" s="966">
        <f t="shared" si="3"/>
        <v>936.62</v>
      </c>
      <c r="J30" s="963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1191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4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6">
        <f t="shared" si="6"/>
        <v>13130.250000000002</v>
      </c>
      <c r="I40" s="966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6"/>
      <c r="J42" s="963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4">
        <v>6309.38</v>
      </c>
      <c r="J43" s="951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L44" si="7">SUM(H43)</f>
        <v>2152.5</v>
      </c>
      <c r="I44" s="966">
        <f t="shared" si="7"/>
        <v>6309.38</v>
      </c>
      <c r="J44" s="963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6"/>
      <c r="J46" s="963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1191">
        <v>0</v>
      </c>
      <c r="J47" s="951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43500</v>
      </c>
      <c r="F48" s="952">
        <v>0</v>
      </c>
      <c r="G48" s="953">
        <v>43500</v>
      </c>
      <c r="H48" s="953">
        <v>1248.45</v>
      </c>
      <c r="I48" s="1191">
        <v>936.62</v>
      </c>
      <c r="J48" s="951">
        <v>1322.4</v>
      </c>
      <c r="K48" s="951">
        <v>25</v>
      </c>
      <c r="L48" s="951">
        <f>+H48+I48+J48+K48</f>
        <v>3532.4700000000003</v>
      </c>
      <c r="M48" s="953">
        <f>+G48-L48</f>
        <v>39967.53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73500</v>
      </c>
      <c r="F49" s="964">
        <f t="shared" ref="F49:L49" si="8">SUM(F47:F48)</f>
        <v>0</v>
      </c>
      <c r="G49" s="965">
        <f t="shared" si="8"/>
        <v>73500</v>
      </c>
      <c r="H49" s="966">
        <f t="shared" si="8"/>
        <v>2109.4499999999998</v>
      </c>
      <c r="I49" s="1192">
        <f t="shared" si="8"/>
        <v>936.62</v>
      </c>
      <c r="J49" s="963">
        <f t="shared" si="8"/>
        <v>2234.4</v>
      </c>
      <c r="K49" s="963">
        <f t="shared" si="8"/>
        <v>1765.46</v>
      </c>
      <c r="L49" s="963">
        <f t="shared" si="8"/>
        <v>7045.93</v>
      </c>
      <c r="M49" s="965">
        <f>SUM(M47:M48)</f>
        <v>66454.070000000007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6"/>
      <c r="J51" s="963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6">
        <f t="shared" si="9"/>
        <v>1004.5</v>
      </c>
      <c r="I53" s="1192">
        <f t="shared" si="9"/>
        <v>0</v>
      </c>
      <c r="J53" s="963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6"/>
      <c r="J54" s="963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6"/>
      <c r="J55" s="963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6">
        <f>SUM(H56:H58)</f>
        <v>3400.95</v>
      </c>
      <c r="I59" s="966">
        <f>SUM(I56:I58)</f>
        <v>1116.24</v>
      </c>
      <c r="J59" s="963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1191">
        <v>0</v>
      </c>
      <c r="J64" s="951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1191">
        <v>0</v>
      </c>
      <c r="J65" s="951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1438</v>
      </c>
      <c r="B66" s="950" t="s">
        <v>806</v>
      </c>
      <c r="C66" s="960" t="s">
        <v>1461</v>
      </c>
      <c r="D66" s="960" t="s">
        <v>1067</v>
      </c>
      <c r="E66" s="951">
        <v>30000</v>
      </c>
      <c r="F66" s="974">
        <v>0</v>
      </c>
      <c r="G66" s="951">
        <v>30000</v>
      </c>
      <c r="H66" s="953">
        <v>861</v>
      </c>
      <c r="I66" s="1191">
        <v>0</v>
      </c>
      <c r="J66" s="951">
        <v>912</v>
      </c>
      <c r="K66" s="951">
        <v>25</v>
      </c>
      <c r="L66" s="951">
        <f>+H66+I66+J66+K66</f>
        <v>1798</v>
      </c>
      <c r="M66" s="953">
        <f>+G66-L66</f>
        <v>28202</v>
      </c>
    </row>
    <row r="67" spans="1:13" ht="18.75" x14ac:dyDescent="0.3">
      <c r="A67" s="958" t="s">
        <v>649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5" t="s">
        <v>1175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899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2"/>
        <v>4341.3999999999996</v>
      </c>
      <c r="M69" s="953">
        <f t="shared" si="13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1339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4">SUM(G62:G73)</f>
        <v>387000</v>
      </c>
      <c r="H74" s="966">
        <f t="shared" si="14"/>
        <v>11106.9</v>
      </c>
      <c r="I74" s="966">
        <f t="shared" si="14"/>
        <v>1873.24</v>
      </c>
      <c r="J74" s="963">
        <f t="shared" si="14"/>
        <v>11764.8</v>
      </c>
      <c r="K74" s="963">
        <f t="shared" si="14"/>
        <v>9260</v>
      </c>
      <c r="L74" s="963">
        <f t="shared" si="14"/>
        <v>34004.94</v>
      </c>
      <c r="M74" s="963">
        <f t="shared" si="14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5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5"/>
        <v>1602.5</v>
      </c>
      <c r="M78" s="953">
        <f t="shared" ref="M78:M88" si="16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5"/>
        <v>2205.5</v>
      </c>
      <c r="M79" s="953">
        <f t="shared" si="16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5"/>
        <v>2774.2</v>
      </c>
      <c r="M80" s="953">
        <f t="shared" si="16"/>
        <v>22225.8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5"/>
        <v>1502.5</v>
      </c>
      <c r="M81" s="953">
        <f t="shared" si="16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5"/>
        <v>1502.5</v>
      </c>
      <c r="M82" s="953">
        <f t="shared" si="16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5"/>
        <v>1502.5</v>
      </c>
      <c r="M83" s="953">
        <f t="shared" si="16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5"/>
        <v>1502.5</v>
      </c>
      <c r="M84" s="953">
        <f t="shared" si="16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5"/>
        <v>1502.5</v>
      </c>
      <c r="M85" s="953">
        <f t="shared" si="16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6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 t="shared" ref="L87" si="17">+H87+I87+J87+K87</f>
        <v>11286.28</v>
      </c>
      <c r="M87" s="951">
        <f t="shared" si="16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6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8">SUM(H77:H88)</f>
        <v>9714.9500000000007</v>
      </c>
      <c r="I89" s="966">
        <f t="shared" si="18"/>
        <v>936.62</v>
      </c>
      <c r="J89" s="963">
        <f t="shared" si="18"/>
        <v>10290.4</v>
      </c>
      <c r="K89" s="963">
        <f>SUM(K77:K88)</f>
        <v>16896.14</v>
      </c>
      <c r="L89" s="963">
        <f t="shared" si="18"/>
        <v>37838.11</v>
      </c>
      <c r="M89" s="963">
        <f>SUM(M77:M88)</f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6">
        <f>SUM(H92:H93)</f>
        <v>2654.75</v>
      </c>
      <c r="I94" s="966">
        <f t="shared" si="19"/>
        <v>2559.6799999999998</v>
      </c>
      <c r="J94" s="963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5" t="s">
        <v>1168</v>
      </c>
      <c r="B98" s="950" t="s">
        <v>807</v>
      </c>
      <c r="C98" s="960" t="s">
        <v>1564</v>
      </c>
      <c r="D98" s="960" t="s">
        <v>1069</v>
      </c>
      <c r="E98" s="951">
        <v>80000</v>
      </c>
      <c r="F98" s="974">
        <v>0</v>
      </c>
      <c r="G98" s="951">
        <v>80000</v>
      </c>
      <c r="H98" s="951">
        <v>2296</v>
      </c>
      <c r="I98" s="954">
        <v>7400.87</v>
      </c>
      <c r="J98" s="951">
        <v>2432</v>
      </c>
      <c r="K98" s="951">
        <v>2134</v>
      </c>
      <c r="L98" s="951">
        <f>SUM(H98:K98)</f>
        <v>14262.869999999999</v>
      </c>
      <c r="M98" s="953">
        <f>+E98-L98</f>
        <v>65737.13</v>
      </c>
    </row>
    <row r="99" spans="1:13" ht="18.75" x14ac:dyDescent="0.3">
      <c r="A99" s="958" t="s">
        <v>531</v>
      </c>
      <c r="B99" s="950" t="s">
        <v>807</v>
      </c>
      <c r="C99" s="960" t="s">
        <v>166</v>
      </c>
      <c r="D99" s="960" t="s">
        <v>321</v>
      </c>
      <c r="E99" s="951">
        <v>43500</v>
      </c>
      <c r="F99" s="952">
        <v>0</v>
      </c>
      <c r="G99" s="953">
        <v>43500</v>
      </c>
      <c r="H99" s="953">
        <v>1248.45</v>
      </c>
      <c r="I99" s="954">
        <v>936.62</v>
      </c>
      <c r="J99" s="951">
        <v>1322.4</v>
      </c>
      <c r="K99" s="951">
        <v>25</v>
      </c>
      <c r="L99" s="951">
        <f>+H99+I99+J99+K99</f>
        <v>3532.4700000000003</v>
      </c>
      <c r="M99" s="953">
        <f>+G99-L99</f>
        <v>39967.53</v>
      </c>
    </row>
    <row r="100" spans="1:13" ht="18.75" x14ac:dyDescent="0.3">
      <c r="A100" s="955" t="s">
        <v>1315</v>
      </c>
      <c r="B100" s="950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3">
        <v>1248.45</v>
      </c>
      <c r="I100" s="1191">
        <v>936.62</v>
      </c>
      <c r="J100" s="951">
        <v>1322.4</v>
      </c>
      <c r="K100" s="951">
        <v>25</v>
      </c>
      <c r="L100" s="951">
        <v>3532.47</v>
      </c>
      <c r="M100" s="951">
        <f>+G100-L100</f>
        <v>39967.53</v>
      </c>
    </row>
    <row r="101" spans="1:13" ht="18.75" x14ac:dyDescent="0.3">
      <c r="A101" s="961" t="s">
        <v>749</v>
      </c>
      <c r="B101" s="950"/>
      <c r="C101" s="962">
        <v>4</v>
      </c>
      <c r="D101" s="962"/>
      <c r="E101" s="963">
        <f>SUM(E97:E100)</f>
        <v>222000</v>
      </c>
      <c r="F101" s="952">
        <v>0</v>
      </c>
      <c r="G101" s="963">
        <f t="shared" ref="G101:L101" si="20">SUM(G97:G100)</f>
        <v>222000</v>
      </c>
      <c r="H101" s="966">
        <f t="shared" si="20"/>
        <v>6371.4</v>
      </c>
      <c r="I101" s="966">
        <f t="shared" si="20"/>
        <v>11833.79</v>
      </c>
      <c r="J101" s="963">
        <f t="shared" si="20"/>
        <v>6748.7999999999993</v>
      </c>
      <c r="K101" s="963">
        <f t="shared" si="20"/>
        <v>3480.7</v>
      </c>
      <c r="L101" s="963">
        <f t="shared" si="20"/>
        <v>28434.690000000002</v>
      </c>
      <c r="M101" s="963">
        <f>SUM(M97:M100)</f>
        <v>193565.31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230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0</v>
      </c>
      <c r="J104" s="951">
        <v>2128</v>
      </c>
      <c r="K104" s="951">
        <v>25</v>
      </c>
      <c r="L104" s="951">
        <f>+H104+I104+J104+K104</f>
        <v>4162</v>
      </c>
      <c r="M104" s="951">
        <f>+G104-L104</f>
        <v>65838</v>
      </c>
    </row>
    <row r="105" spans="1:13" ht="18.75" x14ac:dyDescent="0.3">
      <c r="A105" s="961" t="s">
        <v>749</v>
      </c>
      <c r="B105" s="950"/>
      <c r="C105" s="962">
        <v>1</v>
      </c>
      <c r="D105" s="962"/>
      <c r="E105" s="963">
        <f>SUM(E104:E104)</f>
        <v>70000</v>
      </c>
      <c r="F105" s="964">
        <v>0</v>
      </c>
      <c r="G105" s="963">
        <f>SUM(G104:G104)</f>
        <v>70000</v>
      </c>
      <c r="H105" s="963">
        <f>SUM(H104:H104)</f>
        <v>2009</v>
      </c>
      <c r="I105" s="1194">
        <v>0</v>
      </c>
      <c r="J105" s="963">
        <f>SUM(J104:J104)</f>
        <v>2128</v>
      </c>
      <c r="K105" s="963">
        <f>SUM(K104:K104)</f>
        <v>25</v>
      </c>
      <c r="L105" s="963">
        <f>SUM(L104:L104)</f>
        <v>4162</v>
      </c>
      <c r="M105" s="963">
        <f>SUM(M104:M104)</f>
        <v>65838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34.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1191">
        <v>936.62</v>
      </c>
      <c r="J108" s="951">
        <v>1322.4</v>
      </c>
      <c r="K108" s="951">
        <v>25</v>
      </c>
      <c r="L108" s="951">
        <v>3532.47</v>
      </c>
      <c r="M108" s="951">
        <f>+G108-L108</f>
        <v>39967.53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21">SUM(G108:G109)</f>
        <v>87000</v>
      </c>
      <c r="H110" s="963">
        <f>SUM(H108:H109)</f>
        <v>2496.9</v>
      </c>
      <c r="I110" s="966">
        <f>SUM(I108:I109)</f>
        <v>1873.24</v>
      </c>
      <c r="J110" s="963">
        <f t="shared" si="21"/>
        <v>2644.8</v>
      </c>
      <c r="K110" s="963">
        <f t="shared" si="21"/>
        <v>50</v>
      </c>
      <c r="L110" s="963">
        <f t="shared" si="21"/>
        <v>7064.9400000000005</v>
      </c>
      <c r="M110" s="963">
        <f>SUM(M108:M109)</f>
        <v>79935.06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6"/>
      <c r="J111" s="963"/>
      <c r="K111" s="963"/>
      <c r="L111" s="963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4">
        <v>6972</v>
      </c>
      <c r="J113" s="951">
        <v>2432</v>
      </c>
      <c r="K113" s="951">
        <v>1740.46</v>
      </c>
      <c r="L113" s="951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L114" si="22">SUM(G113:G113)</f>
        <v>80000</v>
      </c>
      <c r="H114" s="965">
        <f t="shared" si="22"/>
        <v>2296</v>
      </c>
      <c r="I114" s="966">
        <f t="shared" si="22"/>
        <v>6972</v>
      </c>
      <c r="J114" s="963">
        <f t="shared" si="22"/>
        <v>2432</v>
      </c>
      <c r="K114" s="963">
        <f t="shared" si="22"/>
        <v>1740.46</v>
      </c>
      <c r="L114" s="963">
        <f t="shared" si="22"/>
        <v>13440.46</v>
      </c>
      <c r="M114" s="965">
        <f>SUM(M113:M113)</f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ht="22.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4">
        <v>32099.49</v>
      </c>
      <c r="J117" s="951">
        <v>5624</v>
      </c>
      <c r="K117" s="951">
        <v>25</v>
      </c>
      <c r="L117" s="951">
        <f>+H117+I117+J117+K117</f>
        <v>43057.990000000005</v>
      </c>
      <c r="M117" s="953">
        <f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4">
        <v>1943.18</v>
      </c>
      <c r="J118" s="951">
        <v>2432</v>
      </c>
      <c r="K118" s="951">
        <v>5884.86</v>
      </c>
      <c r="L118" s="951">
        <f>+H118+I118+J118+K118</f>
        <v>12556.04</v>
      </c>
      <c r="M118" s="953">
        <f>+G118-L118</f>
        <v>67443.959999999992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17148.759999999998</v>
      </c>
      <c r="L119" s="1122">
        <f>+H119+I119+J119+K119</f>
        <v>26311.14</v>
      </c>
      <c r="M119" s="951">
        <f t="shared" ref="M119:M122" si="23">+G119-L119</f>
        <v>43688.86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 t="shared" ref="M120" si="24">+G120-L120</f>
        <v>67846.13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 t="shared" si="23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 t="shared" si="23"/>
        <v>39967.53</v>
      </c>
    </row>
    <row r="123" spans="1:13" ht="18.75" x14ac:dyDescent="0.3">
      <c r="A123" s="961" t="s">
        <v>749</v>
      </c>
      <c r="B123" s="950"/>
      <c r="C123" s="962">
        <v>6</v>
      </c>
      <c r="D123" s="962"/>
      <c r="E123" s="963">
        <f t="shared" ref="E123:M123" si="25">SUM(E117:E122)</f>
        <v>490000</v>
      </c>
      <c r="F123" s="964">
        <f t="shared" si="25"/>
        <v>0</v>
      </c>
      <c r="G123" s="963">
        <f t="shared" si="25"/>
        <v>490000</v>
      </c>
      <c r="H123" s="963">
        <f t="shared" si="25"/>
        <v>14063</v>
      </c>
      <c r="I123" s="966">
        <f t="shared" si="25"/>
        <v>47405.54</v>
      </c>
      <c r="J123" s="963">
        <f t="shared" si="25"/>
        <v>14896</v>
      </c>
      <c r="K123" s="963">
        <f t="shared" si="25"/>
        <v>23133.62</v>
      </c>
      <c r="L123" s="963">
        <f t="shared" si="25"/>
        <v>99498.16</v>
      </c>
      <c r="M123" s="963">
        <f t="shared" si="25"/>
        <v>390501.83999999997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4">
        <v>1854</v>
      </c>
      <c r="J126" s="951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4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1191">
        <v>936.62</v>
      </c>
      <c r="J128" s="951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6">SUM(F126:F128)</f>
        <v>0</v>
      </c>
      <c r="G129" s="963">
        <f t="shared" si="26"/>
        <v>148500</v>
      </c>
      <c r="H129" s="963">
        <f t="shared" si="26"/>
        <v>4261.95</v>
      </c>
      <c r="I129" s="966">
        <f t="shared" si="26"/>
        <v>5350.3</v>
      </c>
      <c r="J129" s="963">
        <f t="shared" si="26"/>
        <v>4514.3999999999996</v>
      </c>
      <c r="K129" s="963">
        <f t="shared" si="26"/>
        <v>3044.13</v>
      </c>
      <c r="L129" s="963">
        <f t="shared" si="26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4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6"/>
      <c r="J131" s="963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4">
        <v>7400.87</v>
      </c>
      <c r="J132" s="951">
        <v>2432</v>
      </c>
      <c r="K132" s="951">
        <v>828</v>
      </c>
      <c r="L132" s="951">
        <f t="shared" ref="L132:L135" si="27"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4">
        <v>2559.6799999999998</v>
      </c>
      <c r="J133" s="951">
        <v>1672</v>
      </c>
      <c r="K133" s="951">
        <v>125</v>
      </c>
      <c r="L133" s="951">
        <v>5935.18</v>
      </c>
      <c r="M133" s="951">
        <f t="shared" ref="M133:M135" si="28"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4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1191">
        <v>936.62</v>
      </c>
      <c r="J135" s="951">
        <v>1322.4</v>
      </c>
      <c r="K135" s="951">
        <v>25</v>
      </c>
      <c r="L135" s="951">
        <f t="shared" si="27"/>
        <v>3532.4700000000003</v>
      </c>
      <c r="M135" s="951">
        <f t="shared" si="28"/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9">SUM(G132:G135)</f>
        <v>233500</v>
      </c>
      <c r="H136" s="963">
        <f t="shared" si="29"/>
        <v>6701.45</v>
      </c>
      <c r="I136" s="966">
        <f t="shared" si="29"/>
        <v>13456.85</v>
      </c>
      <c r="J136" s="963">
        <f t="shared" si="29"/>
        <v>7098.4</v>
      </c>
      <c r="K136" s="963">
        <f t="shared" si="29"/>
        <v>1706</v>
      </c>
      <c r="L136" s="963">
        <f t="shared" si="29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4"/>
      <c r="J137" s="951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6"/>
      <c r="J138" s="963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4">
        <v>32099.49</v>
      </c>
      <c r="J139" s="951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4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 t="shared" ref="M140:M141" si="30"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4">
        <v>1854</v>
      </c>
      <c r="J141" s="951">
        <v>1520</v>
      </c>
      <c r="K141" s="951">
        <v>2025</v>
      </c>
      <c r="L141" s="951">
        <f>+H141+I141+J141+K141</f>
        <v>6834</v>
      </c>
      <c r="M141" s="953">
        <f t="shared" si="30"/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31">SUM(G139:G141)</f>
        <v>290000</v>
      </c>
      <c r="H142" s="965">
        <f t="shared" si="31"/>
        <v>8323</v>
      </c>
      <c r="I142" s="966">
        <f t="shared" si="31"/>
        <v>36513.17</v>
      </c>
      <c r="J142" s="963">
        <f t="shared" si="31"/>
        <v>8816</v>
      </c>
      <c r="K142" s="963">
        <f t="shared" si="31"/>
        <v>5990.1</v>
      </c>
      <c r="L142" s="963">
        <f t="shared" si="31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6"/>
      <c r="J143" s="963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6"/>
      <c r="J144" s="963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4">
        <v>7400.87</v>
      </c>
      <c r="J145" s="951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679.3</v>
      </c>
      <c r="J146" s="951">
        <v>1322.4</v>
      </c>
      <c r="K146" s="951">
        <v>1740.46</v>
      </c>
      <c r="L146" s="951">
        <f>SUM(H146:K146)</f>
        <v>4990.6100000000006</v>
      </c>
      <c r="M146" s="951">
        <f>+E146-L146</f>
        <v>38509.39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123500</v>
      </c>
      <c r="F147" s="1071">
        <v>0</v>
      </c>
      <c r="G147" s="963">
        <f t="shared" ref="G147:K147" si="32">SUM(G145:G146)</f>
        <v>123500</v>
      </c>
      <c r="H147" s="966">
        <f t="shared" si="32"/>
        <v>3544.45</v>
      </c>
      <c r="I147" s="966">
        <f t="shared" si="32"/>
        <v>8080.17</v>
      </c>
      <c r="J147" s="963">
        <f>SUM(J145:J146)</f>
        <v>3754.4</v>
      </c>
      <c r="K147" s="963">
        <f t="shared" si="32"/>
        <v>3837.66</v>
      </c>
      <c r="L147" s="963">
        <f>SUM(L145:L146)</f>
        <v>19216.68</v>
      </c>
      <c r="M147" s="963">
        <f>SUM(M145:M146)</f>
        <v>104283.31999999999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6"/>
      <c r="J148" s="963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1191">
        <v>936.62</v>
      </c>
      <c r="J150" s="951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3">SUM(E150:E150)</f>
        <v>43500</v>
      </c>
      <c r="F151" s="964">
        <f t="shared" si="33"/>
        <v>0</v>
      </c>
      <c r="G151" s="965">
        <f t="shared" si="33"/>
        <v>43500</v>
      </c>
      <c r="H151" s="965">
        <f t="shared" si="33"/>
        <v>1248.45</v>
      </c>
      <c r="I151" s="1196">
        <f>SUM(I150:I150)</f>
        <v>936.62</v>
      </c>
      <c r="J151" s="1091">
        <f t="shared" si="33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4"/>
      <c r="J152" s="951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4">
        <v>7400.87</v>
      </c>
      <c r="J154" s="951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4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 t="shared" ref="M155:M156" si="34"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1191">
        <v>936.62</v>
      </c>
      <c r="J156" s="951">
        <v>1322.4</v>
      </c>
      <c r="K156" s="951">
        <v>2025</v>
      </c>
      <c r="L156" s="951">
        <f>+H156+I156+J156+K156</f>
        <v>5532.47</v>
      </c>
      <c r="M156" s="953">
        <f t="shared" si="34"/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1191">
        <v>936.62</v>
      </c>
      <c r="J157" s="951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5">SUM(F157)</f>
        <v>0</v>
      </c>
      <c r="G158" s="963">
        <f t="shared" ref="G158:L158" si="36">SUM(G154:G157)</f>
        <v>237000</v>
      </c>
      <c r="H158" s="963">
        <f t="shared" si="36"/>
        <v>6801.9</v>
      </c>
      <c r="I158" s="966">
        <f>SUM(I154:I157)</f>
        <v>14642.59</v>
      </c>
      <c r="J158" s="963">
        <f t="shared" si="36"/>
        <v>7204.7999999999993</v>
      </c>
      <c r="K158" s="963">
        <f t="shared" si="36"/>
        <v>4643.3999999999996</v>
      </c>
      <c r="L158" s="963">
        <f t="shared" si="3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4"/>
      <c r="J159" s="951"/>
      <c r="K159" s="951"/>
      <c r="L159" s="951"/>
      <c r="M159" s="953"/>
    </row>
    <row r="160" spans="1:13" ht="29.25" customHeight="1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4">
        <v>7400.87</v>
      </c>
      <c r="J161" s="951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87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7">SUM(G161:G162)</f>
        <v>150000</v>
      </c>
      <c r="H163" s="963">
        <f t="shared" si="37"/>
        <v>4305</v>
      </c>
      <c r="I163" s="966">
        <f>SUM(I161:I162)</f>
        <v>12769.349999999999</v>
      </c>
      <c r="J163" s="963">
        <f t="shared" si="37"/>
        <v>4560</v>
      </c>
      <c r="K163" s="963">
        <f t="shared" si="37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4"/>
      <c r="J164" s="951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6"/>
      <c r="J165" s="963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4">
        <v>7400.87</v>
      </c>
      <c r="J166" s="951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8">SUM(F166:F167)</f>
        <v>0</v>
      </c>
      <c r="G168" s="965">
        <f>SUM(G166:G167)</f>
        <v>123500</v>
      </c>
      <c r="H168" s="965">
        <f t="shared" si="38"/>
        <v>3544.45</v>
      </c>
      <c r="I168" s="966">
        <f>SUM(I166:I167)</f>
        <v>8337.49</v>
      </c>
      <c r="J168" s="963">
        <f t="shared" si="38"/>
        <v>3754.4</v>
      </c>
      <c r="K168" s="963">
        <f t="shared" si="38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1191">
        <v>936.62</v>
      </c>
      <c r="J171" s="951">
        <v>1322.4</v>
      </c>
      <c r="K171" s="951">
        <v>25</v>
      </c>
      <c r="L171" s="951">
        <f t="shared" ref="L171:L176" si="39">+H171+I171+J171+K171</f>
        <v>3532.4700000000003</v>
      </c>
      <c r="M171" s="951">
        <f t="shared" ref="M171:M176" si="40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1191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1191">
        <v>936.62</v>
      </c>
      <c r="J173" s="951">
        <v>1322.4</v>
      </c>
      <c r="K173" s="951">
        <v>25</v>
      </c>
      <c r="L173" s="951">
        <f t="shared" si="39"/>
        <v>3532.4700000000003</v>
      </c>
      <c r="M173" s="951">
        <f t="shared" si="40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1191">
        <v>421.98</v>
      </c>
      <c r="J174" s="951">
        <v>1322.4</v>
      </c>
      <c r="K174" s="951">
        <v>4861.92</v>
      </c>
      <c r="L174" s="951">
        <f t="shared" si="39"/>
        <v>7854.75</v>
      </c>
      <c r="M174" s="951">
        <f t="shared" si="40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1191">
        <v>936.62</v>
      </c>
      <c r="J175" s="951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1191">
        <v>936.62</v>
      </c>
      <c r="J176" s="951">
        <v>1322.4</v>
      </c>
      <c r="K176" s="951">
        <v>25</v>
      </c>
      <c r="L176" s="951">
        <f t="shared" si="39"/>
        <v>3532.4700000000003</v>
      </c>
      <c r="M176" s="951">
        <f t="shared" si="40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41">SUM(G171:G176)</f>
        <v>261000</v>
      </c>
      <c r="H177" s="963">
        <f t="shared" si="41"/>
        <v>7490.7</v>
      </c>
      <c r="I177" s="966">
        <f>SUM(I171:I176)</f>
        <v>5105.08</v>
      </c>
      <c r="J177" s="963">
        <f t="shared" si="41"/>
        <v>7934.4</v>
      </c>
      <c r="K177" s="963">
        <f t="shared" si="41"/>
        <v>4986.92</v>
      </c>
      <c r="L177" s="963">
        <f t="shared" si="41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6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6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4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>+H183+I183+J183+K183</f>
        <v>3532.4700000000003</v>
      </c>
      <c r="M183" s="951">
        <f>+G183-L183</f>
        <v>39967.53</v>
      </c>
    </row>
    <row r="184" spans="1:13" ht="18.75" x14ac:dyDescent="0.3">
      <c r="A184" s="1027" t="s">
        <v>1345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1032">
        <v>43500</v>
      </c>
      <c r="H184" s="951">
        <v>1248.45</v>
      </c>
      <c r="I184" s="1197">
        <v>936.62</v>
      </c>
      <c r="J184" s="951">
        <v>1322.4</v>
      </c>
      <c r="K184" s="951">
        <v>25</v>
      </c>
      <c r="L184" s="1032">
        <v>3532.4700000000003</v>
      </c>
      <c r="M184" s="1032"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254000</v>
      </c>
      <c r="F185" s="974">
        <v>0</v>
      </c>
      <c r="G185" s="963">
        <f>SUM(G180:G184)</f>
        <v>254000</v>
      </c>
      <c r="H185" s="963">
        <f t="shared" ref="H185:M185" si="42">SUM(H180:H184)</f>
        <v>7289.7999999999993</v>
      </c>
      <c r="I185" s="966">
        <f>SUM(I180:I184)</f>
        <v>11147.350000000002</v>
      </c>
      <c r="J185" s="963">
        <f t="shared" si="42"/>
        <v>7721.6</v>
      </c>
      <c r="K185" s="963">
        <f t="shared" si="42"/>
        <v>2668.4</v>
      </c>
      <c r="L185" s="963">
        <f t="shared" si="42"/>
        <v>28827.15</v>
      </c>
      <c r="M185" s="963">
        <f t="shared" si="42"/>
        <v>225172.85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6"/>
      <c r="J186" s="963"/>
      <c r="K186" s="963"/>
      <c r="L186" s="963"/>
      <c r="M186" s="963"/>
    </row>
    <row r="187" spans="1:13" ht="18.75" x14ac:dyDescent="0.3">
      <c r="A187" s="961" t="s">
        <v>1221</v>
      </c>
      <c r="B187" s="950"/>
      <c r="C187" s="967"/>
      <c r="D187" s="967"/>
      <c r="E187" s="963"/>
      <c r="F187" s="964"/>
      <c r="G187" s="965"/>
      <c r="H187" s="965"/>
      <c r="I187" s="966"/>
      <c r="J187" s="963"/>
      <c r="K187" s="963"/>
      <c r="L187" s="963"/>
      <c r="M187" s="965"/>
    </row>
    <row r="188" spans="1:13" ht="18.75" x14ac:dyDescent="0.3">
      <c r="A188" s="1027" t="s">
        <v>1478</v>
      </c>
      <c r="B188" s="950" t="s">
        <v>806</v>
      </c>
      <c r="C188" s="1024" t="s">
        <v>721</v>
      </c>
      <c r="D188" s="960" t="s">
        <v>1069</v>
      </c>
      <c r="E188" s="951">
        <v>120000</v>
      </c>
      <c r="F188" s="952">
        <v>0</v>
      </c>
      <c r="G188" s="1031">
        <v>120000</v>
      </c>
      <c r="H188" s="953">
        <v>3444</v>
      </c>
      <c r="I188" s="1198">
        <v>16809.87</v>
      </c>
      <c r="J188" s="951">
        <v>3648</v>
      </c>
      <c r="K188" s="951">
        <v>25</v>
      </c>
      <c r="L188" s="1032">
        <f t="shared" ref="L188:L192" si="43">+H188+I188+J188+K188</f>
        <v>23926.87</v>
      </c>
      <c r="M188" s="1031">
        <f>+G188-L188</f>
        <v>96073.13</v>
      </c>
    </row>
    <row r="189" spans="1:13" ht="18.75" x14ac:dyDescent="0.3">
      <c r="A189" s="1027" t="s">
        <v>87</v>
      </c>
      <c r="B189" s="950" t="s">
        <v>806</v>
      </c>
      <c r="C189" s="1024" t="s">
        <v>720</v>
      </c>
      <c r="D189" s="960" t="s">
        <v>1069</v>
      </c>
      <c r="E189" s="951">
        <v>120000</v>
      </c>
      <c r="F189" s="974">
        <v>0</v>
      </c>
      <c r="G189" s="1032">
        <v>120000</v>
      </c>
      <c r="H189" s="951">
        <v>3444</v>
      </c>
      <c r="I189" s="1198">
        <v>16809.87</v>
      </c>
      <c r="J189" s="951">
        <v>3648</v>
      </c>
      <c r="K189" s="951">
        <v>25</v>
      </c>
      <c r="L189" s="1032">
        <f t="shared" si="43"/>
        <v>23926.87</v>
      </c>
      <c r="M189" s="1031">
        <f t="shared" ref="M189:M223" si="44">+G189-L189</f>
        <v>96073.13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198">
        <v>7400.87</v>
      </c>
      <c r="J190" s="951">
        <v>2432</v>
      </c>
      <c r="K190" s="951">
        <v>25</v>
      </c>
      <c r="L190" s="1032">
        <f t="shared" si="43"/>
        <v>12153.869999999999</v>
      </c>
      <c r="M190" s="1031">
        <f t="shared" si="44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198">
        <v>5368.48</v>
      </c>
      <c r="J191" s="951">
        <v>2128</v>
      </c>
      <c r="K191" s="951">
        <v>25</v>
      </c>
      <c r="L191" s="1032">
        <f t="shared" si="43"/>
        <v>9530.48</v>
      </c>
      <c r="M191" s="1031">
        <f t="shared" si="44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198">
        <v>6564.09</v>
      </c>
      <c r="J192" s="951">
        <v>2432</v>
      </c>
      <c r="K192" s="951">
        <v>4158.92</v>
      </c>
      <c r="L192" s="1032">
        <f t="shared" si="43"/>
        <v>15451.01</v>
      </c>
      <c r="M192" s="1031">
        <f t="shared" si="44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198">
        <v>5025.38</v>
      </c>
      <c r="J193" s="951">
        <v>2128</v>
      </c>
      <c r="K193" s="951">
        <v>1740.46</v>
      </c>
      <c r="L193" s="1032">
        <v>10902.84</v>
      </c>
      <c r="M193" s="1032">
        <f t="shared" si="44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198">
        <v>6972</v>
      </c>
      <c r="J194" s="951">
        <v>2432</v>
      </c>
      <c r="K194" s="951">
        <v>1740.46</v>
      </c>
      <c r="L194" s="1032">
        <f>+H194+I194+J194+K194</f>
        <v>13440.46</v>
      </c>
      <c r="M194" s="1032">
        <f t="shared" si="44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199">
        <v>2559.6799999999998</v>
      </c>
      <c r="J195" s="1078">
        <v>1672</v>
      </c>
      <c r="K195" s="1081">
        <v>2097.1999999999998</v>
      </c>
      <c r="L195" s="1032">
        <f t="shared" ref="L195:L219" si="45">+H195+I195+J195+K195</f>
        <v>7907.38</v>
      </c>
      <c r="M195" s="1032">
        <f t="shared" si="44"/>
        <v>47092.62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197">
        <v>679.3</v>
      </c>
      <c r="J196" s="951">
        <v>1322.4</v>
      </c>
      <c r="K196" s="951">
        <v>1740.46</v>
      </c>
      <c r="L196" s="1032">
        <f t="shared" si="45"/>
        <v>4990.6100000000006</v>
      </c>
      <c r="M196" s="1032">
        <f t="shared" si="44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197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197">
        <v>89.81</v>
      </c>
      <c r="J198" s="951">
        <v>1140</v>
      </c>
      <c r="K198" s="951">
        <v>25</v>
      </c>
      <c r="L198" s="1032">
        <f t="shared" si="45"/>
        <v>2331.06</v>
      </c>
      <c r="M198" s="1032">
        <f t="shared" si="44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197">
        <v>89.81</v>
      </c>
      <c r="J199" s="951">
        <v>1140</v>
      </c>
      <c r="K199" s="951">
        <v>25</v>
      </c>
      <c r="L199" s="1032">
        <f t="shared" si="45"/>
        <v>2331.06</v>
      </c>
      <c r="M199" s="1032">
        <f t="shared" si="44"/>
        <v>35168.94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f t="shared" si="45"/>
        <v>3532.4700000000003</v>
      </c>
      <c r="M200" s="1032">
        <f t="shared" si="44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197">
        <v>89.81</v>
      </c>
      <c r="J201" s="951">
        <v>1140</v>
      </c>
      <c r="K201" s="951">
        <v>25</v>
      </c>
      <c r="L201" s="1032">
        <v>2331.06</v>
      </c>
      <c r="M201" s="1032">
        <f t="shared" si="44"/>
        <v>35168.94</v>
      </c>
    </row>
    <row r="202" spans="1:13" ht="18.75" x14ac:dyDescent="0.3">
      <c r="A202" s="1027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 t="shared" si="45"/>
        <v>3532.4700000000003</v>
      </c>
      <c r="M202" s="1032">
        <f t="shared" si="44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197">
        <v>936.62</v>
      </c>
      <c r="J203" s="951">
        <v>1322.4</v>
      </c>
      <c r="K203" s="951">
        <v>25</v>
      </c>
      <c r="L203" s="1032">
        <f t="shared" si="45"/>
        <v>3532.4700000000003</v>
      </c>
      <c r="M203" s="1032">
        <f t="shared" si="44"/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197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74">
        <v>0</v>
      </c>
      <c r="G207" s="1032">
        <v>43500</v>
      </c>
      <c r="H207" s="951">
        <v>1248.45</v>
      </c>
      <c r="I207" s="1197">
        <v>936.62</v>
      </c>
      <c r="J207" s="951">
        <v>1322.4</v>
      </c>
      <c r="K207" s="951">
        <v>25</v>
      </c>
      <c r="L207" s="1032">
        <f t="shared" si="45"/>
        <v>3532.4700000000003</v>
      </c>
      <c r="M207" s="1032">
        <f t="shared" si="44"/>
        <v>39967.53</v>
      </c>
    </row>
    <row r="208" spans="1:13" ht="18.75" x14ac:dyDescent="0.3">
      <c r="A208" s="1027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 t="shared" si="45"/>
        <v>1502.5</v>
      </c>
      <c r="M208" s="1032">
        <f t="shared" si="44"/>
        <v>23497.5</v>
      </c>
    </row>
    <row r="209" spans="1:13" ht="18.75" x14ac:dyDescent="0.3">
      <c r="A209" s="1027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197">
        <v>0</v>
      </c>
      <c r="J209" s="951">
        <v>760</v>
      </c>
      <c r="K209" s="951">
        <v>25</v>
      </c>
      <c r="L209" s="1032">
        <f t="shared" si="45"/>
        <v>1502.5</v>
      </c>
      <c r="M209" s="1032">
        <f t="shared" si="44"/>
        <v>23497.5</v>
      </c>
    </row>
    <row r="210" spans="1:13" ht="18.75" x14ac:dyDescent="0.3">
      <c r="A210" s="1027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197">
        <v>0</v>
      </c>
      <c r="J210" s="951">
        <v>760</v>
      </c>
      <c r="K210" s="951">
        <v>25</v>
      </c>
      <c r="L210" s="1032">
        <f t="shared" si="45"/>
        <v>1502.5</v>
      </c>
      <c r="M210" s="1032">
        <f t="shared" si="4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197">
        <v>0</v>
      </c>
      <c r="J211" s="951">
        <v>760</v>
      </c>
      <c r="K211" s="951">
        <v>25</v>
      </c>
      <c r="L211" s="1032">
        <f t="shared" si="45"/>
        <v>1502.5</v>
      </c>
      <c r="M211" s="1032">
        <f t="shared" si="4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197">
        <v>0</v>
      </c>
      <c r="J212" s="951">
        <v>760</v>
      </c>
      <c r="K212" s="951">
        <v>25</v>
      </c>
      <c r="L212" s="1032">
        <f t="shared" si="45"/>
        <v>1502.5</v>
      </c>
      <c r="M212" s="1032">
        <f t="shared" si="4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197">
        <v>0</v>
      </c>
      <c r="J213" s="951">
        <v>912</v>
      </c>
      <c r="K213" s="951">
        <v>25</v>
      </c>
      <c r="L213" s="1032">
        <f t="shared" si="45"/>
        <v>1798</v>
      </c>
      <c r="M213" s="1032">
        <f t="shared" si="4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197">
        <v>0</v>
      </c>
      <c r="J214" s="951">
        <v>912</v>
      </c>
      <c r="K214" s="951">
        <v>25</v>
      </c>
      <c r="L214" s="1032">
        <f t="shared" si="45"/>
        <v>1798</v>
      </c>
      <c r="M214" s="1032">
        <f t="shared" si="4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197">
        <v>0</v>
      </c>
      <c r="J215" s="951">
        <v>912</v>
      </c>
      <c r="K215" s="951">
        <v>25</v>
      </c>
      <c r="L215" s="1032">
        <f t="shared" si="45"/>
        <v>1798</v>
      </c>
      <c r="M215" s="1032">
        <f t="shared" si="44"/>
        <v>28202</v>
      </c>
    </row>
    <row r="216" spans="1:13" ht="18.75" x14ac:dyDescent="0.3">
      <c r="A216" s="1027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25</v>
      </c>
      <c r="L216" s="1032">
        <f t="shared" si="45"/>
        <v>1798</v>
      </c>
      <c r="M216" s="1032">
        <f t="shared" si="44"/>
        <v>28202</v>
      </c>
    </row>
    <row r="217" spans="1:13" ht="18.75" x14ac:dyDescent="0.3">
      <c r="A217" s="1027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 t="shared" si="45"/>
        <v>3907</v>
      </c>
      <c r="M217" s="1032">
        <f t="shared" si="44"/>
        <v>26093</v>
      </c>
    </row>
    <row r="218" spans="1:13" ht="18.75" x14ac:dyDescent="0.3">
      <c r="A218" s="1027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 t="shared" si="45"/>
        <v>1798</v>
      </c>
      <c r="M218" s="1032">
        <f t="shared" si="44"/>
        <v>28202</v>
      </c>
    </row>
    <row r="219" spans="1:13" ht="18.75" x14ac:dyDescent="0.3">
      <c r="A219" s="1027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f t="shared" si="45"/>
        <v>1798</v>
      </c>
      <c r="M219" s="1032">
        <f t="shared" si="4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197">
        <v>0</v>
      </c>
      <c r="J220" s="951">
        <v>912</v>
      </c>
      <c r="K220" s="951">
        <v>25</v>
      </c>
      <c r="L220" s="1032">
        <v>1798</v>
      </c>
      <c r="M220" s="1032">
        <f t="shared" si="4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1740.46</v>
      </c>
      <c r="L221" s="1032">
        <v>3513.46</v>
      </c>
      <c r="M221" s="1032">
        <f t="shared" si="4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v>1798</v>
      </c>
      <c r="M222" s="1032">
        <f t="shared" si="4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 t="shared" si="44"/>
        <v>28202</v>
      </c>
    </row>
    <row r="224" spans="1:13" ht="18.75" x14ac:dyDescent="0.3">
      <c r="A224" s="949" t="s">
        <v>847</v>
      </c>
      <c r="B224" s="999"/>
      <c r="C224" s="962">
        <v>36</v>
      </c>
      <c r="D224" s="962"/>
      <c r="E224" s="963">
        <f>SUM(E188:E223)</f>
        <v>1628000</v>
      </c>
      <c r="G224" s="963">
        <f>SUM(G188:G223)</f>
        <v>1628000</v>
      </c>
      <c r="H224" s="963">
        <f t="shared" ref="H224:L224" si="46">SUM(H188:H223)</f>
        <v>46723.600000000006</v>
      </c>
      <c r="I224" s="966">
        <f>SUM(I188:I223)</f>
        <v>75105.119999999952</v>
      </c>
      <c r="J224" s="963">
        <f t="shared" si="46"/>
        <v>49491.200000000012</v>
      </c>
      <c r="K224" s="963">
        <f>SUM(K188:K223)</f>
        <v>16076.96</v>
      </c>
      <c r="L224" s="963">
        <f t="shared" si="46"/>
        <v>187396.87999999998</v>
      </c>
      <c r="M224" s="963">
        <f>SUM(M188:M223)</f>
        <v>1440603.12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6"/>
      <c r="J225" s="963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+C224+C185+C177+C168+C163+C158+C151+C147+C142+C136+C129+C123+C114+C110+C101++C89+C74+C59+C53+C49+C44+C40+C30+C19+C94+C105+C26</f>
        <v>131</v>
      </c>
      <c r="D226" s="1058"/>
      <c r="E226" s="1076">
        <f>+E19+E26+E30+E40+E44+E49+E53+E59+E74+E89+E94+E101+E105+E110+E114+E123+E129+E136+E142+E147+E151+E158+E163+E168+E177+E224+E185</f>
        <v>6942000</v>
      </c>
      <c r="F226" s="1072">
        <v>0</v>
      </c>
      <c r="G226" s="1076">
        <f t="shared" ref="G226:M226" si="47">+G19+G26+G30+G40+G44+G49+G53+G59+G74+G89+G94+G101+G105+G110+G114+G123+G129+G136+G142+G147+G151+G158+G163+G168+G177+G224+G185</f>
        <v>6942000</v>
      </c>
      <c r="H226" s="1076">
        <f t="shared" si="47"/>
        <v>199235.4</v>
      </c>
      <c r="I226" s="1076">
        <f t="shared" si="47"/>
        <v>434300.11999999988</v>
      </c>
      <c r="J226" s="1076">
        <f t="shared" si="47"/>
        <v>209721.93999999997</v>
      </c>
      <c r="K226" s="1076">
        <f t="shared" si="47"/>
        <v>149600.37</v>
      </c>
      <c r="L226" s="1076">
        <f t="shared" si="47"/>
        <v>992857.83000000019</v>
      </c>
      <c r="M226" s="1076">
        <f t="shared" si="47"/>
        <v>5949142.169999999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53"/>
      <c r="J227" s="1093"/>
      <c r="K227" s="1093"/>
      <c r="L227" s="1093"/>
      <c r="M227" s="1022"/>
    </row>
    <row r="228" spans="1:13" ht="14.25" customHeight="1" x14ac:dyDescent="0.25">
      <c r="A228" s="853"/>
      <c r="B228" s="871"/>
      <c r="C228" s="853"/>
      <c r="D228" s="853"/>
      <c r="E228" s="869"/>
      <c r="F228" s="853"/>
      <c r="G228" s="853"/>
      <c r="H228" s="853"/>
      <c r="I228" s="853"/>
      <c r="J228" s="1093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73"/>
      <c r="J229" s="1093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73"/>
      <c r="J230" s="1093"/>
      <c r="K230" s="1093"/>
      <c r="L230" s="1093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73"/>
      <c r="J231" s="1093"/>
      <c r="K231" s="1093"/>
      <c r="L231" s="1093"/>
      <c r="M231" s="1022"/>
    </row>
    <row r="232" spans="1:13" ht="15.75" x14ac:dyDescent="0.25">
      <c r="A232" s="853"/>
      <c r="B232" s="871"/>
      <c r="C232" s="1022"/>
      <c r="E232" s="869"/>
      <c r="F232" s="853"/>
      <c r="G232" s="853"/>
      <c r="H232" s="853"/>
      <c r="I232" s="1022"/>
      <c r="J232" s="1093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52"/>
      <c r="F233" s="853"/>
      <c r="G233" s="853"/>
      <c r="H233" s="853"/>
      <c r="I233" s="853"/>
      <c r="J233" s="869"/>
      <c r="K233" s="869"/>
      <c r="L233" s="869"/>
      <c r="M233" s="853"/>
    </row>
    <row r="234" spans="1:13" ht="15.75" x14ac:dyDescent="0.25">
      <c r="A234" s="853"/>
      <c r="B234" s="871"/>
      <c r="C234" s="853"/>
      <c r="D234" s="853"/>
      <c r="E234" s="852"/>
      <c r="F234" s="853"/>
      <c r="G234" s="853"/>
      <c r="H234" s="853"/>
      <c r="I234" s="853"/>
      <c r="J234" s="869"/>
      <c r="K234" s="869"/>
      <c r="L234" s="869"/>
      <c r="M234" s="853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53"/>
      <c r="J235" s="869"/>
      <c r="K235" s="869"/>
      <c r="L235" s="869"/>
      <c r="M235" s="853"/>
    </row>
    <row r="236" spans="1:13" ht="17.25" customHeight="1" x14ac:dyDescent="0.25">
      <c r="A236" s="853"/>
      <c r="B236" s="871"/>
      <c r="C236" s="853"/>
      <c r="D236" s="853"/>
      <c r="E236" s="852"/>
      <c r="F236" s="853"/>
      <c r="G236" s="853"/>
      <c r="H236" s="853"/>
      <c r="I236" s="853"/>
      <c r="J236" s="869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53"/>
      <c r="J237" s="869"/>
      <c r="K237" s="869"/>
      <c r="L237" s="869"/>
      <c r="M237" s="853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53"/>
      <c r="J238" s="869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53"/>
      <c r="J239" s="869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53"/>
      <c r="J240" s="869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53"/>
      <c r="J241" s="869"/>
      <c r="K241" s="869"/>
      <c r="L241" s="869"/>
      <c r="M241" s="853"/>
    </row>
    <row r="242" spans="1:14" ht="15.75" x14ac:dyDescent="0.25">
      <c r="A242" s="873"/>
      <c r="B242" s="874"/>
      <c r="C242" s="873"/>
      <c r="D242" s="873"/>
      <c r="E242" s="875"/>
      <c r="F242" s="873"/>
      <c r="G242" s="873"/>
      <c r="H242" s="873"/>
      <c r="I242" s="873"/>
      <c r="J242" s="1094"/>
      <c r="K242" s="1094"/>
      <c r="L242" s="1094"/>
      <c r="M242" s="873"/>
    </row>
    <row r="243" spans="1:14" ht="15.75" x14ac:dyDescent="0.25">
      <c r="A243" s="873"/>
      <c r="B243" s="871"/>
      <c r="C243" s="873"/>
      <c r="D243" s="873"/>
      <c r="E243" s="875"/>
      <c r="F243" s="873"/>
      <c r="G243" s="873"/>
      <c r="H243" s="873"/>
      <c r="I243" s="873"/>
      <c r="J243" s="1094"/>
      <c r="K243" s="1094"/>
      <c r="L243" s="1094"/>
      <c r="M243" s="873"/>
    </row>
    <row r="244" spans="1:14" ht="15.75" x14ac:dyDescent="0.25">
      <c r="A244" s="871"/>
      <c r="B244" s="871"/>
      <c r="C244" s="871"/>
      <c r="D244" s="871"/>
      <c r="E244" s="876"/>
      <c r="F244" s="877"/>
      <c r="G244" s="878"/>
      <c r="H244" s="879"/>
      <c r="I244" s="1200"/>
      <c r="J244" s="1095"/>
      <c r="K244" s="1095"/>
      <c r="L244" s="1095"/>
      <c r="M244" s="880"/>
    </row>
    <row r="245" spans="1:14" ht="15.75" x14ac:dyDescent="0.25">
      <c r="A245" s="1703" t="s">
        <v>1271</v>
      </c>
      <c r="B245" s="1703"/>
      <c r="C245" s="874"/>
      <c r="D245" s="874"/>
      <c r="E245" s="875"/>
      <c r="F245" s="873"/>
      <c r="G245" s="873"/>
      <c r="H245" s="1683" t="s">
        <v>852</v>
      </c>
      <c r="I245" s="1683"/>
      <c r="J245" s="1683"/>
      <c r="K245" s="1683"/>
      <c r="L245" s="1683"/>
      <c r="M245" s="1683"/>
    </row>
    <row r="246" spans="1:14" ht="15.75" x14ac:dyDescent="0.25">
      <c r="A246" s="930" t="s">
        <v>1376</v>
      </c>
      <c r="B246" s="871"/>
      <c r="C246" s="871"/>
      <c r="D246" s="871"/>
      <c r="E246" s="875"/>
      <c r="F246" s="873"/>
      <c r="H246" s="622"/>
      <c r="I246" s="1684" t="s">
        <v>1504</v>
      </c>
      <c r="J246" s="1684"/>
      <c r="K246" s="1684"/>
      <c r="L246" s="1684"/>
      <c r="M246" s="622"/>
      <c r="N246" s="537"/>
    </row>
    <row r="247" spans="1:14" ht="15.75" x14ac:dyDescent="0.25">
      <c r="A247" s="928"/>
      <c r="B247" s="871"/>
      <c r="C247" s="871"/>
      <c r="D247" s="871"/>
      <c r="E247" s="875"/>
      <c r="F247" s="873"/>
      <c r="G247" s="928"/>
      <c r="H247" s="928"/>
      <c r="I247" s="928"/>
      <c r="J247" s="519"/>
      <c r="K247" s="519"/>
      <c r="L247" s="519"/>
      <c r="M247" s="928"/>
      <c r="N247" s="537"/>
    </row>
    <row r="248" spans="1:14" ht="15.75" x14ac:dyDescent="0.25">
      <c r="A248" s="928"/>
      <c r="B248" s="871"/>
      <c r="C248" s="871"/>
      <c r="D248" s="871"/>
      <c r="E248" s="875"/>
      <c r="F248" s="873"/>
      <c r="G248" s="928"/>
      <c r="H248" s="928"/>
      <c r="I248" s="928"/>
      <c r="J248" s="519"/>
      <c r="K248" s="519"/>
      <c r="L248" s="519"/>
      <c r="M248" s="928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928"/>
      <c r="J249" s="519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928"/>
      <c r="J250" s="519"/>
      <c r="K250" s="519"/>
      <c r="L250" s="519"/>
      <c r="M250" s="928"/>
      <c r="N250" s="537"/>
    </row>
    <row r="251" spans="1:14" ht="168" customHeight="1" x14ac:dyDescent="0.25">
      <c r="A251" s="928"/>
      <c r="B251" s="871"/>
      <c r="C251" s="871"/>
      <c r="D251" s="871"/>
      <c r="E251" s="875"/>
      <c r="F251" s="873"/>
      <c r="G251" s="928"/>
      <c r="H251" s="928"/>
      <c r="I251" s="928"/>
      <c r="J251" s="519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928"/>
      <c r="J252" s="519"/>
      <c r="K252" s="519"/>
      <c r="L252" s="519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928"/>
      <c r="J253" s="519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928"/>
      <c r="J254" s="519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928"/>
      <c r="J255" s="519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928"/>
      <c r="J256" s="519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928"/>
      <c r="J257" s="519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928"/>
      <c r="J258" s="519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928"/>
      <c r="J259" s="519"/>
      <c r="K259" s="519"/>
      <c r="L259" s="519"/>
      <c r="M259" s="928"/>
      <c r="N259" s="537"/>
    </row>
    <row r="260" spans="1:14" ht="15.75" x14ac:dyDescent="0.25">
      <c r="A260" s="874"/>
      <c r="B260" s="851"/>
      <c r="C260" s="874"/>
      <c r="D260" s="874"/>
      <c r="E260" s="883"/>
      <c r="F260" s="874"/>
      <c r="G260" s="884"/>
      <c r="H260" s="882"/>
      <c r="I260" s="873"/>
      <c r="J260" s="1096"/>
      <c r="K260" s="1096"/>
      <c r="L260" s="1096"/>
      <c r="M260" s="885"/>
    </row>
  </sheetData>
  <mergeCells count="20">
    <mergeCell ref="M12:M13"/>
    <mergeCell ref="A245:B245"/>
    <mergeCell ref="H245:M245"/>
    <mergeCell ref="I246:L24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3" manualBreakCount="3">
    <brk id="75" max="13" man="1"/>
    <brk id="142" max="13" man="1"/>
    <brk id="219" max="13" man="1"/>
  </rowBreaks>
  <drawing r:id="rId2"/>
</worksheet>
</file>

<file path=xl/worksheets/sheet3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E1CFBA-6B3F-4B98-89BB-8D849E3B4FA3}">
  <dimension ref="A1:S163"/>
  <sheetViews>
    <sheetView topLeftCell="A124" zoomScale="106" zoomScaleNormal="106" zoomScaleSheetLayoutView="89" workbookViewId="0">
      <selection activeCell="D113" sqref="D113:O113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45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556" t="s">
        <v>0</v>
      </c>
      <c r="B5" s="1556"/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</row>
    <row r="6" spans="1:15" x14ac:dyDescent="0.25">
      <c r="A6" s="1556" t="s">
        <v>1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</row>
    <row r="7" spans="1:15" x14ac:dyDescent="0.25">
      <c r="A7" s="1556" t="s">
        <v>3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</row>
    <row r="8" spans="1:15" x14ac:dyDescent="0.25">
      <c r="A8" s="1556" t="s">
        <v>1558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</row>
    <row r="9" spans="1:15" x14ac:dyDescent="0.25">
      <c r="A9" s="1634" t="s">
        <v>441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709" t="s">
        <v>7</v>
      </c>
      <c r="B11" s="1709" t="s">
        <v>937</v>
      </c>
      <c r="C11" s="1712" t="s">
        <v>10</v>
      </c>
      <c r="D11" s="1709" t="s">
        <v>832</v>
      </c>
      <c r="E11" s="1709" t="s">
        <v>834</v>
      </c>
      <c r="F11" s="1709" t="s">
        <v>209</v>
      </c>
      <c r="G11" s="1051" t="s">
        <v>12</v>
      </c>
      <c r="H11" s="1711" t="s">
        <v>13</v>
      </c>
      <c r="I11" s="1710" t="s">
        <v>14</v>
      </c>
      <c r="J11" s="1710" t="s">
        <v>15</v>
      </c>
      <c r="K11" s="1710" t="s">
        <v>16</v>
      </c>
      <c r="L11" s="1722" t="s">
        <v>17</v>
      </c>
      <c r="M11" s="1722" t="s">
        <v>18</v>
      </c>
      <c r="N11" s="1710" t="s">
        <v>19</v>
      </c>
      <c r="O11" s="1710" t="s">
        <v>20</v>
      </c>
    </row>
    <row r="12" spans="1:15" x14ac:dyDescent="0.25">
      <c r="A12" s="1709"/>
      <c r="B12" s="1709"/>
      <c r="C12" s="1712"/>
      <c r="D12" s="1709"/>
      <c r="E12" s="1709"/>
      <c r="F12" s="1709"/>
      <c r="G12" s="1051" t="s">
        <v>21</v>
      </c>
      <c r="H12" s="1711"/>
      <c r="I12" s="1710"/>
      <c r="J12" s="1710"/>
      <c r="K12" s="1710"/>
      <c r="L12" s="1722"/>
      <c r="M12" s="1722"/>
      <c r="N12" s="1710"/>
      <c r="O12" s="1710"/>
    </row>
    <row r="13" spans="1:15" s="1212" customFormat="1" ht="21" customHeight="1" x14ac:dyDescent="0.25">
      <c r="A13" s="1204" t="s">
        <v>872</v>
      </c>
      <c r="B13" s="1213"/>
      <c r="C13" s="1214"/>
      <c r="D13" s="1213"/>
      <c r="E13" s="1213"/>
      <c r="F13" s="1213"/>
      <c r="G13" s="1215"/>
      <c r="H13" s="1216"/>
      <c r="I13" s="1215"/>
      <c r="J13" s="1215"/>
      <c r="K13" s="1215"/>
      <c r="L13" s="1215"/>
      <c r="M13" s="1215"/>
      <c r="N13" s="1215"/>
      <c r="O13" s="1215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1458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1573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45748</v>
      </c>
      <c r="F24" s="855">
        <v>45901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45748</v>
      </c>
      <c r="F28" s="855">
        <v>45901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1112">
        <v>0</v>
      </c>
      <c r="I29" s="695">
        <f t="shared" ref="I29:O29" si="3">SUM(I28)</f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45748</v>
      </c>
      <c r="F32" s="855">
        <v>45901</v>
      </c>
      <c r="G32" s="626">
        <v>80000</v>
      </c>
      <c r="H32" s="1111">
        <v>0</v>
      </c>
      <c r="I32" s="626">
        <v>80000</v>
      </c>
      <c r="J32" s="498">
        <v>2296</v>
      </c>
      <c r="K32" s="214">
        <v>7400.87</v>
      </c>
      <c r="L32" s="1149">
        <v>2432</v>
      </c>
      <c r="M32" s="626">
        <v>8903.93</v>
      </c>
      <c r="N32" s="457">
        <f>SUM(J32:M32)</f>
        <v>21032.799999999999</v>
      </c>
      <c r="O32" s="457">
        <f>+I32-N32</f>
        <v>58967.199999999997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80000</v>
      </c>
      <c r="H33" s="1112">
        <v>0</v>
      </c>
      <c r="I33" s="695">
        <v>80000</v>
      </c>
      <c r="J33" s="494">
        <v>2296</v>
      </c>
      <c r="K33" s="217">
        <v>7400.87</v>
      </c>
      <c r="L33" s="1145">
        <v>2432</v>
      </c>
      <c r="M33" s="695">
        <v>8903.93</v>
      </c>
      <c r="N33" s="463">
        <f>SUM(J33:M33)</f>
        <v>21032.799999999999</v>
      </c>
      <c r="O33" s="463">
        <f>+I33-N33</f>
        <v>58967.199999999997</v>
      </c>
    </row>
    <row r="34" spans="1:15" s="1212" customFormat="1" ht="21" customHeight="1" x14ac:dyDescent="0.25">
      <c r="A34" s="1217" t="s">
        <v>1126</v>
      </c>
      <c r="B34" s="1205"/>
      <c r="C34" s="1206"/>
      <c r="D34" s="1205"/>
      <c r="E34" s="1209"/>
      <c r="F34" s="1218"/>
      <c r="G34" s="1209"/>
      <c r="H34" s="1211"/>
      <c r="I34" s="1209"/>
      <c r="J34" s="1209"/>
      <c r="K34" s="1209"/>
      <c r="L34" s="1211"/>
      <c r="M34" s="1209"/>
      <c r="N34" s="1219"/>
      <c r="O34" s="1219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45748</v>
      </c>
      <c r="F35" s="855">
        <v>45901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2134</v>
      </c>
      <c r="N35" s="626">
        <f>SUM(J35:M35)</f>
        <v>17206.120000000003</v>
      </c>
      <c r="O35" s="626">
        <f>+G35-N35</f>
        <v>72793.88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2134</v>
      </c>
      <c r="N36" s="695">
        <f>SUM(J36:M36)</f>
        <v>17206.120000000003</v>
      </c>
      <c r="O36" s="695">
        <f>+G36-N36</f>
        <v>72793.88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1570</v>
      </c>
      <c r="D39" s="281" t="s">
        <v>1063</v>
      </c>
      <c r="E39" s="855">
        <v>45748</v>
      </c>
      <c r="F39" s="855">
        <v>45901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22.5" customHeight="1" x14ac:dyDescent="0.25">
      <c r="A43" s="280" t="s">
        <v>461</v>
      </c>
      <c r="B43" s="281" t="s">
        <v>807</v>
      </c>
      <c r="C43" s="282" t="s">
        <v>1574</v>
      </c>
      <c r="D43" s="281" t="s">
        <v>1063</v>
      </c>
      <c r="E43" s="855">
        <v>45748</v>
      </c>
      <c r="F43" s="855">
        <v>45901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45748</v>
      </c>
      <c r="F44" s="855">
        <v>45901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 t="shared" ref="H45" si="4">SUM(H44)</f>
        <v>0</v>
      </c>
      <c r="I45" s="695">
        <f t="shared" ref="I45:O45" si="5">SUM(I43:I44)</f>
        <v>175000</v>
      </c>
      <c r="J45" s="695">
        <f t="shared" si="5"/>
        <v>5022.5</v>
      </c>
      <c r="K45" s="695">
        <f t="shared" si="5"/>
        <v>19120.419999999998</v>
      </c>
      <c r="L45" s="1145">
        <f t="shared" si="5"/>
        <v>5320</v>
      </c>
      <c r="M45" s="695">
        <f>SUM(M43:M44)</f>
        <v>2159</v>
      </c>
      <c r="N45" s="695">
        <f t="shared" si="5"/>
        <v>31621.919999999998</v>
      </c>
      <c r="O45" s="695">
        <f t="shared" si="5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s="1212" customFormat="1" ht="21" customHeight="1" x14ac:dyDescent="0.25">
      <c r="A47" s="1204" t="s">
        <v>1575</v>
      </c>
      <c r="B47" s="1205"/>
      <c r="C47" s="1206"/>
      <c r="D47" s="1205"/>
      <c r="E47" s="1207"/>
      <c r="F47" s="1208"/>
      <c r="G47" s="1209"/>
      <c r="H47" s="1210"/>
      <c r="I47" s="1209"/>
      <c r="J47" s="1209"/>
      <c r="K47" s="1209"/>
      <c r="L47" s="1211"/>
      <c r="M47" s="1209"/>
      <c r="N47" s="1209"/>
      <c r="O47" s="1209"/>
    </row>
    <row r="48" spans="1:15" ht="22.5" customHeight="1" x14ac:dyDescent="0.25">
      <c r="A48" s="496" t="s">
        <v>1553</v>
      </c>
      <c r="B48" s="497" t="s">
        <v>807</v>
      </c>
      <c r="C48" s="282" t="s">
        <v>1571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6">SUM(I48)</f>
        <v>95000</v>
      </c>
      <c r="J49" s="697">
        <f t="shared" si="6"/>
        <v>2726.5</v>
      </c>
      <c r="K49" s="697">
        <f t="shared" si="6"/>
        <v>10929.24</v>
      </c>
      <c r="L49" s="1145">
        <f t="shared" si="6"/>
        <v>2888</v>
      </c>
      <c r="M49" s="697">
        <f>SUM(M48)</f>
        <v>8637.92</v>
      </c>
      <c r="N49" s="697">
        <f t="shared" si="6"/>
        <v>25181.659999999996</v>
      </c>
      <c r="O49" s="697">
        <f t="shared" si="6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1572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45748</v>
      </c>
      <c r="F53" s="855">
        <v>45901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 t="shared" ref="H54" si="7">SUM(H53)</f>
        <v>0</v>
      </c>
      <c r="I54" s="697">
        <f t="shared" ref="I54:O54" si="8">SUM(I52:I53)</f>
        <v>175000</v>
      </c>
      <c r="J54" s="697">
        <f t="shared" si="8"/>
        <v>5022.5</v>
      </c>
      <c r="K54" s="697">
        <f t="shared" si="8"/>
        <v>19369.55</v>
      </c>
      <c r="L54" s="1145">
        <f t="shared" si="8"/>
        <v>5320</v>
      </c>
      <c r="M54" s="697">
        <f>SUM(M52:M53)</f>
        <v>2593.4</v>
      </c>
      <c r="N54" s="697">
        <f t="shared" si="8"/>
        <v>32305.45</v>
      </c>
      <c r="O54" s="697">
        <f t="shared" si="8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9">+J57+K57+L57+M57</f>
        <v>25398.49</v>
      </c>
      <c r="O57" s="498">
        <f t="shared" ref="O57:O63" si="10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9"/>
        <v>25398.49</v>
      </c>
      <c r="O58" s="498">
        <f t="shared" si="10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45748</v>
      </c>
      <c r="F59" s="855">
        <v>45901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45748</v>
      </c>
      <c r="F60" s="855">
        <v>45901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45748</v>
      </c>
      <c r="F61" s="855">
        <v>45901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45748</v>
      </c>
      <c r="F62" s="855">
        <v>45901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9"/>
        <v>25398.49</v>
      </c>
      <c r="O62" s="626">
        <f t="shared" si="10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45748</v>
      </c>
      <c r="F63" s="855">
        <v>45901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9"/>
        <v>29628.34</v>
      </c>
      <c r="O63" s="626">
        <f t="shared" si="10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45748</v>
      </c>
      <c r="F64" s="855">
        <v>45901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11">SUM(I57:I64)</f>
        <v>1010000</v>
      </c>
      <c r="J65" s="697">
        <f t="shared" si="11"/>
        <v>28987</v>
      </c>
      <c r="K65" s="697">
        <f t="shared" si="11"/>
        <v>145811.31000000003</v>
      </c>
      <c r="L65" s="1145">
        <f t="shared" si="11"/>
        <v>30704</v>
      </c>
      <c r="M65" s="697">
        <f>SUM(M57:M64)</f>
        <v>1915.46</v>
      </c>
      <c r="N65" s="697">
        <f t="shared" si="11"/>
        <v>207417.77</v>
      </c>
      <c r="O65" s="697">
        <f t="shared" si="11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45748</v>
      </c>
      <c r="F68" s="855">
        <v>45901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45748</v>
      </c>
      <c r="F69" s="855">
        <v>45901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45748</v>
      </c>
      <c r="F70" s="855">
        <v>45901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2">SUM(I68:I71)</f>
        <v>360000</v>
      </c>
      <c r="J72" s="695">
        <f t="shared" si="12"/>
        <v>10332</v>
      </c>
      <c r="K72" s="695">
        <f t="shared" si="12"/>
        <v>39972.06</v>
      </c>
      <c r="L72" s="1145">
        <f t="shared" si="12"/>
        <v>10944</v>
      </c>
      <c r="M72" s="695">
        <f>SUM(M68:M71)</f>
        <v>2643.4</v>
      </c>
      <c r="N72" s="695">
        <f>SUM(N68:N71)</f>
        <v>63891.459999999992</v>
      </c>
      <c r="O72" s="695">
        <f t="shared" si="12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45748</v>
      </c>
      <c r="F75" s="855">
        <v>45901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3">SUM(H75)</f>
        <v>0</v>
      </c>
      <c r="I76" s="695">
        <f t="shared" si="13"/>
        <v>185000</v>
      </c>
      <c r="J76" s="695">
        <f t="shared" si="13"/>
        <v>5309.5</v>
      </c>
      <c r="K76" s="695">
        <f t="shared" si="13"/>
        <v>32099.49</v>
      </c>
      <c r="L76" s="1145">
        <f t="shared" si="13"/>
        <v>5624</v>
      </c>
      <c r="M76" s="695">
        <f>SUM(M75)</f>
        <v>4557.26</v>
      </c>
      <c r="N76" s="695">
        <f t="shared" si="13"/>
        <v>47590.250000000007</v>
      </c>
      <c r="O76" s="695">
        <f t="shared" si="13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1565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45748</v>
      </c>
      <c r="F79" s="855">
        <v>45901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 t="shared" ref="H81" si="14">SUM(H80)</f>
        <v>0</v>
      </c>
      <c r="I81" s="695">
        <f t="shared" ref="I81:O81" si="15">SUM(I79:I80)</f>
        <v>130000</v>
      </c>
      <c r="J81" s="695">
        <f t="shared" si="15"/>
        <v>3731</v>
      </c>
      <c r="K81" s="695">
        <f t="shared" si="15"/>
        <v>8855.16</v>
      </c>
      <c r="L81" s="1145">
        <f t="shared" si="15"/>
        <v>3952</v>
      </c>
      <c r="M81" s="695">
        <f>SUM(M79:M80)</f>
        <v>50</v>
      </c>
      <c r="N81" s="695">
        <f t="shared" si="15"/>
        <v>16588.16</v>
      </c>
      <c r="O81" s="695">
        <f t="shared" si="15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918</v>
      </c>
      <c r="D88" s="281" t="s">
        <v>1063</v>
      </c>
      <c r="E88" s="855">
        <v>45748</v>
      </c>
      <c r="F88" s="855">
        <v>45901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6">+J88+K88+L88+M88</f>
        <v>9530.48</v>
      </c>
      <c r="O88" s="468">
        <f t="shared" ref="O88:O93" si="17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45748</v>
      </c>
      <c r="F89" s="855">
        <v>45901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6"/>
        <v>9530.48</v>
      </c>
      <c r="O89" s="468">
        <f t="shared" si="17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45748</v>
      </c>
      <c r="F90" s="855">
        <v>45901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6"/>
        <v>9530.48</v>
      </c>
      <c r="O90" s="468">
        <f t="shared" si="17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45748</v>
      </c>
      <c r="F91" s="855">
        <v>45901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6"/>
        <v>9530.48</v>
      </c>
      <c r="O91" s="468">
        <f t="shared" si="17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45748</v>
      </c>
      <c r="F92" s="855">
        <v>45901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6"/>
        <v>9530.48</v>
      </c>
      <c r="O92" s="468">
        <f t="shared" si="17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6"/>
        <v>5835.18</v>
      </c>
      <c r="O93" s="468">
        <f t="shared" si="17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 t="shared" ref="H94" si="18">SUM(H93)</f>
        <v>0</v>
      </c>
      <c r="I94" s="695">
        <f>SUM(I88:I93)</f>
        <v>405000</v>
      </c>
      <c r="J94" s="695">
        <f>SUM(J88:J93)</f>
        <v>11623.5</v>
      </c>
      <c r="K94" s="695">
        <f t="shared" ref="K94:N94" si="19">SUM(K88:K93)</f>
        <v>29402.079999999998</v>
      </c>
      <c r="L94" s="1145">
        <f t="shared" si="19"/>
        <v>12312</v>
      </c>
      <c r="M94" s="695">
        <f>SUM(M88:M93)</f>
        <v>150</v>
      </c>
      <c r="N94" s="695">
        <f t="shared" si="19"/>
        <v>53487.579999999994</v>
      </c>
      <c r="O94" s="695">
        <f>SUM(O88:O93)</f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45962</v>
      </c>
      <c r="F98" s="855">
        <v>45901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20">SUM(I97:I98)</f>
        <v>190000</v>
      </c>
      <c r="J99" s="695">
        <f t="shared" si="20"/>
        <v>5453</v>
      </c>
      <c r="K99" s="695">
        <f t="shared" si="20"/>
        <v>22178.35</v>
      </c>
      <c r="L99" s="695">
        <f t="shared" si="20"/>
        <v>5776</v>
      </c>
      <c r="M99" s="695">
        <f>SUM(M97:M98)</f>
        <v>4694.3999999999996</v>
      </c>
      <c r="N99" s="695">
        <f t="shared" si="20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45748</v>
      </c>
      <c r="F102" s="855">
        <v>45901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 t="shared" ref="N102" si="21">+J102+K102+L102+M102</f>
        <v>23926.87</v>
      </c>
      <c r="O102" s="468">
        <f t="shared" ref="O102" si="22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45748</v>
      </c>
      <c r="F103" s="855">
        <v>45901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45748</v>
      </c>
      <c r="F104" s="855">
        <v>45901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23">+J104+K104+L104+M104</f>
        <v>9530.48</v>
      </c>
      <c r="O104" s="468">
        <f t="shared" ref="O104:O128" si="24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45748</v>
      </c>
      <c r="F105" s="855">
        <v>45901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23"/>
        <v>9530.48</v>
      </c>
      <c r="O105" s="468">
        <f t="shared" si="24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45748</v>
      </c>
      <c r="F106" s="855">
        <v>45901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23"/>
        <v>10902.84</v>
      </c>
      <c r="O106" s="468">
        <f t="shared" si="24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45748</v>
      </c>
      <c r="F107" s="855">
        <v>45901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23"/>
        <v>12275.210000000001</v>
      </c>
      <c r="O107" s="468">
        <f t="shared" si="24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45748</v>
      </c>
      <c r="F108" s="855">
        <v>45901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23"/>
        <v>10902.84</v>
      </c>
      <c r="O108" s="468">
        <f t="shared" si="24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45748</v>
      </c>
      <c r="F109" s="855">
        <v>45901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3"/>
        <v>9530.48</v>
      </c>
      <c r="O109" s="468">
        <f t="shared" si="24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45748</v>
      </c>
      <c r="F110" s="855">
        <v>45901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3"/>
        <v>9530.48</v>
      </c>
      <c r="O110" s="468">
        <f t="shared" si="24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45748</v>
      </c>
      <c r="F111" s="855">
        <v>45901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3"/>
        <v>9530.48</v>
      </c>
      <c r="O111" s="468">
        <f t="shared" si="24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45748</v>
      </c>
      <c r="F112" s="855">
        <v>45901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23"/>
        <v>9530.48</v>
      </c>
      <c r="O112" s="468">
        <f t="shared" si="24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45748</v>
      </c>
      <c r="F113" s="855">
        <v>45901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23"/>
        <v>9530.48</v>
      </c>
      <c r="O113" s="468">
        <f t="shared" si="24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45748</v>
      </c>
      <c r="F114" s="855">
        <v>45901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3"/>
        <v>9530.48</v>
      </c>
      <c r="O114" s="468">
        <f t="shared" si="24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45748</v>
      </c>
      <c r="F115" s="855">
        <v>45901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3"/>
        <v>9530.48</v>
      </c>
      <c r="O115" s="468">
        <f t="shared" si="24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3"/>
        <v>9530.48</v>
      </c>
      <c r="O116" s="468">
        <f t="shared" si="24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3"/>
        <v>9530.48</v>
      </c>
      <c r="O117" s="468">
        <f t="shared" si="24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3"/>
        <v>9530.48</v>
      </c>
      <c r="O118" s="468">
        <f t="shared" si="24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3"/>
        <v>9530.48</v>
      </c>
      <c r="O119" s="468">
        <f t="shared" si="24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3"/>
        <v>9530.48</v>
      </c>
      <c r="O120" s="468">
        <f t="shared" si="24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3"/>
        <v>9530.48</v>
      </c>
      <c r="O121" s="468">
        <f t="shared" si="24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3"/>
        <v>9530.48</v>
      </c>
      <c r="O122" s="468">
        <f t="shared" si="24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3"/>
        <v>9530.48</v>
      </c>
      <c r="O123" s="468">
        <f t="shared" si="24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45748</v>
      </c>
      <c r="F124" s="855">
        <v>45901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23"/>
        <v>10902.84</v>
      </c>
      <c r="O124" s="468">
        <f t="shared" si="24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45748</v>
      </c>
      <c r="F125" s="855">
        <v>45901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3"/>
        <v>9530.48</v>
      </c>
      <c r="O125" s="468">
        <f t="shared" si="24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45748</v>
      </c>
      <c r="F126" s="855">
        <v>45901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3"/>
        <v>9530.48</v>
      </c>
      <c r="O126" s="468">
        <f t="shared" si="24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45748</v>
      </c>
      <c r="F127" s="855">
        <v>45901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3"/>
        <v>9530.48</v>
      </c>
      <c r="O127" s="468">
        <f t="shared" si="24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3"/>
        <v>9530.48</v>
      </c>
      <c r="O128" s="468">
        <f t="shared" si="24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45748</v>
      </c>
      <c r="F129" s="855">
        <v>45901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45748</v>
      </c>
      <c r="F130" s="855">
        <v>45901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25">+J130+K130+L130+M130</f>
        <v>5835.18</v>
      </c>
      <c r="O130" s="468">
        <f t="shared" ref="O130:O132" si="26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45748</v>
      </c>
      <c r="F131" s="855">
        <v>45901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25"/>
        <v>7293.3200000000006</v>
      </c>
      <c r="O131" s="468">
        <f t="shared" si="26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45748</v>
      </c>
      <c r="F132" s="855">
        <v>45901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5"/>
        <v>3532.4700000000003</v>
      </c>
      <c r="O132" s="468">
        <f t="shared" si="26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25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45748</v>
      </c>
      <c r="F134" s="855">
        <v>45901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25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25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7">SUM(I102:I135)</f>
        <v>2330500</v>
      </c>
      <c r="J136" s="695">
        <f t="shared" si="27"/>
        <v>66885.349999999991</v>
      </c>
      <c r="K136" s="695">
        <f t="shared" si="27"/>
        <v>179989.64999999994</v>
      </c>
      <c r="L136" s="1145">
        <f t="shared" si="27"/>
        <v>70847.199999999983</v>
      </c>
      <c r="M136" s="695">
        <f>SUM(M102:M135)</f>
        <v>12858.219999999998</v>
      </c>
      <c r="N136" s="695">
        <f t="shared" si="27"/>
        <v>330580.42</v>
      </c>
      <c r="O136" s="695">
        <f t="shared" si="27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+G16+G20+G25+G29+G45+G49+G54+G65+G72+G76+G81+G85+G94+G99+G136+G40+G36+G33</f>
        <v>6060500</v>
      </c>
      <c r="H138" s="1114">
        <v>0</v>
      </c>
      <c r="I138" s="1126">
        <f t="shared" ref="I138:O138" si="28">+I16+I20+I25+I29+I45+I49+I54+I65+I72+I76+I81+I85+I94+I99+I136+I40+I36+I33</f>
        <v>6060500</v>
      </c>
      <c r="J138" s="1126">
        <f t="shared" si="28"/>
        <v>173936.34999999998</v>
      </c>
      <c r="K138" s="1126">
        <f t="shared" si="28"/>
        <v>633779.62999999989</v>
      </c>
      <c r="L138" s="1126">
        <f t="shared" si="28"/>
        <v>184239.19999999998</v>
      </c>
      <c r="M138" s="1126">
        <f t="shared" si="28"/>
        <v>77416.790000000008</v>
      </c>
      <c r="N138" s="1126">
        <f t="shared" si="28"/>
        <v>1069371.97</v>
      </c>
      <c r="O138" s="1126">
        <f t="shared" si="28"/>
        <v>4991128.03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1161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708" t="s">
        <v>1375</v>
      </c>
      <c r="J158" s="1708"/>
      <c r="K158" s="1708"/>
      <c r="L158" s="1708"/>
      <c r="M158" s="1708"/>
      <c r="N158" s="1708"/>
      <c r="O158" s="1708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692" t="s">
        <v>1554</v>
      </c>
      <c r="J159" s="1692"/>
      <c r="K159" s="1692"/>
      <c r="L159" s="1692"/>
      <c r="M159" s="1692"/>
      <c r="N159" s="1692"/>
      <c r="O159" s="1692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02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5" max="14" man="1"/>
    <brk id="126" max="14" man="1"/>
  </rowBreaks>
  <drawing r:id="rId2"/>
</worksheet>
</file>

<file path=xl/worksheets/sheet3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257BA-E5CD-4715-A8CC-51242D1A3D4A}">
  <dimension ref="A1:N66"/>
  <sheetViews>
    <sheetView zoomScaleNormal="100" workbookViewId="0">
      <selection activeCell="A38" sqref="A38:XFD38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1551"/>
    </row>
    <row r="8" spans="1:14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1551"/>
    </row>
    <row r="9" spans="1:14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1551"/>
    </row>
    <row r="10" spans="1:14" x14ac:dyDescent="0.25">
      <c r="A10" s="1551" t="s">
        <v>1559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  <c r="N10" s="1551"/>
    </row>
    <row r="11" spans="1:14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  <c r="N11" s="1552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713" t="s">
        <v>7</v>
      </c>
      <c r="B13" s="1713" t="s">
        <v>937</v>
      </c>
      <c r="C13" s="1713" t="s">
        <v>8</v>
      </c>
      <c r="D13" s="1713" t="s">
        <v>10</v>
      </c>
      <c r="E13" s="1713" t="s">
        <v>11</v>
      </c>
      <c r="F13" s="1047" t="s">
        <v>12</v>
      </c>
      <c r="G13" s="1713" t="s">
        <v>13</v>
      </c>
      <c r="H13" s="1713" t="s">
        <v>14</v>
      </c>
      <c r="I13" s="1713" t="s">
        <v>15</v>
      </c>
      <c r="J13" s="1713" t="s">
        <v>16</v>
      </c>
      <c r="K13" s="1713" t="s">
        <v>17</v>
      </c>
      <c r="L13" s="1713" t="s">
        <v>18</v>
      </c>
      <c r="M13" s="1713" t="s">
        <v>19</v>
      </c>
      <c r="N13" s="1713" t="s">
        <v>20</v>
      </c>
    </row>
    <row r="14" spans="1:14" x14ac:dyDescent="0.25">
      <c r="A14" s="1713"/>
      <c r="B14" s="1713"/>
      <c r="C14" s="1713"/>
      <c r="D14" s="1713"/>
      <c r="E14" s="1713"/>
      <c r="F14" s="1047" t="s">
        <v>21</v>
      </c>
      <c r="G14" s="1713"/>
      <c r="H14" s="1713"/>
      <c r="I14" s="1713"/>
      <c r="J14" s="1713"/>
      <c r="K14" s="1713"/>
      <c r="L14" s="1713"/>
      <c r="M14" s="1713"/>
      <c r="N14" s="1713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28" si="0">+I16+J16+K16+L16</f>
        <v>0</v>
      </c>
      <c r="N16" s="284">
        <v>12000</v>
      </c>
    </row>
    <row r="17" spans="1:14" ht="28.5" customHeight="1" x14ac:dyDescent="0.25">
      <c r="A17" s="280" t="s">
        <v>622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1110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1122</v>
      </c>
      <c r="B19" s="281" t="s">
        <v>807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761" t="s">
        <v>1517</v>
      </c>
      <c r="B20" s="60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761" t="s">
        <v>1519</v>
      </c>
      <c r="B21" s="601" t="s">
        <v>806</v>
      </c>
      <c r="C21" s="281" t="s">
        <v>235</v>
      </c>
      <c r="D21" s="286" t="s">
        <v>235</v>
      </c>
      <c r="E21" s="283" t="s">
        <v>236</v>
      </c>
      <c r="F21" s="284">
        <v>14000</v>
      </c>
      <c r="G21" s="285">
        <v>0</v>
      </c>
      <c r="H21" s="284">
        <v>14000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14000</v>
      </c>
    </row>
    <row r="22" spans="1:14" ht="28.5" customHeight="1" x14ac:dyDescent="0.25">
      <c r="A22" s="761" t="s">
        <v>1080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1497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1192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84">
        <v>12000</v>
      </c>
      <c r="G24" s="285">
        <v>0</v>
      </c>
      <c r="H24" s="284">
        <v>12000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12000</v>
      </c>
    </row>
    <row r="25" spans="1:14" ht="28.5" customHeight="1" x14ac:dyDescent="0.25">
      <c r="A25" s="761" t="s">
        <v>1046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4">
        <f t="shared" si="0"/>
        <v>0</v>
      </c>
      <c r="N25" s="284">
        <v>12000</v>
      </c>
    </row>
    <row r="26" spans="1:14" ht="28.5" customHeight="1" x14ac:dyDescent="0.25">
      <c r="A26" s="761" t="s">
        <v>1246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1247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1518</v>
      </c>
      <c r="B28" s="601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1566</v>
      </c>
      <c r="B29" s="601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ref="M29" si="1">+I29+J29+K29+L29</f>
        <v>0</v>
      </c>
      <c r="N29" s="284">
        <v>12000</v>
      </c>
    </row>
    <row r="30" spans="1:14" ht="28.5" customHeight="1" x14ac:dyDescent="0.25">
      <c r="A30" s="761" t="s">
        <v>1567</v>
      </c>
      <c r="B30" s="601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ref="M30" si="2">+I30+J30+K30+L30</f>
        <v>0</v>
      </c>
      <c r="N30" s="284">
        <v>12000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242000</v>
      </c>
      <c r="G31" s="285">
        <v>0</v>
      </c>
      <c r="H31" s="273">
        <f>SUM(H15:H30)</f>
        <v>242000</v>
      </c>
      <c r="I31" s="273">
        <f t="shared" ref="I31:M31" si="3">SUM(I15:I30)</f>
        <v>0</v>
      </c>
      <c r="J31" s="273">
        <f t="shared" si="3"/>
        <v>4195.88</v>
      </c>
      <c r="K31" s="273">
        <f t="shared" si="3"/>
        <v>0</v>
      </c>
      <c r="L31" s="273">
        <f t="shared" si="3"/>
        <v>0</v>
      </c>
      <c r="M31" s="273">
        <f t="shared" si="3"/>
        <v>4195.88</v>
      </c>
      <c r="N31" s="273">
        <f>SUM(N15:N30)</f>
        <v>237804.12</v>
      </c>
    </row>
    <row r="32" spans="1:14" ht="37.5" customHeight="1" x14ac:dyDescent="0.25">
      <c r="A32" s="1180" t="s">
        <v>865</v>
      </c>
      <c r="B32" s="1180"/>
      <c r="C32" s="1181">
        <v>16</v>
      </c>
      <c r="D32" s="1181"/>
      <c r="E32" s="1181"/>
      <c r="F32" s="1182">
        <f t="shared" ref="F32:N32" si="4">+F31</f>
        <v>242000</v>
      </c>
      <c r="G32" s="1182">
        <f t="shared" si="4"/>
        <v>0</v>
      </c>
      <c r="H32" s="1182">
        <f t="shared" si="4"/>
        <v>242000</v>
      </c>
      <c r="I32" s="1182">
        <f t="shared" si="4"/>
        <v>0</v>
      </c>
      <c r="J32" s="1182">
        <f t="shared" si="4"/>
        <v>4195.88</v>
      </c>
      <c r="K32" s="1182">
        <f t="shared" si="4"/>
        <v>0</v>
      </c>
      <c r="L32" s="1182">
        <f t="shared" si="4"/>
        <v>0</v>
      </c>
      <c r="M32" s="1182">
        <f t="shared" si="4"/>
        <v>4195.88</v>
      </c>
      <c r="N32" s="1182">
        <f t="shared" si="4"/>
        <v>237804.12</v>
      </c>
    </row>
    <row r="33" spans="1:14" s="259" customFormat="1" ht="19.5" customHeight="1" x14ac:dyDescent="0.25">
      <c r="A33" s="752"/>
      <c r="B33" s="752"/>
      <c r="C33" s="753"/>
      <c r="D33" s="753"/>
      <c r="E33" s="753"/>
      <c r="F33" s="754"/>
      <c r="G33" s="755"/>
      <c r="H33" s="754"/>
      <c r="I33" s="755"/>
      <c r="J33" s="754"/>
      <c r="K33" s="755"/>
      <c r="L33" s="755"/>
      <c r="M33" s="754"/>
      <c r="N33" s="756"/>
    </row>
    <row r="34" spans="1:14" s="259" customFormat="1" ht="19.5" customHeight="1" x14ac:dyDescent="0.25">
      <c r="A34" s="752"/>
      <c r="B34" s="752"/>
      <c r="C34" s="753"/>
      <c r="D34" s="753"/>
      <c r="E34" s="753"/>
      <c r="F34" s="754"/>
      <c r="G34" s="755"/>
      <c r="H34" s="754"/>
      <c r="I34" s="755"/>
      <c r="J34" s="754"/>
      <c r="K34" s="755"/>
      <c r="L34" s="755"/>
      <c r="M34" s="754"/>
      <c r="N34" s="756"/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0.7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hidden="1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4.2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hidden="1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7.2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hidden="1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6.7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5.7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9.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9.5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19.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9.5" customHeight="1" x14ac:dyDescent="0.25">
      <c r="A49" s="542"/>
      <c r="B49" s="542"/>
      <c r="C49" s="542"/>
      <c r="D49" s="753"/>
      <c r="E49" s="753"/>
      <c r="F49" s="754"/>
      <c r="G49" s="755"/>
      <c r="H49" s="674"/>
      <c r="I49" s="674"/>
      <c r="J49" s="674"/>
      <c r="K49" s="674"/>
      <c r="L49" s="674"/>
      <c r="M49" s="674"/>
      <c r="N49" s="756"/>
    </row>
    <row r="50" spans="1:14" s="259" customFormat="1" ht="19.5" customHeight="1" x14ac:dyDescent="0.25">
      <c r="A50" s="1690" t="s">
        <v>1269</v>
      </c>
      <c r="B50" s="1690"/>
      <c r="C50" s="1690"/>
      <c r="D50" s="753"/>
      <c r="E50" s="753"/>
      <c r="F50" s="754"/>
      <c r="G50" s="755"/>
      <c r="I50" s="1691" t="s">
        <v>852</v>
      </c>
      <c r="J50" s="1691"/>
      <c r="K50" s="1691"/>
      <c r="L50" s="1691"/>
      <c r="M50" s="1691"/>
      <c r="N50" s="1691"/>
    </row>
    <row r="51" spans="1:14" s="259" customFormat="1" ht="19.5" customHeight="1" x14ac:dyDescent="0.25">
      <c r="A51" s="1628" t="s">
        <v>1270</v>
      </c>
      <c r="B51" s="1628"/>
      <c r="C51" s="1628"/>
      <c r="D51" s="753"/>
      <c r="E51" s="753"/>
      <c r="F51" s="754"/>
      <c r="G51" s="755"/>
      <c r="I51" s="1692" t="s">
        <v>1505</v>
      </c>
      <c r="J51" s="1692"/>
      <c r="K51" s="1692"/>
      <c r="L51" s="1692"/>
      <c r="M51" s="1692"/>
      <c r="N51" s="1692"/>
    </row>
    <row r="52" spans="1:14" ht="16.5" customHeight="1" x14ac:dyDescent="0.25">
      <c r="A52" s="546"/>
      <c r="B52" s="546"/>
      <c r="C52" s="546"/>
      <c r="D52" s="259"/>
      <c r="E52" s="259"/>
      <c r="F52" s="259"/>
      <c r="G52" s="259"/>
      <c r="H52" s="259"/>
      <c r="I52" s="259"/>
      <c r="J52" s="259"/>
      <c r="K52" s="259"/>
      <c r="L52" s="259"/>
      <c r="M52" s="259"/>
      <c r="N52" s="667"/>
    </row>
    <row r="53" spans="1:14" ht="16.5" customHeight="1" x14ac:dyDescent="0.25">
      <c r="A53" s="546"/>
      <c r="B53" s="546"/>
      <c r="C53" s="546"/>
      <c r="D53" s="259"/>
      <c r="E53" s="259"/>
      <c r="F53" s="259"/>
      <c r="G53" s="259"/>
      <c r="H53" s="259"/>
      <c r="I53" s="259"/>
      <c r="J53" s="259"/>
      <c r="K53" s="259"/>
      <c r="L53" s="259"/>
      <c r="M53" s="259"/>
      <c r="N53" s="667"/>
    </row>
    <row r="54" spans="1:14" ht="16.5" customHeight="1" x14ac:dyDescent="0.25">
      <c r="A54" s="546"/>
      <c r="B54" s="546"/>
      <c r="C54" s="546"/>
      <c r="D54" s="259"/>
      <c r="E54" s="259"/>
      <c r="F54" s="259"/>
      <c r="G54" s="259"/>
      <c r="H54" s="259"/>
      <c r="I54" s="259"/>
      <c r="J54" s="259"/>
      <c r="K54" s="259"/>
      <c r="L54" s="259"/>
      <c r="M54" s="259"/>
      <c r="N54" s="667"/>
    </row>
    <row r="55" spans="1:14" ht="16.5" customHeight="1" x14ac:dyDescent="0.25">
      <c r="A55" s="546"/>
      <c r="B55" s="546"/>
      <c r="C55" s="546"/>
      <c r="D55" s="259"/>
      <c r="E55" s="259"/>
      <c r="F55" s="259"/>
      <c r="G55" s="259"/>
      <c r="H55" s="259"/>
      <c r="I55" s="259"/>
      <c r="J55" s="259"/>
      <c r="K55" s="259"/>
      <c r="L55" s="259"/>
      <c r="M55" s="259"/>
      <c r="N55" s="667"/>
    </row>
    <row r="56" spans="1:14" ht="158.25" customHeight="1" x14ac:dyDescent="0.25">
      <c r="A56" s="546"/>
      <c r="B56" s="546"/>
      <c r="C56" s="546"/>
      <c r="D56" s="259"/>
      <c r="E56" s="259"/>
      <c r="F56" s="259"/>
      <c r="G56" s="259"/>
      <c r="H56" s="259"/>
      <c r="I56" s="259"/>
      <c r="J56" s="259"/>
      <c r="K56" s="259"/>
      <c r="L56" s="259"/>
      <c r="M56" s="259"/>
      <c r="N56" s="667"/>
    </row>
    <row r="57" spans="1:14" ht="16.5" customHeight="1" x14ac:dyDescent="0.25">
      <c r="A57" s="546"/>
      <c r="B57" s="546"/>
      <c r="C57" s="546"/>
      <c r="D57" s="259"/>
      <c r="E57" s="259"/>
      <c r="F57" s="259"/>
      <c r="G57" s="259"/>
      <c r="H57" s="259"/>
      <c r="I57" s="259"/>
      <c r="J57" s="259"/>
      <c r="K57" s="259"/>
      <c r="L57" s="259"/>
      <c r="M57" s="259"/>
      <c r="N57" s="667"/>
    </row>
    <row r="58" spans="1:14" ht="19.5" customHeight="1" x14ac:dyDescent="0.25">
      <c r="A58" s="537"/>
      <c r="B58" s="542"/>
      <c r="C58" s="537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</row>
    <row r="59" spans="1:14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</row>
    <row r="60" spans="1:14" x14ac:dyDescent="0.25">
      <c r="D60" s="543"/>
      <c r="E60" s="543"/>
      <c r="F60" s="544"/>
      <c r="G60" s="545"/>
      <c r="N60" s="544"/>
    </row>
    <row r="61" spans="1:14" x14ac:dyDescent="0.25">
      <c r="D61" s="538"/>
      <c r="E61" s="537"/>
      <c r="F61" s="537"/>
      <c r="G61" s="537"/>
      <c r="N61" s="539"/>
    </row>
    <row r="62" spans="1:14" x14ac:dyDescent="0.25">
      <c r="D62" s="537"/>
      <c r="E62" s="537"/>
      <c r="F62" s="537"/>
      <c r="G62" s="540"/>
      <c r="N62" s="537"/>
    </row>
    <row r="63" spans="1:14" x14ac:dyDescent="0.25">
      <c r="D63" s="547"/>
      <c r="E63" s="546"/>
      <c r="F63" s="541"/>
      <c r="G63" s="540"/>
      <c r="H63" s="537"/>
      <c r="I63" s="1629"/>
      <c r="J63" s="1629"/>
      <c r="K63" s="1629"/>
      <c r="L63" s="1629"/>
      <c r="M63" s="1629"/>
      <c r="N63" s="1629"/>
    </row>
    <row r="64" spans="1:14" ht="15.75" x14ac:dyDescent="0.25">
      <c r="A64" s="267"/>
      <c r="B64" s="267"/>
      <c r="C64" s="267"/>
      <c r="D64" s="268"/>
      <c r="E64" s="268"/>
      <c r="F64" s="269"/>
      <c r="G64" s="1549"/>
      <c r="H64" s="1549"/>
      <c r="I64" s="1549"/>
      <c r="J64" s="1549"/>
      <c r="K64" s="1549"/>
      <c r="L64" s="271"/>
      <c r="M64" s="271"/>
      <c r="N64" s="259"/>
    </row>
    <row r="65" spans="1:14" x14ac:dyDescent="0.25">
      <c r="B65" s="531"/>
      <c r="C65" s="259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</row>
    <row r="66" spans="1:14" x14ac:dyDescent="0.25">
      <c r="A66" s="259"/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</row>
  </sheetData>
  <mergeCells count="24">
    <mergeCell ref="I63:N63"/>
    <mergeCell ref="G64:K64"/>
    <mergeCell ref="M13:M14"/>
    <mergeCell ref="N13:N14"/>
    <mergeCell ref="A50:C50"/>
    <mergeCell ref="I50:N50"/>
    <mergeCell ref="A51:C51"/>
    <mergeCell ref="I51:N51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B351DE-1CE2-478D-904C-2970C8BFB193}">
  <sheetPr>
    <pageSetUpPr fitToPage="1"/>
  </sheetPr>
  <dimension ref="B5:N90"/>
  <sheetViews>
    <sheetView showGridLines="0" topLeftCell="A20" zoomScale="136" zoomScaleNormal="136" zoomScaleSheetLayoutView="100" workbookViewId="0">
      <selection activeCell="C50" sqref="C5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93" t="s">
        <v>0</v>
      </c>
      <c r="C5" s="1693"/>
      <c r="D5" s="1693"/>
      <c r="E5" s="1693"/>
      <c r="F5" s="1693"/>
      <c r="G5" s="1693"/>
      <c r="H5" s="1693"/>
      <c r="I5" s="1693"/>
      <c r="J5" s="1693"/>
      <c r="K5" s="1693"/>
      <c r="L5" s="1693"/>
      <c r="M5" s="1693"/>
    </row>
    <row r="6" spans="2:14" ht="13.5" customHeight="1" x14ac:dyDescent="0.25">
      <c r="B6" s="1693" t="s">
        <v>1</v>
      </c>
      <c r="C6" s="1693"/>
      <c r="D6" s="1693"/>
      <c r="E6" s="1693"/>
      <c r="F6" s="1693"/>
      <c r="G6" s="1693"/>
      <c r="H6" s="1693"/>
      <c r="I6" s="1693"/>
      <c r="J6" s="1693"/>
      <c r="K6" s="1693"/>
      <c r="L6" s="1693"/>
      <c r="M6" s="1693"/>
    </row>
    <row r="7" spans="2:14" ht="12" customHeight="1" x14ac:dyDescent="0.25">
      <c r="B7" s="1693" t="s">
        <v>3</v>
      </c>
      <c r="C7" s="1693"/>
      <c r="D7" s="1693"/>
      <c r="E7" s="1693"/>
      <c r="F7" s="1693"/>
      <c r="G7" s="1693"/>
      <c r="H7" s="1693"/>
      <c r="I7" s="1693"/>
      <c r="J7" s="1693"/>
      <c r="K7" s="1693"/>
      <c r="L7" s="1693"/>
      <c r="M7" s="1693"/>
    </row>
    <row r="8" spans="2:14" x14ac:dyDescent="0.25">
      <c r="B8" s="1693" t="s">
        <v>1560</v>
      </c>
      <c r="C8" s="1693"/>
      <c r="D8" s="1693"/>
      <c r="E8" s="1693"/>
      <c r="F8" s="1693"/>
      <c r="G8" s="1693"/>
      <c r="H8" s="1693"/>
      <c r="I8" s="1693"/>
      <c r="J8" s="1693"/>
      <c r="K8" s="1693"/>
      <c r="L8" s="1693"/>
      <c r="M8" s="1693"/>
    </row>
    <row r="9" spans="2:14" x14ac:dyDescent="0.25">
      <c r="B9" s="1694" t="s">
        <v>886</v>
      </c>
      <c r="C9" s="1694"/>
      <c r="D9" s="1694"/>
      <c r="E9" s="1694"/>
      <c r="F9" s="1694"/>
      <c r="G9" s="1694"/>
      <c r="H9" s="1694"/>
      <c r="I9" s="1694"/>
      <c r="J9" s="1694"/>
      <c r="K9" s="1694"/>
      <c r="L9" s="1694"/>
      <c r="M9" s="1694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726" t="s">
        <v>7</v>
      </c>
      <c r="C11" s="1726" t="s">
        <v>802</v>
      </c>
      <c r="D11" s="1728" t="s">
        <v>9</v>
      </c>
      <c r="E11" s="1046" t="s">
        <v>12</v>
      </c>
      <c r="F11" s="1730" t="s">
        <v>13</v>
      </c>
      <c r="G11" s="1724" t="s">
        <v>14</v>
      </c>
      <c r="H11" s="1724" t="s">
        <v>15</v>
      </c>
      <c r="I11" s="1724" t="s">
        <v>16</v>
      </c>
      <c r="J11" s="1724" t="s">
        <v>17</v>
      </c>
      <c r="K11" s="1724" t="s">
        <v>18</v>
      </c>
      <c r="L11" s="1724" t="s">
        <v>19</v>
      </c>
      <c r="M11" s="1724" t="s">
        <v>20</v>
      </c>
    </row>
    <row r="12" spans="2:14" ht="16.5" customHeight="1" x14ac:dyDescent="0.25">
      <c r="B12" s="1727"/>
      <c r="C12" s="1727"/>
      <c r="D12" s="1729"/>
      <c r="E12" s="1046" t="s">
        <v>21</v>
      </c>
      <c r="F12" s="1731"/>
      <c r="G12" s="1725"/>
      <c r="H12" s="1725"/>
      <c r="I12" s="1725"/>
      <c r="J12" s="1725"/>
      <c r="K12" s="1725"/>
      <c r="L12" s="1725"/>
      <c r="M12" s="1725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" si="4">+E42</f>
        <v>11500</v>
      </c>
      <c r="F43" s="937">
        <v>0</v>
      </c>
      <c r="G43" s="905">
        <f t="shared" ref="G43:J43" si="5">+G42</f>
        <v>11500</v>
      </c>
      <c r="H43" s="905">
        <f t="shared" si="5"/>
        <v>330.05</v>
      </c>
      <c r="I43" s="905">
        <f t="shared" si="5"/>
        <v>1623.06</v>
      </c>
      <c r="J43" s="905">
        <f t="shared" si="5"/>
        <v>349.6</v>
      </c>
      <c r="K43" s="937">
        <v>0</v>
      </c>
      <c r="L43" s="905">
        <f t="shared" ref="L43" si="6"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7">SUM(G46:G47)</f>
        <v>51500</v>
      </c>
      <c r="H48" s="905">
        <f t="shared" si="7"/>
        <v>1478.05</v>
      </c>
      <c r="I48" s="905">
        <f t="shared" si="7"/>
        <v>11032.06</v>
      </c>
      <c r="J48" s="905">
        <f t="shared" si="7"/>
        <v>1565.6</v>
      </c>
      <c r="K48" s="937">
        <v>0</v>
      </c>
      <c r="L48" s="905">
        <f t="shared" si="7"/>
        <v>14075.71</v>
      </c>
      <c r="M48" s="905">
        <f t="shared" si="7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 t="shared" ref="G52:J52" si="8">+G51</f>
        <v>11500</v>
      </c>
      <c r="H52" s="905">
        <f t="shared" si="8"/>
        <v>330.05</v>
      </c>
      <c r="I52" s="905">
        <f t="shared" si="8"/>
        <v>1623.06</v>
      </c>
      <c r="J52" s="905">
        <f t="shared" si="8"/>
        <v>349.6</v>
      </c>
      <c r="K52" s="937">
        <v>0</v>
      </c>
      <c r="L52" s="905">
        <f t="shared" ref="L52" si="9"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10">+E55</f>
        <v>40000</v>
      </c>
      <c r="F56" s="937">
        <v>0</v>
      </c>
      <c r="G56" s="905">
        <f t="shared" si="10"/>
        <v>40000</v>
      </c>
      <c r="H56" s="905">
        <f t="shared" si="10"/>
        <v>1148</v>
      </c>
      <c r="I56" s="905">
        <f t="shared" si="10"/>
        <v>9409</v>
      </c>
      <c r="J56" s="905">
        <f t="shared" si="10"/>
        <v>1216</v>
      </c>
      <c r="K56" s="937">
        <v>0</v>
      </c>
      <c r="L56" s="905">
        <f t="shared" si="10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696" t="s">
        <v>1372</v>
      </c>
      <c r="H78" s="1696"/>
      <c r="I78" s="1696"/>
      <c r="J78" s="1696"/>
      <c r="K78" s="1696"/>
      <c r="L78" s="1696"/>
    </row>
    <row r="79" spans="2:12" x14ac:dyDescent="0.25">
      <c r="B79" s="1083" t="s">
        <v>1238</v>
      </c>
      <c r="C79" s="1083"/>
      <c r="D79" s="921"/>
      <c r="E79" s="915"/>
      <c r="F79" s="915"/>
      <c r="G79" s="1702" t="s">
        <v>1222</v>
      </c>
      <c r="H79" s="1702"/>
      <c r="I79" s="1702"/>
      <c r="J79" s="1702"/>
      <c r="K79" s="1702"/>
      <c r="L79" s="1702"/>
    </row>
    <row r="80" spans="2:12" x14ac:dyDescent="0.25">
      <c r="B80" s="916" t="s">
        <v>1239</v>
      </c>
      <c r="C80" s="916"/>
      <c r="D80" s="915"/>
      <c r="E80" s="915"/>
      <c r="F80" s="923"/>
      <c r="G80" s="1701" t="s">
        <v>1224</v>
      </c>
      <c r="H80" s="1701"/>
      <c r="I80" s="1701"/>
      <c r="J80" s="1701"/>
      <c r="K80" s="1701"/>
      <c r="L80" s="1701"/>
    </row>
    <row r="84" spans="5:13" ht="30" customHeight="1" x14ac:dyDescent="0.25"/>
    <row r="88" spans="5:13" x14ac:dyDescent="0.25">
      <c r="E88" s="924"/>
      <c r="F88" s="923"/>
      <c r="G88" s="915"/>
      <c r="H88" s="1698"/>
      <c r="I88" s="1698"/>
      <c r="J88" s="1698"/>
      <c r="K88" s="1698"/>
      <c r="L88" s="1698"/>
      <c r="M88" s="1698"/>
    </row>
    <row r="89" spans="5:13" x14ac:dyDescent="0.25">
      <c r="E89" s="925"/>
      <c r="F89" s="1694"/>
      <c r="G89" s="1694"/>
      <c r="H89" s="1694"/>
      <c r="I89" s="1694"/>
      <c r="J89" s="1694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G78:L78"/>
    <mergeCell ref="G79:L79"/>
    <mergeCell ref="G80:L80"/>
    <mergeCell ref="H88:M88"/>
    <mergeCell ref="F89:J8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49" orientation="landscape" r:id="rId1"/>
  <drawing r:id="rId2"/>
</worksheet>
</file>

<file path=xl/worksheets/sheet3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6FF056-46BE-4639-8D15-EA176F1F332E}">
  <dimension ref="A6:M67"/>
  <sheetViews>
    <sheetView showGridLines="0" topLeftCell="B15" zoomScale="118" zoomScaleNormal="118" workbookViewId="0">
      <selection activeCell="E26" sqref="E26"/>
    </sheetView>
  </sheetViews>
  <sheetFormatPr baseColWidth="10" defaultRowHeight="15" x14ac:dyDescent="0.25"/>
  <cols>
    <col min="1" max="1" width="1.42578125" hidden="1" customWidth="1"/>
    <col min="2" max="2" width="61.8554687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51" t="s">
        <v>0</v>
      </c>
      <c r="C6" s="1551"/>
      <c r="D6" s="1551"/>
      <c r="E6" s="1551"/>
      <c r="F6" s="1551"/>
      <c r="G6" s="1551"/>
      <c r="H6" s="1551"/>
      <c r="I6" s="1551"/>
      <c r="J6" s="1551"/>
      <c r="K6" s="1551"/>
      <c r="L6" s="1551"/>
      <c r="M6" s="1551"/>
    </row>
    <row r="7" spans="2:13" x14ac:dyDescent="0.25">
      <c r="B7" s="1551" t="s">
        <v>1</v>
      </c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2:13" x14ac:dyDescent="0.25">
      <c r="B8" s="1551" t="s">
        <v>3</v>
      </c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2:13" x14ac:dyDescent="0.25">
      <c r="B9" s="1551" t="s">
        <v>1561</v>
      </c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2:13" x14ac:dyDescent="0.25">
      <c r="B10" s="1552" t="s">
        <v>1197</v>
      </c>
      <c r="C10" s="1552"/>
      <c r="D10" s="1552"/>
      <c r="E10" s="1552"/>
      <c r="F10" s="1552"/>
      <c r="G10" s="1552"/>
      <c r="H10" s="1552"/>
      <c r="I10" s="1552"/>
      <c r="J10" s="1552"/>
      <c r="K10" s="1552"/>
      <c r="L10" s="1552"/>
      <c r="M10" s="1552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712" t="s">
        <v>7</v>
      </c>
      <c r="C12" s="1709" t="s">
        <v>802</v>
      </c>
      <c r="D12" s="1709" t="s">
        <v>9</v>
      </c>
      <c r="E12" s="1067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2:13" ht="15" customHeight="1" x14ac:dyDescent="0.25">
      <c r="B13" s="1712"/>
      <c r="C13" s="1709"/>
      <c r="D13" s="1709"/>
      <c r="E13" s="1067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30.75" customHeight="1" x14ac:dyDescent="0.25">
      <c r="B26" s="1201" t="s">
        <v>1568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32.25" customHeight="1" x14ac:dyDescent="0.25">
      <c r="B27" s="459" t="s">
        <v>232</v>
      </c>
      <c r="C27" s="497" t="s">
        <v>807</v>
      </c>
      <c r="D27" s="766" t="s">
        <v>1569</v>
      </c>
      <c r="E27" s="468">
        <v>20000</v>
      </c>
      <c r="F27" s="456">
        <v>0</v>
      </c>
      <c r="G27" s="457">
        <v>20000</v>
      </c>
      <c r="H27" s="457">
        <v>574</v>
      </c>
      <c r="I27" s="457">
        <v>4704.5</v>
      </c>
      <c r="J27" s="457">
        <v>608</v>
      </c>
      <c r="K27" s="1111">
        <v>0</v>
      </c>
      <c r="L27" s="457">
        <f>SUM(H27:K27)</f>
        <v>5886.5</v>
      </c>
      <c r="M27" s="457">
        <f>+E27-L27</f>
        <v>14113.5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20000</v>
      </c>
      <c r="F28" s="464">
        <v>0</v>
      </c>
      <c r="G28" s="463">
        <v>20000</v>
      </c>
      <c r="H28" s="463">
        <v>574</v>
      </c>
      <c r="I28" s="463">
        <v>4704.5</v>
      </c>
      <c r="J28" s="463">
        <v>608</v>
      </c>
      <c r="K28" s="1112">
        <v>0</v>
      </c>
      <c r="L28" s="463">
        <f>SUM(H28:K28)</f>
        <v>5886.5</v>
      </c>
      <c r="M28" s="463">
        <f>+E28-L28</f>
        <v>14113.5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38" t="s">
        <v>1443</v>
      </c>
      <c r="C30" s="1110"/>
      <c r="D30" s="1109"/>
      <c r="E30" s="468"/>
      <c r="F30" s="456"/>
      <c r="G30" s="457"/>
      <c r="H30" s="457"/>
      <c r="I30" s="457"/>
      <c r="J30" s="457"/>
      <c r="K30" s="1111"/>
      <c r="L30" s="457"/>
      <c r="M30" s="457"/>
    </row>
    <row r="31" spans="2:13" s="5" customFormat="1" ht="15" customHeight="1" x14ac:dyDescent="0.25">
      <c r="B31" s="1108" t="s">
        <v>1077</v>
      </c>
      <c r="C31" s="1110" t="s">
        <v>806</v>
      </c>
      <c r="D31" s="1109" t="s">
        <v>1480</v>
      </c>
      <c r="E31" s="468">
        <v>45000</v>
      </c>
      <c r="F31" s="456">
        <v>0</v>
      </c>
      <c r="G31" s="457">
        <v>45000</v>
      </c>
      <c r="H31" s="457">
        <v>1291.5</v>
      </c>
      <c r="I31" s="457">
        <v>9545.69</v>
      </c>
      <c r="J31" s="457">
        <v>1368</v>
      </c>
      <c r="K31" s="1111">
        <v>0</v>
      </c>
      <c r="L31" s="457">
        <v>12205.19</v>
      </c>
      <c r="M31" s="457">
        <v>32794.81</v>
      </c>
    </row>
    <row r="32" spans="2:13" s="5" customFormat="1" ht="15" customHeight="1" x14ac:dyDescent="0.25">
      <c r="B32" s="1108"/>
      <c r="C32" s="1110"/>
      <c r="D32" s="1137">
        <v>1</v>
      </c>
      <c r="E32" s="697">
        <v>45000</v>
      </c>
      <c r="F32" s="464">
        <v>0</v>
      </c>
      <c r="G32" s="463">
        <v>45000</v>
      </c>
      <c r="H32" s="463">
        <v>1291.5</v>
      </c>
      <c r="I32" s="463">
        <v>9545.69</v>
      </c>
      <c r="J32" s="463">
        <v>1368</v>
      </c>
      <c r="K32" s="1112">
        <v>0</v>
      </c>
      <c r="L32" s="463">
        <v>12205.19</v>
      </c>
      <c r="M32" s="463">
        <v>32794.81</v>
      </c>
    </row>
    <row r="33" spans="2:13" s="5" customFormat="1" ht="15" customHeight="1" x14ac:dyDescent="0.25">
      <c r="B33" s="1138" t="s">
        <v>1434</v>
      </c>
      <c r="C33" s="1110"/>
      <c r="D33" s="1137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08" t="s">
        <v>159</v>
      </c>
      <c r="C34" s="1110" t="s">
        <v>807</v>
      </c>
      <c r="D34" s="1109" t="s">
        <v>1501</v>
      </c>
      <c r="E34" s="468">
        <v>11500</v>
      </c>
      <c r="F34" s="456">
        <v>0</v>
      </c>
      <c r="G34" s="457">
        <v>11500</v>
      </c>
      <c r="H34" s="457">
        <v>330.05</v>
      </c>
      <c r="I34" s="457">
        <v>1623.06</v>
      </c>
      <c r="J34" s="457">
        <v>349.6</v>
      </c>
      <c r="K34" s="1111">
        <v>0</v>
      </c>
      <c r="L34" s="457">
        <v>2302.71</v>
      </c>
      <c r="M34" s="457">
        <v>9197.2900000000009</v>
      </c>
    </row>
    <row r="35" spans="2:13" s="5" customFormat="1" ht="15" customHeight="1" x14ac:dyDescent="0.25">
      <c r="B35" s="1108"/>
      <c r="C35" s="1110"/>
      <c r="D35" s="1137">
        <v>1</v>
      </c>
      <c r="E35" s="697">
        <v>11500</v>
      </c>
      <c r="F35" s="464">
        <v>0</v>
      </c>
      <c r="G35" s="463">
        <v>11500</v>
      </c>
      <c r="H35" s="463">
        <v>330.05</v>
      </c>
      <c r="I35" s="463">
        <v>1623.06</v>
      </c>
      <c r="J35" s="463">
        <v>349.6</v>
      </c>
      <c r="K35" s="1112">
        <v>0</v>
      </c>
      <c r="L35" s="463">
        <v>2302.71</v>
      </c>
      <c r="M35" s="463">
        <v>9197.2900000000009</v>
      </c>
    </row>
    <row r="36" spans="2:13" s="5" customFormat="1" ht="15" customHeight="1" x14ac:dyDescent="0.25">
      <c r="B36" s="461"/>
      <c r="C36" s="461"/>
      <c r="D36" s="453"/>
      <c r="E36" s="697"/>
      <c r="F36" s="464"/>
      <c r="G36" s="463"/>
      <c r="H36" s="463"/>
      <c r="I36" s="463"/>
      <c r="J36" s="463"/>
      <c r="K36" s="1112"/>
      <c r="L36" s="463"/>
      <c r="M36" s="463"/>
    </row>
    <row r="37" spans="2:13" ht="15" customHeight="1" x14ac:dyDescent="0.25">
      <c r="B37" s="1052" t="s">
        <v>865</v>
      </c>
      <c r="C37" s="1063"/>
      <c r="D37" s="1064">
        <f>+D16+D20+D24+D32+D35+D28</f>
        <v>6</v>
      </c>
      <c r="E37" s="1065">
        <f>+E16+E20+E24+E32+E35+E27</f>
        <v>181500</v>
      </c>
      <c r="F37" s="1066">
        <v>0</v>
      </c>
      <c r="G37" s="1065">
        <f t="shared" ref="G37:M37" si="2">+G16+G20+G24+G32+G35+G27</f>
        <v>181500</v>
      </c>
      <c r="H37" s="1065">
        <f t="shared" si="2"/>
        <v>5209.05</v>
      </c>
      <c r="I37" s="1065">
        <f t="shared" si="2"/>
        <v>39532.439999999995</v>
      </c>
      <c r="J37" s="1065">
        <f t="shared" si="2"/>
        <v>5517.6</v>
      </c>
      <c r="K37" s="1114">
        <v>0</v>
      </c>
      <c r="L37" s="1065">
        <f t="shared" si="2"/>
        <v>50259.09</v>
      </c>
      <c r="M37" s="1065">
        <f t="shared" si="2"/>
        <v>131240.91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682" t="s">
        <v>1250</v>
      </c>
      <c r="H53" s="1682"/>
      <c r="I53" s="1682"/>
      <c r="J53" s="1682"/>
      <c r="K53" s="1682"/>
      <c r="L53" s="1682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627" t="s">
        <v>852</v>
      </c>
      <c r="H54" s="1627"/>
      <c r="I54" s="1627"/>
      <c r="J54" s="1627"/>
      <c r="K54" s="1627"/>
      <c r="L54" s="1627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628" t="s">
        <v>1506</v>
      </c>
      <c r="H55" s="1628"/>
      <c r="I55" s="1628"/>
      <c r="J55" s="1628"/>
      <c r="K55" s="1628"/>
      <c r="L55" s="1628"/>
      <c r="M55" s="537"/>
    </row>
    <row r="56" spans="2:13" x14ac:dyDescent="0.25">
      <c r="B56" s="546"/>
      <c r="C56" s="546"/>
      <c r="D56" s="547"/>
      <c r="E56" s="541"/>
      <c r="F56" s="540"/>
      <c r="G56" s="537"/>
      <c r="H56" s="1629"/>
      <c r="I56" s="1629"/>
      <c r="J56" s="1629"/>
      <c r="K56" s="1629"/>
      <c r="L56" s="1629"/>
      <c r="M56" s="1629"/>
    </row>
    <row r="57" spans="2:13" x14ac:dyDescent="0.25">
      <c r="B57" s="531"/>
      <c r="C57" s="531"/>
      <c r="D57" s="259"/>
      <c r="E57" s="1174"/>
      <c r="F57" s="1552"/>
      <c r="G57" s="1552"/>
      <c r="H57" s="1552"/>
      <c r="I57" s="1552"/>
      <c r="J57" s="1552"/>
      <c r="K57" s="1175"/>
      <c r="L57" s="1175"/>
      <c r="M57" s="259"/>
    </row>
    <row r="58" spans="2:13" ht="50.2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G53:L53"/>
    <mergeCell ref="G54:L54"/>
    <mergeCell ref="G55:L55"/>
    <mergeCell ref="H56:M56"/>
    <mergeCell ref="F57:J57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B30977-2EE6-459D-8EA3-50A9DC870896}">
  <dimension ref="A1:N45"/>
  <sheetViews>
    <sheetView zoomScaleNormal="100" workbookViewId="0">
      <selection activeCell="C23" sqref="C23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551" t="s">
        <v>0</v>
      </c>
      <c r="B6" s="1551"/>
      <c r="C6" s="1551"/>
      <c r="D6" s="1551"/>
      <c r="E6" s="1551"/>
      <c r="F6" s="1551"/>
      <c r="G6" s="1551"/>
      <c r="H6" s="1551"/>
      <c r="I6" s="1551"/>
      <c r="J6" s="1551"/>
      <c r="K6" s="1551"/>
      <c r="L6" s="1551"/>
      <c r="M6" s="1551"/>
      <c r="N6" s="259"/>
    </row>
    <row r="7" spans="1:14" x14ac:dyDescent="0.25">
      <c r="A7" s="1551" t="s">
        <v>1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  <c r="N7" s="259"/>
    </row>
    <row r="8" spans="1:14" x14ac:dyDescent="0.25">
      <c r="A8" s="1551" t="s">
        <v>3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  <c r="N8" s="259"/>
    </row>
    <row r="9" spans="1:14" x14ac:dyDescent="0.25">
      <c r="A9" s="1551" t="s">
        <v>1562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  <c r="N9" s="259"/>
    </row>
    <row r="10" spans="1:14" x14ac:dyDescent="0.25">
      <c r="A10" s="1637" t="s">
        <v>412</v>
      </c>
      <c r="B10" s="1637"/>
      <c r="C10" s="1637"/>
      <c r="D10" s="1637"/>
      <c r="E10" s="1637"/>
      <c r="F10" s="1637"/>
      <c r="G10" s="1637"/>
      <c r="H10" s="1637"/>
      <c r="I10" s="1637"/>
      <c r="J10" s="1637"/>
      <c r="K10" s="1637"/>
      <c r="L10" s="1637"/>
      <c r="M10" s="1637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712" t="s">
        <v>7</v>
      </c>
      <c r="B12" s="1709" t="s">
        <v>937</v>
      </c>
      <c r="C12" s="1709" t="s">
        <v>9</v>
      </c>
      <c r="D12" s="1067" t="s">
        <v>832</v>
      </c>
      <c r="E12" s="1721" t="s">
        <v>12</v>
      </c>
      <c r="F12" s="1720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12" t="s">
        <v>20</v>
      </c>
    </row>
    <row r="13" spans="1:14" x14ac:dyDescent="0.25">
      <c r="A13" s="1712"/>
      <c r="B13" s="1709"/>
      <c r="C13" s="1709"/>
      <c r="D13" s="1067" t="s">
        <v>21</v>
      </c>
      <c r="E13" s="1721" t="s">
        <v>21</v>
      </c>
      <c r="F13" s="1720"/>
      <c r="G13" s="1720"/>
      <c r="H13" s="1720"/>
      <c r="I13" s="1720"/>
      <c r="J13" s="1720"/>
      <c r="K13" s="1720"/>
      <c r="L13" s="1720"/>
      <c r="M13" s="1712"/>
    </row>
    <row r="14" spans="1:14" x14ac:dyDescent="0.25">
      <c r="A14" s="524" t="s">
        <v>839</v>
      </c>
      <c r="B14" s="634"/>
      <c r="C14" s="635"/>
      <c r="D14" s="453"/>
      <c r="E14" s="525"/>
      <c r="F14" s="526"/>
      <c r="G14" s="525"/>
      <c r="H14" s="525"/>
      <c r="I14" s="525"/>
      <c r="J14" s="525"/>
      <c r="K14" s="525"/>
      <c r="L14" s="525"/>
      <c r="M14" s="525"/>
    </row>
    <row r="15" spans="1:14" x14ac:dyDescent="0.25">
      <c r="A15" s="1132" t="s">
        <v>124</v>
      </c>
      <c r="B15" s="1133" t="s">
        <v>807</v>
      </c>
      <c r="C15" s="1134" t="s">
        <v>604</v>
      </c>
      <c r="D15" s="286" t="s">
        <v>848</v>
      </c>
      <c r="E15" s="1135">
        <v>70000</v>
      </c>
      <c r="F15" s="285">
        <v>0</v>
      </c>
      <c r="G15" s="1135">
        <v>70000</v>
      </c>
      <c r="H15" s="1135">
        <v>2009</v>
      </c>
      <c r="I15" s="285">
        <v>0</v>
      </c>
      <c r="J15" s="1135">
        <v>2128</v>
      </c>
      <c r="K15" s="1135">
        <v>3555.92</v>
      </c>
      <c r="L15" s="1135">
        <f>SUM(H15:K15)</f>
        <v>7692.92</v>
      </c>
      <c r="M15" s="1135">
        <f>+E15-L15</f>
        <v>62307.08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v>70000</v>
      </c>
      <c r="F16" s="526">
        <v>0</v>
      </c>
      <c r="G16" s="525">
        <v>70000</v>
      </c>
      <c r="H16" s="525">
        <v>2009</v>
      </c>
      <c r="I16" s="526">
        <v>0</v>
      </c>
      <c r="J16" s="525">
        <v>2128</v>
      </c>
      <c r="K16" s="525">
        <v>3555.92</v>
      </c>
      <c r="L16" s="525">
        <f>SUM(H16:K16)</f>
        <v>7692.92</v>
      </c>
      <c r="M16" s="525">
        <f>+E16-L16</f>
        <v>62307.08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ht="22.5" customHeight="1" x14ac:dyDescent="0.25">
      <c r="A18" s="1136" t="s">
        <v>865</v>
      </c>
      <c r="B18" s="1087"/>
      <c r="C18" s="1049">
        <v>1</v>
      </c>
      <c r="D18" s="1067"/>
      <c r="E18" s="1065">
        <v>70000</v>
      </c>
      <c r="F18" s="1105">
        <v>0</v>
      </c>
      <c r="G18" s="1065">
        <v>70000</v>
      </c>
      <c r="H18" s="1065">
        <v>2009</v>
      </c>
      <c r="I18" s="1105">
        <v>0</v>
      </c>
      <c r="J18" s="1065">
        <v>2128</v>
      </c>
      <c r="K18" s="1065">
        <v>3555.92</v>
      </c>
      <c r="L18" s="1065">
        <f>SUM(H18:K18)</f>
        <v>7692.92</v>
      </c>
      <c r="M18" s="1065">
        <f>+E18-L18</f>
        <v>62307.08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542" t="s">
        <v>1258</v>
      </c>
      <c r="B35" s="542"/>
      <c r="C35" s="542"/>
      <c r="D35" s="543"/>
      <c r="E35" s="543"/>
      <c r="F35" s="544"/>
      <c r="G35" s="545"/>
      <c r="H35" s="1626" t="s">
        <v>1225</v>
      </c>
      <c r="I35" s="1626"/>
      <c r="J35" s="1626"/>
      <c r="K35" s="1626"/>
      <c r="L35" s="1626"/>
      <c r="M35" s="1626"/>
      <c r="N35" s="544"/>
    </row>
    <row r="36" spans="1:14" x14ac:dyDescent="0.25">
      <c r="A36" s="546" t="s">
        <v>1444</v>
      </c>
      <c r="B36" s="546"/>
      <c r="C36" s="546"/>
      <c r="D36" s="538"/>
      <c r="E36" s="537"/>
      <c r="F36" s="537"/>
      <c r="G36" s="537"/>
      <c r="H36" s="1627" t="s">
        <v>852</v>
      </c>
      <c r="I36" s="1627"/>
      <c r="J36" s="1627"/>
      <c r="K36" s="1627"/>
      <c r="L36" s="1627"/>
      <c r="M36" s="1627"/>
      <c r="N36" s="539"/>
    </row>
    <row r="37" spans="1:14" x14ac:dyDescent="0.25">
      <c r="A37" s="542" t="s">
        <v>1230</v>
      </c>
      <c r="B37" s="542"/>
      <c r="C37" s="542"/>
      <c r="D37" s="537"/>
      <c r="E37" s="537"/>
      <c r="F37" s="537"/>
      <c r="G37" s="540"/>
      <c r="H37" s="1628" t="s">
        <v>1521</v>
      </c>
      <c r="I37" s="1628"/>
      <c r="J37" s="1628"/>
      <c r="K37" s="1628"/>
      <c r="L37" s="1628"/>
      <c r="M37" s="1628"/>
      <c r="N37" s="537"/>
    </row>
    <row r="38" spans="1:14" x14ac:dyDescent="0.25">
      <c r="A38" s="546"/>
      <c r="B38" s="546"/>
      <c r="C38" s="546"/>
      <c r="D38" s="547"/>
      <c r="E38" s="546"/>
      <c r="F38" s="541"/>
      <c r="G38" s="540"/>
      <c r="H38" s="537"/>
      <c r="I38" s="1629"/>
      <c r="J38" s="1629"/>
      <c r="K38" s="1629"/>
      <c r="L38" s="1629"/>
      <c r="M38" s="1629"/>
      <c r="N38" s="1629"/>
    </row>
    <row r="39" spans="1:14" ht="15.75" x14ac:dyDescent="0.25">
      <c r="A39" s="267"/>
      <c r="B39" s="267"/>
      <c r="C39" s="267"/>
      <c r="D39" s="268"/>
      <c r="E39" s="268"/>
      <c r="F39" s="269"/>
      <c r="G39" s="1549"/>
      <c r="H39" s="1549"/>
      <c r="I39" s="1549"/>
      <c r="J39" s="1549"/>
      <c r="K39" s="1549"/>
      <c r="L39" s="271"/>
      <c r="M39" s="271"/>
      <c r="N39" s="259"/>
    </row>
    <row r="40" spans="1:14" x14ac:dyDescent="0.25">
      <c r="A40" s="259"/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</row>
    <row r="41" spans="1:14" x14ac:dyDescent="0.25">
      <c r="A41" s="259"/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</row>
    <row r="42" spans="1:14" x14ac:dyDescent="0.25">
      <c r="A42" s="259"/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</row>
    <row r="43" spans="1:14" x14ac:dyDescent="0.25">
      <c r="A43" s="259"/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ht="48" customHeight="1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</sheetData>
  <mergeCells count="22">
    <mergeCell ref="M12:M13"/>
    <mergeCell ref="H35:M35"/>
    <mergeCell ref="H36:M36"/>
    <mergeCell ref="H37:M37"/>
    <mergeCell ref="I38:N38"/>
    <mergeCell ref="L12:L13"/>
    <mergeCell ref="G39:K39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4B2DAF-F072-4330-AA8B-1DE4E0F8C421}">
  <sheetPr>
    <pageSetUpPr fitToPage="1"/>
  </sheetPr>
  <dimension ref="A6:L38"/>
  <sheetViews>
    <sheetView showGridLines="0" topLeftCell="A4" zoomScale="118" zoomScaleNormal="118" workbookViewId="0">
      <selection activeCell="U32" sqref="U32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1563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1197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712" t="s">
        <v>7</v>
      </c>
      <c r="B12" s="1709" t="s">
        <v>802</v>
      </c>
      <c r="C12" s="1709" t="s">
        <v>10</v>
      </c>
      <c r="D12" s="1067" t="s">
        <v>12</v>
      </c>
      <c r="E12" s="1721" t="s">
        <v>13</v>
      </c>
      <c r="F12" s="1720" t="s">
        <v>14</v>
      </c>
      <c r="G12" s="1720" t="s">
        <v>15</v>
      </c>
      <c r="H12" s="1720" t="s">
        <v>16</v>
      </c>
      <c r="I12" s="1720" t="s">
        <v>17</v>
      </c>
      <c r="J12" s="1720" t="s">
        <v>18</v>
      </c>
      <c r="K12" s="1720" t="s">
        <v>19</v>
      </c>
      <c r="L12" s="1720" t="s">
        <v>20</v>
      </c>
    </row>
    <row r="13" spans="1:12" ht="15" customHeight="1" x14ac:dyDescent="0.25">
      <c r="A13" s="1712"/>
      <c r="B13" s="1709"/>
      <c r="C13" s="1709"/>
      <c r="D13" s="1067" t="s">
        <v>21</v>
      </c>
      <c r="E13" s="1721"/>
      <c r="F13" s="1720"/>
      <c r="G13" s="1720"/>
      <c r="H13" s="1720"/>
      <c r="I13" s="1720"/>
      <c r="J13" s="1720"/>
      <c r="K13" s="1720"/>
      <c r="L13" s="1720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682" t="s">
        <v>1255</v>
      </c>
      <c r="G32" s="1682"/>
      <c r="H32" s="1682"/>
      <c r="I32" s="1682"/>
      <c r="J32" s="1682"/>
      <c r="K32" s="1682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627" t="s">
        <v>852</v>
      </c>
      <c r="G33" s="1627"/>
      <c r="H33" s="1627"/>
      <c r="I33" s="1627"/>
      <c r="J33" s="1627"/>
      <c r="K33" s="1627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628" t="s">
        <v>1506</v>
      </c>
      <c r="G34" s="1628"/>
      <c r="H34" s="1628"/>
      <c r="I34" s="1628"/>
      <c r="J34" s="1628"/>
      <c r="K34" s="1628"/>
      <c r="L34" s="537"/>
    </row>
    <row r="35" spans="1:12" x14ac:dyDescent="0.25">
      <c r="A35" s="546"/>
      <c r="B35" s="546"/>
      <c r="C35" s="547"/>
      <c r="D35" s="541"/>
      <c r="E35" s="540"/>
      <c r="F35" s="537"/>
      <c r="G35" s="1629"/>
      <c r="H35" s="1629"/>
      <c r="I35" s="1629"/>
      <c r="J35" s="1629"/>
      <c r="K35" s="1629"/>
      <c r="L35" s="1629"/>
    </row>
    <row r="36" spans="1:12" ht="15.75" x14ac:dyDescent="0.25">
      <c r="A36" s="267"/>
      <c r="B36" s="267"/>
      <c r="C36" s="268"/>
      <c r="D36" s="269"/>
      <c r="E36" s="1549"/>
      <c r="F36" s="1549"/>
      <c r="G36" s="1549"/>
      <c r="H36" s="1549"/>
      <c r="I36" s="1549"/>
      <c r="J36" s="271"/>
      <c r="K36" s="271"/>
      <c r="L36" s="259"/>
    </row>
    <row r="37" spans="1:12" x14ac:dyDescent="0.25">
      <c r="D37" t="s">
        <v>641</v>
      </c>
    </row>
    <row r="38" spans="1:12" ht="63" customHeight="1" x14ac:dyDescent="0.25"/>
  </sheetData>
  <mergeCells count="21">
    <mergeCell ref="F32:K32"/>
    <mergeCell ref="F33:K33"/>
    <mergeCell ref="F34:K34"/>
    <mergeCell ref="G35:L35"/>
    <mergeCell ref="E36:I36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B8CD0A-4496-42D1-AE69-27A7F559F1F3}">
  <sheetPr>
    <pageSetUpPr fitToPage="1"/>
  </sheetPr>
  <dimension ref="A1:N275"/>
  <sheetViews>
    <sheetView showGridLines="0" view="pageBreakPreview" zoomScale="60" zoomScaleNormal="73" workbookViewId="0">
      <selection activeCell="A6" sqref="A6:XFD6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685" t="s">
        <v>1502</v>
      </c>
      <c r="B6" s="1685"/>
      <c r="C6" s="1685"/>
      <c r="D6" s="1685"/>
      <c r="E6" s="1685"/>
      <c r="F6" s="1685"/>
      <c r="G6" s="1685"/>
      <c r="H6" s="1685"/>
      <c r="I6" s="1685"/>
      <c r="J6" s="1685"/>
      <c r="K6" s="1685"/>
      <c r="L6" s="1685"/>
      <c r="M6" s="1685"/>
    </row>
    <row r="7" spans="1:14" ht="0.75" customHeight="1" x14ac:dyDescent="0.25">
      <c r="A7" s="1685"/>
      <c r="B7" s="1685"/>
      <c r="C7" s="1685"/>
      <c r="D7" s="1685"/>
      <c r="E7" s="1685"/>
      <c r="F7" s="1685"/>
      <c r="G7" s="1685"/>
      <c r="H7" s="1685"/>
      <c r="I7" s="1685"/>
      <c r="J7" s="1685"/>
      <c r="K7" s="1685"/>
      <c r="L7" s="1685"/>
      <c r="M7" s="1685"/>
      <c r="N7" s="1685"/>
    </row>
    <row r="8" spans="1:14" ht="15.75" x14ac:dyDescent="0.25">
      <c r="A8" s="1685" t="s">
        <v>1460</v>
      </c>
      <c r="B8" s="1685"/>
      <c r="C8" s="1685"/>
      <c r="D8" s="1685"/>
      <c r="E8" s="1685"/>
      <c r="F8" s="1685"/>
      <c r="G8" s="1685"/>
      <c r="H8" s="1685"/>
      <c r="I8" s="1685"/>
      <c r="J8" s="1685"/>
      <c r="K8" s="1685"/>
      <c r="L8" s="1685"/>
      <c r="M8" s="1685"/>
    </row>
    <row r="9" spans="1:14" ht="15.75" x14ac:dyDescent="0.25">
      <c r="A9" s="1685" t="s">
        <v>1644</v>
      </c>
      <c r="B9" s="1685"/>
      <c r="C9" s="1685"/>
      <c r="D9" s="1685"/>
      <c r="E9" s="1685"/>
      <c r="F9" s="1685"/>
      <c r="G9" s="1685"/>
      <c r="H9" s="1685"/>
      <c r="I9" s="1685"/>
      <c r="J9" s="1685"/>
      <c r="K9" s="1685"/>
      <c r="L9" s="1685"/>
      <c r="M9" s="1685"/>
    </row>
    <row r="10" spans="1:14" ht="15.75" x14ac:dyDescent="0.25">
      <c r="A10" s="1706" t="s">
        <v>404</v>
      </c>
      <c r="B10" s="1706"/>
      <c r="C10" s="1706"/>
      <c r="D10" s="1706"/>
      <c r="E10" s="1706"/>
      <c r="F10" s="1706"/>
      <c r="G10" s="1706"/>
      <c r="H10" s="1706"/>
      <c r="I10" s="1706"/>
      <c r="J10" s="1706"/>
      <c r="K10" s="1706"/>
      <c r="L10" s="1706"/>
      <c r="M10" s="1706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707" t="s">
        <v>7</v>
      </c>
      <c r="B12" s="1707" t="s">
        <v>802</v>
      </c>
      <c r="C12" s="1707" t="s">
        <v>9</v>
      </c>
      <c r="D12" s="1707" t="s">
        <v>11</v>
      </c>
      <c r="E12" s="1057" t="s">
        <v>12</v>
      </c>
      <c r="F12" s="1704" t="s">
        <v>13</v>
      </c>
      <c r="G12" s="1705" t="s">
        <v>14</v>
      </c>
      <c r="H12" s="1705" t="s">
        <v>15</v>
      </c>
      <c r="I12" s="1723" t="s">
        <v>16</v>
      </c>
      <c r="J12" s="1723" t="s">
        <v>17</v>
      </c>
      <c r="K12" s="1723" t="s">
        <v>18</v>
      </c>
      <c r="L12" s="1723" t="s">
        <v>19</v>
      </c>
      <c r="M12" s="1705" t="s">
        <v>20</v>
      </c>
    </row>
    <row r="13" spans="1:14" ht="15.75" x14ac:dyDescent="0.25">
      <c r="A13" s="1707"/>
      <c r="B13" s="1707"/>
      <c r="C13" s="1707"/>
      <c r="D13" s="1707"/>
      <c r="E13" s="1057" t="s">
        <v>21</v>
      </c>
      <c r="F13" s="1704"/>
      <c r="G13" s="1705"/>
      <c r="H13" s="1705"/>
      <c r="I13" s="1723"/>
      <c r="J13" s="1723"/>
      <c r="K13" s="1723"/>
      <c r="L13" s="1723"/>
      <c r="M13" s="1705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1645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1646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1647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5948.66</v>
      </c>
      <c r="L17" s="951">
        <f>SUM(H17:K17)</f>
        <v>31936.05</v>
      </c>
      <c r="M17" s="953">
        <f>+G17-L17</f>
        <v>98063.95</v>
      </c>
    </row>
    <row r="18" spans="1:13" ht="18.75" x14ac:dyDescent="0.3">
      <c r="A18" s="955" t="s">
        <v>1648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14312.46</v>
      </c>
      <c r="L19" s="963">
        <f>SUM(L15:L18)</f>
        <v>161844.87</v>
      </c>
      <c r="M19" s="965">
        <f>SUM(M15:M18)</f>
        <v>498155.13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1732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1649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1650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1643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1651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6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1555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1652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>SUM(E29:E29)</f>
        <v>43500</v>
      </c>
      <c r="F30" s="964">
        <f t="shared" ref="F30:L30" si="3">SUM(F29:F29)</f>
        <v>0</v>
      </c>
      <c r="G30" s="965">
        <f t="shared" si="3"/>
        <v>43500</v>
      </c>
      <c r="H30" s="1177">
        <f t="shared" si="3"/>
        <v>1248.45</v>
      </c>
      <c r="I30" s="966">
        <f t="shared" si="3"/>
        <v>936.62</v>
      </c>
      <c r="J30" s="963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1653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8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4"/>
        <v>4990.6100000000006</v>
      </c>
      <c r="M34" s="953">
        <f t="shared" ref="M34:M38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1654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 t="shared" si="4"/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6</v>
      </c>
      <c r="D39" s="962"/>
      <c r="E39" s="963">
        <f>SUM(E33:E38)</f>
        <v>414000</v>
      </c>
      <c r="F39" s="1071">
        <v>0</v>
      </c>
      <c r="G39" s="963">
        <f t="shared" ref="G39:M39" si="6">SUM(G33:G38)</f>
        <v>414000</v>
      </c>
      <c r="H39" s="966">
        <f t="shared" si="6"/>
        <v>11881.800000000001</v>
      </c>
      <c r="I39" s="966">
        <f t="shared" si="6"/>
        <v>36861.740000000005</v>
      </c>
      <c r="J39" s="963">
        <f t="shared" si="6"/>
        <v>12585.599999999999</v>
      </c>
      <c r="K39" s="963">
        <f t="shared" si="6"/>
        <v>7111.84</v>
      </c>
      <c r="L39" s="963">
        <f t="shared" si="6"/>
        <v>68440.98000000001</v>
      </c>
      <c r="M39" s="963">
        <f t="shared" si="6"/>
        <v>345559.01999999996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L43" si="7">SUM(H42)</f>
        <v>2152.5</v>
      </c>
      <c r="I43" s="966">
        <f t="shared" si="7"/>
        <v>6309.38</v>
      </c>
      <c r="J43" s="963">
        <f t="shared" si="7"/>
        <v>2280</v>
      </c>
      <c r="K43" s="963">
        <f t="shared" si="7"/>
        <v>25</v>
      </c>
      <c r="L43" s="963">
        <f t="shared" si="7"/>
        <v>10766.880000000001</v>
      </c>
      <c r="M43" s="965">
        <f>SUM(M42)</f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8">SUM(F46:F47)</f>
        <v>0</v>
      </c>
      <c r="G48" s="965">
        <f t="shared" si="8"/>
        <v>73500</v>
      </c>
      <c r="H48" s="966">
        <f t="shared" si="8"/>
        <v>2109.4499999999998</v>
      </c>
      <c r="I48" s="1192">
        <f t="shared" si="8"/>
        <v>936.62</v>
      </c>
      <c r="J48" s="963">
        <f t="shared" si="8"/>
        <v>2234.4</v>
      </c>
      <c r="K48" s="963">
        <f t="shared" si="8"/>
        <v>1765.46</v>
      </c>
      <c r="L48" s="963">
        <f t="shared" si="8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4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230" t="s">
        <v>749</v>
      </c>
      <c r="B53" s="1231"/>
      <c r="C53" s="1232">
        <v>2</v>
      </c>
      <c r="D53" s="1232"/>
      <c r="E53" s="1233">
        <f>SUM(E51:E52)</f>
        <v>78500</v>
      </c>
      <c r="F53" s="964">
        <v>0</v>
      </c>
      <c r="G53" s="1233">
        <f t="shared" ref="G53:M53" si="9">SUM(G51:G52)</f>
        <v>78500</v>
      </c>
      <c r="H53" s="1233">
        <f t="shared" si="9"/>
        <v>2252.9499999999998</v>
      </c>
      <c r="I53" s="1233">
        <f t="shared" si="9"/>
        <v>936.62</v>
      </c>
      <c r="J53" s="1233">
        <f t="shared" si="9"/>
        <v>2386.4</v>
      </c>
      <c r="K53" s="1233">
        <f t="shared" si="9"/>
        <v>1321.7</v>
      </c>
      <c r="L53" s="1233">
        <f t="shared" si="9"/>
        <v>6897.67</v>
      </c>
      <c r="M53" s="1233">
        <f t="shared" si="9"/>
        <v>71602.33</v>
      </c>
    </row>
    <row r="54" spans="1:13" ht="23.25" customHeight="1" x14ac:dyDescent="0.25">
      <c r="A54" s="153"/>
      <c r="B54" s="153"/>
      <c r="C54" s="153"/>
      <c r="D54" s="153"/>
      <c r="E54" s="153"/>
      <c r="F54" s="153"/>
      <c r="G54" s="153"/>
      <c r="H54" s="153"/>
      <c r="I54" s="1234"/>
      <c r="J54" s="153"/>
      <c r="K54" s="153"/>
      <c r="L54" s="153"/>
      <c r="M54" s="153"/>
    </row>
    <row r="55" spans="1:13" ht="18.75" x14ac:dyDescent="0.3">
      <c r="A55" s="1235" t="s">
        <v>1145</v>
      </c>
      <c r="B55" s="1236"/>
      <c r="C55" s="1237"/>
      <c r="D55" s="1237"/>
      <c r="E55" s="1238"/>
      <c r="F55" s="1239"/>
      <c r="G55" s="1240"/>
      <c r="H55" s="1240"/>
      <c r="I55" s="1241"/>
      <c r="J55" s="1238"/>
      <c r="K55" s="1238"/>
      <c r="L55" s="1238"/>
      <c r="M55" s="1240"/>
    </row>
    <row r="56" spans="1:13" s="259" customFormat="1" ht="18.75" x14ac:dyDescent="0.3">
      <c r="A56" s="1258" t="s">
        <v>1143</v>
      </c>
      <c r="B56" s="1256" t="s">
        <v>807</v>
      </c>
      <c r="C56" s="1257" t="s">
        <v>276</v>
      </c>
      <c r="D56" s="1257" t="s">
        <v>307</v>
      </c>
      <c r="E56" s="954">
        <v>43500</v>
      </c>
      <c r="F56" s="1191">
        <v>0</v>
      </c>
      <c r="G56" s="954">
        <v>43500</v>
      </c>
      <c r="H56" s="954">
        <v>1248.45</v>
      </c>
      <c r="I56" s="1191">
        <v>936.62</v>
      </c>
      <c r="J56" s="954">
        <v>1322.4</v>
      </c>
      <c r="K56" s="954">
        <v>25</v>
      </c>
      <c r="L56" s="954">
        <f>+H56+I56+J56+K56</f>
        <v>3532.4700000000003</v>
      </c>
      <c r="M56" s="954">
        <f>+G56-L56</f>
        <v>39967.53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1658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1071">
        <v>0</v>
      </c>
      <c r="G59" s="963">
        <f t="shared" ref="G59:M59" si="11">SUM(G56:G58)</f>
        <v>118500</v>
      </c>
      <c r="H59" s="963">
        <f t="shared" si="11"/>
        <v>3400.95</v>
      </c>
      <c r="I59" s="963">
        <f t="shared" si="11"/>
        <v>1116.24</v>
      </c>
      <c r="J59" s="963">
        <f t="shared" si="11"/>
        <v>3602.4</v>
      </c>
      <c r="K59" s="963">
        <f t="shared" si="11"/>
        <v>1004.5</v>
      </c>
      <c r="L59" s="963">
        <f t="shared" si="11"/>
        <v>9124.09</v>
      </c>
      <c r="M59" s="963">
        <f t="shared" si="11"/>
        <v>109375.91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s="259" customFormat="1" ht="18.75" x14ac:dyDescent="0.3">
      <c r="A64" s="1255" t="s">
        <v>1659</v>
      </c>
      <c r="B64" s="1256" t="s">
        <v>806</v>
      </c>
      <c r="C64" s="1257" t="s">
        <v>1461</v>
      </c>
      <c r="D64" s="1257" t="s">
        <v>1067</v>
      </c>
      <c r="E64" s="954">
        <v>30000</v>
      </c>
      <c r="F64" s="1191">
        <v>0</v>
      </c>
      <c r="G64" s="954">
        <v>30000</v>
      </c>
      <c r="H64" s="954">
        <v>861</v>
      </c>
      <c r="I64" s="1191">
        <v>0</v>
      </c>
      <c r="J64" s="954">
        <v>912</v>
      </c>
      <c r="K64" s="954">
        <v>6341.6</v>
      </c>
      <c r="L64" s="954">
        <f t="shared" si="12"/>
        <v>8114.6</v>
      </c>
      <c r="M64" s="954">
        <f t="shared" ref="M64:M73" si="13">+G64-L64</f>
        <v>21885.4</v>
      </c>
    </row>
    <row r="65" spans="1:13" ht="18.75" x14ac:dyDescent="0.3">
      <c r="A65" s="958" t="s">
        <v>1660</v>
      </c>
      <c r="B65" s="950" t="s">
        <v>806</v>
      </c>
      <c r="C65" s="960" t="s">
        <v>1461</v>
      </c>
      <c r="D65" s="960" t="s">
        <v>1067</v>
      </c>
      <c r="E65" s="951">
        <v>30000</v>
      </c>
      <c r="F65" s="974">
        <v>0</v>
      </c>
      <c r="G65" s="951">
        <v>30000</v>
      </c>
      <c r="H65" s="953">
        <v>861</v>
      </c>
      <c r="I65" s="1191">
        <v>0</v>
      </c>
      <c r="J65" s="951">
        <v>912</v>
      </c>
      <c r="K65" s="951">
        <v>25</v>
      </c>
      <c r="L65" s="951">
        <f>+H65+I65+J65+K65</f>
        <v>1798</v>
      </c>
      <c r="M65" s="953">
        <f>+G65-L65</f>
        <v>28202</v>
      </c>
    </row>
    <row r="66" spans="1:13" ht="18.75" x14ac:dyDescent="0.3">
      <c r="A66" s="958" t="s">
        <v>99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1191">
        <v>0</v>
      </c>
      <c r="J66" s="951">
        <v>912</v>
      </c>
      <c r="K66" s="951">
        <v>125</v>
      </c>
      <c r="L66" s="951">
        <f>+H66+I66+J66+K66</f>
        <v>1898</v>
      </c>
      <c r="M66" s="953">
        <f>+G66-L66</f>
        <v>28102</v>
      </c>
    </row>
    <row r="67" spans="1:13" ht="18.75" x14ac:dyDescent="0.3">
      <c r="A67" s="958" t="s">
        <v>1661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5" t="s">
        <v>1662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1663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2"/>
        <v>4341.3999999999996</v>
      </c>
      <c r="M69" s="953">
        <f t="shared" si="13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1664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4">SUM(G62:G73)</f>
        <v>387000</v>
      </c>
      <c r="H74" s="966">
        <f t="shared" si="14"/>
        <v>11106.9</v>
      </c>
      <c r="I74" s="966">
        <f t="shared" si="14"/>
        <v>1873.24</v>
      </c>
      <c r="J74" s="963">
        <f t="shared" si="14"/>
        <v>11764.8</v>
      </c>
      <c r="K74" s="963">
        <f t="shared" si="14"/>
        <v>9260</v>
      </c>
      <c r="L74" s="963">
        <f t="shared" si="14"/>
        <v>34004.94</v>
      </c>
      <c r="M74" s="963">
        <f t="shared" si="14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1665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1666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5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5"/>
        <v>1602.5</v>
      </c>
      <c r="M78" s="953">
        <f t="shared" ref="M78:M88" si="16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5"/>
        <v>2205.5</v>
      </c>
      <c r="M79" s="953">
        <f t="shared" si="16"/>
        <v>22794.5</v>
      </c>
    </row>
    <row r="80" spans="1:13" ht="18.75" x14ac:dyDescent="0.3">
      <c r="A80" s="955" t="s">
        <v>1667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5"/>
        <v>2774.2</v>
      </c>
      <c r="M80" s="953">
        <f t="shared" si="16"/>
        <v>22225.8</v>
      </c>
    </row>
    <row r="81" spans="1:13" ht="21" customHeight="1" x14ac:dyDescent="0.3">
      <c r="A81" s="955" t="s">
        <v>1668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5"/>
        <v>1502.5</v>
      </c>
      <c r="M81" s="953">
        <f t="shared" si="16"/>
        <v>23497.5</v>
      </c>
    </row>
    <row r="82" spans="1:13" ht="18.75" x14ac:dyDescent="0.3">
      <c r="A82" s="955" t="s">
        <v>1669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5"/>
        <v>1502.5</v>
      </c>
      <c r="M82" s="953">
        <f t="shared" si="16"/>
        <v>23497.5</v>
      </c>
    </row>
    <row r="83" spans="1:13" ht="18.75" x14ac:dyDescent="0.3">
      <c r="A83" s="955" t="s">
        <v>1670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5"/>
        <v>1502.5</v>
      </c>
      <c r="M83" s="953">
        <f t="shared" si="16"/>
        <v>23497.5</v>
      </c>
    </row>
    <row r="84" spans="1:13" ht="18.75" x14ac:dyDescent="0.3">
      <c r="A84" s="955" t="s">
        <v>1671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5"/>
        <v>1502.5</v>
      </c>
      <c r="M84" s="953">
        <f t="shared" si="16"/>
        <v>23497.5</v>
      </c>
    </row>
    <row r="85" spans="1:13" ht="18.75" x14ac:dyDescent="0.3">
      <c r="A85" s="955" t="s">
        <v>1672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5"/>
        <v>1502.5</v>
      </c>
      <c r="M85" s="953">
        <f t="shared" si="16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6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 t="shared" ref="L87" si="17">+H87+I87+J87+K87</f>
        <v>11286.28</v>
      </c>
      <c r="M87" s="951">
        <f t="shared" si="16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6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8">SUM(H77:H88)</f>
        <v>9714.9500000000007</v>
      </c>
      <c r="I89" s="966">
        <f t="shared" si="18"/>
        <v>936.62</v>
      </c>
      <c r="J89" s="963">
        <f t="shared" si="18"/>
        <v>10290.4</v>
      </c>
      <c r="K89" s="963">
        <f>SUM(K77:K88)</f>
        <v>16896.14</v>
      </c>
      <c r="L89" s="963">
        <f t="shared" si="18"/>
        <v>37838.11</v>
      </c>
      <c r="M89" s="963">
        <f>SUM(M77:M88)</f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1641</v>
      </c>
      <c r="B92" s="950" t="s">
        <v>807</v>
      </c>
      <c r="C92" s="960" t="s">
        <v>1673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1674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6">
        <f>SUM(H92:H93)</f>
        <v>2654.75</v>
      </c>
      <c r="I94" s="966">
        <f t="shared" si="19"/>
        <v>2559.6799999999998</v>
      </c>
      <c r="J94" s="963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1642</v>
      </c>
      <c r="B97" s="950" t="s">
        <v>806</v>
      </c>
      <c r="C97" s="960" t="s">
        <v>1675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4">
        <v>936.62</v>
      </c>
      <c r="J98" s="951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1191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M100" si="20">SUM(G97:G99)</f>
        <v>142000</v>
      </c>
      <c r="H100" s="966">
        <f t="shared" si="20"/>
        <v>4075.3999999999996</v>
      </c>
      <c r="I100" s="966">
        <f t="shared" si="20"/>
        <v>4432.92</v>
      </c>
      <c r="J100" s="963">
        <f t="shared" si="20"/>
        <v>4316.8</v>
      </c>
      <c r="K100" s="963">
        <f t="shared" si="20"/>
        <v>1346.7</v>
      </c>
      <c r="L100" s="963">
        <f t="shared" si="20"/>
        <v>14171.82</v>
      </c>
      <c r="M100" s="963">
        <f t="shared" si="20"/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4"/>
      <c r="J101" s="951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6"/>
      <c r="J102" s="963"/>
      <c r="K102" s="963"/>
      <c r="L102" s="963"/>
      <c r="M102" s="965"/>
    </row>
    <row r="103" spans="1:13" ht="18.75" x14ac:dyDescent="0.3">
      <c r="A103" s="955" t="s">
        <v>1676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119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55" t="s">
        <v>124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4682.29</v>
      </c>
      <c r="J104" s="951">
        <v>2128</v>
      </c>
      <c r="K104" s="951">
        <v>3555.92</v>
      </c>
      <c r="L104" s="951">
        <v>12375.21</v>
      </c>
      <c r="M104" s="951">
        <v>57624.79</v>
      </c>
    </row>
    <row r="105" spans="1:13" ht="18.75" x14ac:dyDescent="0.3">
      <c r="A105" s="961" t="s">
        <v>749</v>
      </c>
      <c r="B105" s="950"/>
      <c r="C105" s="962">
        <v>2</v>
      </c>
      <c r="D105" s="962"/>
      <c r="E105" s="963">
        <f>SUM(E103:E104)</f>
        <v>140000</v>
      </c>
      <c r="F105" s="1071">
        <v>0</v>
      </c>
      <c r="G105" s="963">
        <f t="shared" ref="G105:K105" si="21">SUM(G103:G104)</f>
        <v>140000</v>
      </c>
      <c r="H105" s="963">
        <f t="shared" si="21"/>
        <v>4018</v>
      </c>
      <c r="I105" s="963">
        <f t="shared" si="21"/>
        <v>10050.77</v>
      </c>
      <c r="J105" s="963">
        <f t="shared" si="21"/>
        <v>4256</v>
      </c>
      <c r="K105" s="963">
        <f t="shared" si="21"/>
        <v>3580.92</v>
      </c>
      <c r="L105" s="963">
        <f>SUM(L103:L104)</f>
        <v>21905.69</v>
      </c>
      <c r="M105" s="963">
        <f>SUM(M103:M104)</f>
        <v>118094.31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20.2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s="259" customFormat="1" ht="18.75" x14ac:dyDescent="0.3">
      <c r="A108" s="1258" t="s">
        <v>1168</v>
      </c>
      <c r="B108" s="1256" t="s">
        <v>807</v>
      </c>
      <c r="C108" s="1257" t="s">
        <v>1564</v>
      </c>
      <c r="D108" s="1257" t="s">
        <v>1069</v>
      </c>
      <c r="E108" s="954">
        <v>80000</v>
      </c>
      <c r="F108" s="1191">
        <v>0</v>
      </c>
      <c r="G108" s="954">
        <v>80000</v>
      </c>
      <c r="H108" s="954">
        <v>2296</v>
      </c>
      <c r="I108" s="954">
        <v>7400.87</v>
      </c>
      <c r="J108" s="954">
        <v>2432</v>
      </c>
      <c r="K108" s="954">
        <v>2134</v>
      </c>
      <c r="L108" s="954">
        <f>SUM(H108:K108)</f>
        <v>14262.869999999999</v>
      </c>
      <c r="M108" s="954">
        <f>+E108-L108</f>
        <v>65737.13</v>
      </c>
    </row>
    <row r="109" spans="1:13" ht="18.75" x14ac:dyDescent="0.3">
      <c r="A109" s="955" t="s">
        <v>1053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v>3532.47</v>
      </c>
      <c r="M109" s="951">
        <f>+G109-L109</f>
        <v>39967.53</v>
      </c>
    </row>
    <row r="110" spans="1:13" ht="18.75" x14ac:dyDescent="0.3">
      <c r="A110" s="955" t="s">
        <v>1147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1">
        <f>+H110+I110+J110+K110</f>
        <v>3532.4700000000003</v>
      </c>
      <c r="M110" s="951">
        <f>+G110-L110</f>
        <v>39967.53</v>
      </c>
    </row>
    <row r="111" spans="1:13" ht="18.75" x14ac:dyDescent="0.3">
      <c r="A111" s="961" t="s">
        <v>749</v>
      </c>
      <c r="B111" s="950"/>
      <c r="C111" s="962">
        <v>3</v>
      </c>
      <c r="D111" s="962"/>
      <c r="E111" s="963">
        <f>SUM(E108:E110)</f>
        <v>167000</v>
      </c>
      <c r="F111" s="1071">
        <v>0</v>
      </c>
      <c r="G111" s="963">
        <f t="shared" ref="G111:M111" si="22">SUM(G108:G110)</f>
        <v>167000</v>
      </c>
      <c r="H111" s="963">
        <f t="shared" si="22"/>
        <v>4792.8999999999996</v>
      </c>
      <c r="I111" s="963">
        <f t="shared" si="22"/>
        <v>9274.11</v>
      </c>
      <c r="J111" s="963">
        <f t="shared" si="22"/>
        <v>5076.8</v>
      </c>
      <c r="K111" s="963">
        <f t="shared" si="22"/>
        <v>2184</v>
      </c>
      <c r="L111" s="963">
        <f t="shared" si="22"/>
        <v>21327.81</v>
      </c>
      <c r="M111" s="963">
        <f t="shared" si="22"/>
        <v>145672.19</v>
      </c>
    </row>
    <row r="112" spans="1:13" ht="18.75" x14ac:dyDescent="0.3">
      <c r="A112" s="961"/>
      <c r="B112" s="950"/>
      <c r="C112" s="962"/>
      <c r="D112" s="962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61" t="s">
        <v>1128</v>
      </c>
      <c r="B113" s="950"/>
      <c r="C113" s="967"/>
      <c r="D113" s="967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58" t="s">
        <v>47</v>
      </c>
      <c r="B114" s="950" t="s">
        <v>806</v>
      </c>
      <c r="C114" s="960" t="s">
        <v>1677</v>
      </c>
      <c r="D114" s="960" t="s">
        <v>1069</v>
      </c>
      <c r="E114" s="951">
        <v>80000</v>
      </c>
      <c r="F114" s="952">
        <v>0</v>
      </c>
      <c r="G114" s="953">
        <v>80000</v>
      </c>
      <c r="H114" s="953">
        <v>2296</v>
      </c>
      <c r="I114" s="954">
        <v>6972</v>
      </c>
      <c r="J114" s="951">
        <v>2432</v>
      </c>
      <c r="K114" s="951">
        <v>1740.46</v>
      </c>
      <c r="L114" s="951">
        <f>+H114+I114+J114+K114</f>
        <v>13440.46</v>
      </c>
      <c r="M114" s="953">
        <f>+G114-L114</f>
        <v>66559.540000000008</v>
      </c>
    </row>
    <row r="115" spans="1:13" ht="18.75" x14ac:dyDescent="0.3">
      <c r="A115" s="961" t="s">
        <v>749</v>
      </c>
      <c r="B115" s="950"/>
      <c r="C115" s="962">
        <v>1</v>
      </c>
      <c r="D115" s="962"/>
      <c r="E115" s="963">
        <f>SUM(E114:E114)</f>
        <v>80000</v>
      </c>
      <c r="F115" s="952">
        <v>0</v>
      </c>
      <c r="G115" s="965">
        <f t="shared" ref="G115:L115" si="23">SUM(G114:G114)</f>
        <v>80000</v>
      </c>
      <c r="H115" s="965">
        <f t="shared" si="23"/>
        <v>2296</v>
      </c>
      <c r="I115" s="966">
        <f t="shared" si="23"/>
        <v>6972</v>
      </c>
      <c r="J115" s="963">
        <f t="shared" si="23"/>
        <v>2432</v>
      </c>
      <c r="K115" s="963">
        <f t="shared" si="23"/>
        <v>1740.46</v>
      </c>
      <c r="L115" s="963">
        <f t="shared" si="23"/>
        <v>13440.46</v>
      </c>
      <c r="M115" s="965">
        <f>SUM(M114:M114)</f>
        <v>66559.540000000008</v>
      </c>
    </row>
    <row r="116" spans="1:13" ht="18.75" x14ac:dyDescent="0.3">
      <c r="A116" s="961"/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22.5" customHeight="1" x14ac:dyDescent="0.3">
      <c r="A117" s="982" t="s">
        <v>1462</v>
      </c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0.25" customHeight="1" x14ac:dyDescent="0.3">
      <c r="A118" s="1242" t="s">
        <v>1678</v>
      </c>
      <c r="B118" s="950" t="s">
        <v>806</v>
      </c>
      <c r="C118" s="960" t="s">
        <v>1265</v>
      </c>
      <c r="D118" s="960" t="s">
        <v>1066</v>
      </c>
      <c r="E118" s="951">
        <v>185000</v>
      </c>
      <c r="F118" s="952">
        <v>0</v>
      </c>
      <c r="G118" s="953">
        <v>185000</v>
      </c>
      <c r="H118" s="953">
        <v>5309.5</v>
      </c>
      <c r="I118" s="954">
        <v>32099.49</v>
      </c>
      <c r="J118" s="951">
        <v>5624</v>
      </c>
      <c r="K118" s="951">
        <v>25</v>
      </c>
      <c r="L118" s="951">
        <f>+H118+I118+J118+K118</f>
        <v>43057.990000000005</v>
      </c>
      <c r="M118" s="953">
        <f>+G118-L118</f>
        <v>141942.01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20565.75</v>
      </c>
      <c r="L119" s="1122">
        <f>+H119+I119+J119+K119</f>
        <v>29728.13</v>
      </c>
      <c r="M119" s="951">
        <f t="shared" ref="M119:M122" si="24">+G119-L119</f>
        <v>40271.869999999995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 t="shared" si="24"/>
        <v>67846.13</v>
      </c>
    </row>
    <row r="121" spans="1:13" ht="18.75" x14ac:dyDescent="0.3">
      <c r="A121" s="958" t="s">
        <v>1679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 t="shared" si="24"/>
        <v>29613.35</v>
      </c>
    </row>
    <row r="122" spans="1:13" ht="18.75" x14ac:dyDescent="0.3">
      <c r="A122" s="958" t="s">
        <v>1680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 t="shared" si="24"/>
        <v>39967.53</v>
      </c>
    </row>
    <row r="123" spans="1:13" ht="18.75" x14ac:dyDescent="0.3">
      <c r="A123" s="961" t="s">
        <v>749</v>
      </c>
      <c r="B123" s="950"/>
      <c r="C123" s="962">
        <v>5</v>
      </c>
      <c r="D123" s="962"/>
      <c r="E123" s="963">
        <f t="shared" ref="E123:M123" si="25">SUM(E118:E122)</f>
        <v>410000</v>
      </c>
      <c r="F123" s="964">
        <f t="shared" si="25"/>
        <v>0</v>
      </c>
      <c r="G123" s="963">
        <f t="shared" si="25"/>
        <v>410000</v>
      </c>
      <c r="H123" s="963">
        <f t="shared" si="25"/>
        <v>11767</v>
      </c>
      <c r="I123" s="966">
        <f t="shared" si="25"/>
        <v>45462.360000000008</v>
      </c>
      <c r="J123" s="963">
        <f t="shared" si="25"/>
        <v>12464</v>
      </c>
      <c r="K123" s="963">
        <f t="shared" si="25"/>
        <v>20665.75</v>
      </c>
      <c r="L123" s="963">
        <f t="shared" si="25"/>
        <v>90359.11</v>
      </c>
      <c r="M123" s="963">
        <f t="shared" si="25"/>
        <v>319640.89</v>
      </c>
    </row>
    <row r="124" spans="1:13" ht="18.75" x14ac:dyDescent="0.3">
      <c r="A124" s="961"/>
      <c r="B124" s="950"/>
      <c r="C124" s="962"/>
      <c r="D124" s="962"/>
      <c r="E124" s="963"/>
      <c r="F124" s="964"/>
      <c r="G124" s="963"/>
      <c r="H124" s="963"/>
      <c r="I124" s="966"/>
      <c r="J124" s="963"/>
      <c r="K124" s="963"/>
      <c r="L124" s="963"/>
      <c r="M124" s="963"/>
    </row>
    <row r="125" spans="1:13" ht="36" customHeight="1" x14ac:dyDescent="0.3">
      <c r="A125" s="1273" t="s">
        <v>1681</v>
      </c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s="259" customFormat="1" ht="18.75" x14ac:dyDescent="0.3">
      <c r="A126" s="1258" t="s">
        <v>232</v>
      </c>
      <c r="B126" s="1259" t="s">
        <v>807</v>
      </c>
      <c r="C126" s="1257" t="s">
        <v>1174</v>
      </c>
      <c r="D126" s="1257" t="s">
        <v>1069</v>
      </c>
      <c r="E126" s="954">
        <v>80000</v>
      </c>
      <c r="F126" s="1191">
        <v>0</v>
      </c>
      <c r="G126" s="954">
        <v>80000</v>
      </c>
      <c r="H126" s="954">
        <v>2296</v>
      </c>
      <c r="I126" s="954">
        <v>6972</v>
      </c>
      <c r="J126" s="954">
        <v>2432</v>
      </c>
      <c r="K126" s="954">
        <v>5884.86</v>
      </c>
      <c r="L126" s="954">
        <f>+H126+I126+J126+K126</f>
        <v>17584.86</v>
      </c>
      <c r="M126" s="954">
        <f>+G126-L126</f>
        <v>62415.14</v>
      </c>
    </row>
    <row r="127" spans="1:13" ht="18.75" x14ac:dyDescent="0.3">
      <c r="A127" s="961" t="s">
        <v>749</v>
      </c>
      <c r="B127" s="950"/>
      <c r="C127" s="962">
        <v>1</v>
      </c>
      <c r="D127" s="962"/>
      <c r="E127" s="963">
        <f>SUM(E126:E126)</f>
        <v>80000</v>
      </c>
      <c r="F127" s="952">
        <v>0</v>
      </c>
      <c r="G127" s="965">
        <f t="shared" ref="G127:L127" si="26">SUM(G126:G126)</f>
        <v>80000</v>
      </c>
      <c r="H127" s="965">
        <f t="shared" si="26"/>
        <v>2296</v>
      </c>
      <c r="I127" s="966">
        <f t="shared" si="26"/>
        <v>6972</v>
      </c>
      <c r="J127" s="963">
        <f t="shared" si="26"/>
        <v>2432</v>
      </c>
      <c r="K127" s="963">
        <f t="shared" si="26"/>
        <v>5884.86</v>
      </c>
      <c r="L127" s="963">
        <f t="shared" si="26"/>
        <v>17584.86</v>
      </c>
      <c r="M127" s="965">
        <f>SUM(M126:M126)</f>
        <v>62415.14</v>
      </c>
    </row>
    <row r="128" spans="1:13" ht="18.75" x14ac:dyDescent="0.3">
      <c r="A128" s="961"/>
      <c r="B128" s="950"/>
      <c r="C128" s="962"/>
      <c r="D128" s="962"/>
      <c r="E128" s="963"/>
      <c r="F128" s="952"/>
      <c r="G128" s="965"/>
      <c r="H128" s="965"/>
      <c r="I128" s="966"/>
      <c r="J128" s="963"/>
      <c r="K128" s="963"/>
      <c r="L128" s="963"/>
      <c r="M128" s="965"/>
    </row>
    <row r="129" spans="1:13" ht="21.75" customHeight="1" x14ac:dyDescent="0.3">
      <c r="A129" s="982" t="s">
        <v>1682</v>
      </c>
      <c r="B129" s="950"/>
      <c r="C129" s="967"/>
      <c r="D129" s="967"/>
      <c r="E129" s="963"/>
      <c r="F129" s="964"/>
      <c r="G129" s="965"/>
      <c r="H129" s="965"/>
      <c r="I129" s="966"/>
      <c r="J129" s="963"/>
      <c r="K129" s="963"/>
      <c r="L129" s="963"/>
      <c r="M129" s="965"/>
    </row>
    <row r="130" spans="1:13" ht="18.75" x14ac:dyDescent="0.3">
      <c r="A130" s="955" t="s">
        <v>419</v>
      </c>
      <c r="B130" s="950" t="s">
        <v>806</v>
      </c>
      <c r="C130" s="960" t="s">
        <v>1683</v>
      </c>
      <c r="D130" s="960" t="s">
        <v>1069</v>
      </c>
      <c r="E130" s="951">
        <v>50000</v>
      </c>
      <c r="F130" s="952">
        <v>0</v>
      </c>
      <c r="G130" s="953">
        <v>50000</v>
      </c>
      <c r="H130" s="953">
        <v>1435</v>
      </c>
      <c r="I130" s="954">
        <v>1854</v>
      </c>
      <c r="J130" s="951">
        <v>1520</v>
      </c>
      <c r="K130" s="951">
        <v>728</v>
      </c>
      <c r="L130" s="951">
        <f>+H130+I130+J130+K130</f>
        <v>5537</v>
      </c>
      <c r="M130" s="953">
        <f>+G130-L130</f>
        <v>44463</v>
      </c>
    </row>
    <row r="131" spans="1:13" ht="18.75" x14ac:dyDescent="0.3">
      <c r="A131" s="955" t="s">
        <v>875</v>
      </c>
      <c r="B131" s="950" t="s">
        <v>807</v>
      </c>
      <c r="C131" s="960" t="s">
        <v>1684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4">
        <v>2559.6799999999998</v>
      </c>
      <c r="J131" s="951">
        <v>1672</v>
      </c>
      <c r="K131" s="951">
        <v>2517.7399999999998</v>
      </c>
      <c r="L131" s="951">
        <f>+H131+I131+J131+K131</f>
        <v>8327.92</v>
      </c>
      <c r="M131" s="951">
        <f>+G131-L131</f>
        <v>46672.08</v>
      </c>
    </row>
    <row r="132" spans="1:13" ht="18.75" x14ac:dyDescent="0.3">
      <c r="A132" s="955" t="s">
        <v>1685</v>
      </c>
      <c r="B132" s="950" t="s">
        <v>807</v>
      </c>
      <c r="C132" s="960" t="s">
        <v>521</v>
      </c>
      <c r="D132" s="960" t="s">
        <v>307</v>
      </c>
      <c r="E132" s="951">
        <v>43500</v>
      </c>
      <c r="F132" s="952">
        <v>0</v>
      </c>
      <c r="G132" s="953">
        <v>43500</v>
      </c>
      <c r="H132" s="953">
        <v>1248.45</v>
      </c>
      <c r="I132" s="1191">
        <v>936.62</v>
      </c>
      <c r="J132" s="951">
        <v>1322.4</v>
      </c>
      <c r="K132" s="951">
        <v>25</v>
      </c>
      <c r="L132" s="951">
        <f>+H132+I132+J132+K132</f>
        <v>3532.4700000000003</v>
      </c>
      <c r="M132" s="953">
        <f>+G132-L132</f>
        <v>39967.53</v>
      </c>
    </row>
    <row r="133" spans="1:13" ht="18.75" x14ac:dyDescent="0.3">
      <c r="A133" s="961" t="s">
        <v>749</v>
      </c>
      <c r="B133" s="950"/>
      <c r="C133" s="962">
        <v>3</v>
      </c>
      <c r="D133" s="962"/>
      <c r="E133" s="963">
        <f>SUM(E130:E132)</f>
        <v>148500</v>
      </c>
      <c r="F133" s="964">
        <f t="shared" ref="F133:L133" si="27">SUM(F130:F132)</f>
        <v>0</v>
      </c>
      <c r="G133" s="963">
        <f t="shared" si="27"/>
        <v>148500</v>
      </c>
      <c r="H133" s="963">
        <f t="shared" si="27"/>
        <v>4261.95</v>
      </c>
      <c r="I133" s="966">
        <f t="shared" si="27"/>
        <v>5350.3</v>
      </c>
      <c r="J133" s="963">
        <f t="shared" si="27"/>
        <v>4514.3999999999996</v>
      </c>
      <c r="K133" s="963">
        <f t="shared" si="27"/>
        <v>3270.74</v>
      </c>
      <c r="L133" s="963">
        <f t="shared" si="27"/>
        <v>17397.39</v>
      </c>
      <c r="M133" s="963">
        <f>SUM(M130:M132)</f>
        <v>131102.60999999999</v>
      </c>
    </row>
    <row r="134" spans="1:13" ht="18.75" x14ac:dyDescent="0.3">
      <c r="A134" s="958"/>
      <c r="B134" s="950"/>
      <c r="C134" s="960"/>
      <c r="D134" s="960"/>
      <c r="E134" s="951"/>
      <c r="F134" s="952"/>
      <c r="G134" s="953"/>
      <c r="H134" s="953"/>
      <c r="I134" s="954"/>
      <c r="J134" s="963"/>
      <c r="K134" s="951"/>
      <c r="L134" s="951"/>
      <c r="M134" s="953"/>
    </row>
    <row r="135" spans="1:13" ht="18.75" x14ac:dyDescent="0.3">
      <c r="A135" s="961" t="s">
        <v>842</v>
      </c>
      <c r="B135" s="950"/>
      <c r="C135" s="967"/>
      <c r="D135" s="967"/>
      <c r="E135" s="963"/>
      <c r="F135" s="964"/>
      <c r="G135" s="965"/>
      <c r="H135" s="965"/>
      <c r="I135" s="966"/>
      <c r="J135" s="963"/>
      <c r="K135" s="963"/>
      <c r="L135" s="963"/>
      <c r="M135" s="965"/>
    </row>
    <row r="136" spans="1:13" ht="18.75" x14ac:dyDescent="0.3">
      <c r="A136" s="955" t="s">
        <v>1131</v>
      </c>
      <c r="B136" s="950" t="s">
        <v>806</v>
      </c>
      <c r="C136" s="960" t="s">
        <v>905</v>
      </c>
      <c r="D136" s="960" t="s">
        <v>307</v>
      </c>
      <c r="E136" s="951">
        <v>80000</v>
      </c>
      <c r="F136" s="974">
        <v>0</v>
      </c>
      <c r="G136" s="951">
        <v>80000</v>
      </c>
      <c r="H136" s="951">
        <v>2296</v>
      </c>
      <c r="I136" s="954">
        <v>7400.87</v>
      </c>
      <c r="J136" s="951">
        <v>2432</v>
      </c>
      <c r="K136" s="951">
        <v>828</v>
      </c>
      <c r="L136" s="951">
        <f t="shared" ref="L136:L139" si="28">+H136+I136+J136+K136</f>
        <v>12956.869999999999</v>
      </c>
      <c r="M136" s="951">
        <f>+G136-L136</f>
        <v>67043.13</v>
      </c>
    </row>
    <row r="137" spans="1:13" ht="18.75" x14ac:dyDescent="0.3">
      <c r="A137" s="955" t="s">
        <v>773</v>
      </c>
      <c r="B137" s="950" t="s">
        <v>807</v>
      </c>
      <c r="C137" s="960" t="s">
        <v>774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125</v>
      </c>
      <c r="L137" s="951">
        <v>5935.18</v>
      </c>
      <c r="M137" s="951">
        <f t="shared" ref="M137:M139" si="29">+G137-L137</f>
        <v>49064.82</v>
      </c>
    </row>
    <row r="138" spans="1:13" ht="18.75" x14ac:dyDescent="0.3">
      <c r="A138" s="955" t="s">
        <v>1142</v>
      </c>
      <c r="B138" s="950" t="s">
        <v>806</v>
      </c>
      <c r="C138" s="960" t="s">
        <v>1684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4">
        <v>2559.6799999999998</v>
      </c>
      <c r="J138" s="951">
        <v>1672</v>
      </c>
      <c r="K138" s="951">
        <v>728</v>
      </c>
      <c r="L138" s="951">
        <f t="shared" si="28"/>
        <v>6538.18</v>
      </c>
      <c r="M138" s="951">
        <f t="shared" si="29"/>
        <v>48461.82</v>
      </c>
    </row>
    <row r="139" spans="1:13" ht="18.75" x14ac:dyDescent="0.3">
      <c r="A139" s="955" t="s">
        <v>444</v>
      </c>
      <c r="B139" s="950" t="s">
        <v>806</v>
      </c>
      <c r="C139" s="960" t="s">
        <v>662</v>
      </c>
      <c r="D139" s="960" t="s">
        <v>307</v>
      </c>
      <c r="E139" s="951">
        <v>43500</v>
      </c>
      <c r="F139" s="974">
        <v>0</v>
      </c>
      <c r="G139" s="951">
        <v>43500</v>
      </c>
      <c r="H139" s="951">
        <v>1248.45</v>
      </c>
      <c r="I139" s="1191">
        <v>936.62</v>
      </c>
      <c r="J139" s="951">
        <v>1322.4</v>
      </c>
      <c r="K139" s="951">
        <v>25</v>
      </c>
      <c r="L139" s="951">
        <f t="shared" si="28"/>
        <v>3532.4700000000003</v>
      </c>
      <c r="M139" s="951">
        <f t="shared" si="29"/>
        <v>39967.53</v>
      </c>
    </row>
    <row r="140" spans="1:13" ht="18.75" x14ac:dyDescent="0.3">
      <c r="A140" s="961" t="s">
        <v>749</v>
      </c>
      <c r="B140" s="950"/>
      <c r="C140" s="962">
        <v>4</v>
      </c>
      <c r="D140" s="962"/>
      <c r="E140" s="963">
        <f>SUM(E136:E139)</f>
        <v>233500</v>
      </c>
      <c r="F140" s="964">
        <f>SUM(F131:F131)</f>
        <v>0</v>
      </c>
      <c r="G140" s="963">
        <f t="shared" ref="G140:L140" si="30">SUM(G136:G139)</f>
        <v>233500</v>
      </c>
      <c r="H140" s="963">
        <f t="shared" si="30"/>
        <v>6701.45</v>
      </c>
      <c r="I140" s="966">
        <f t="shared" si="30"/>
        <v>13456.85</v>
      </c>
      <c r="J140" s="963">
        <f t="shared" si="30"/>
        <v>7098.4</v>
      </c>
      <c r="K140" s="963">
        <f t="shared" si="30"/>
        <v>1706</v>
      </c>
      <c r="L140" s="963">
        <f t="shared" si="30"/>
        <v>28962.7</v>
      </c>
      <c r="M140" s="963">
        <f>SUM(M136:M139)</f>
        <v>204537.30000000002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51"/>
      <c r="K141" s="951"/>
      <c r="L141" s="951"/>
      <c r="M141" s="953"/>
    </row>
    <row r="142" spans="1:13" ht="18.75" x14ac:dyDescent="0.3">
      <c r="A142" s="961" t="s">
        <v>1515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8" t="s">
        <v>1686</v>
      </c>
      <c r="B143" s="950" t="s">
        <v>806</v>
      </c>
      <c r="C143" s="960" t="s">
        <v>1687</v>
      </c>
      <c r="D143" s="960" t="s">
        <v>307</v>
      </c>
      <c r="E143" s="951">
        <v>185000</v>
      </c>
      <c r="F143" s="952">
        <v>0</v>
      </c>
      <c r="G143" s="953">
        <v>185000</v>
      </c>
      <c r="H143" s="953">
        <v>5309.5</v>
      </c>
      <c r="I143" s="954">
        <v>32099.49</v>
      </c>
      <c r="J143" s="951">
        <v>5624</v>
      </c>
      <c r="K143" s="951">
        <v>2568.4</v>
      </c>
      <c r="L143" s="951">
        <f>+H143+I143+J143+K143</f>
        <v>45601.390000000007</v>
      </c>
      <c r="M143" s="953">
        <f>+G143-L143</f>
        <v>139398.60999999999</v>
      </c>
    </row>
    <row r="144" spans="1:13" ht="18.75" x14ac:dyDescent="0.3">
      <c r="A144" s="955" t="s">
        <v>1688</v>
      </c>
      <c r="B144" s="950" t="s">
        <v>806</v>
      </c>
      <c r="C144" s="960" t="s">
        <v>1683</v>
      </c>
      <c r="D144" s="960" t="s">
        <v>1069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1396.7</v>
      </c>
      <c r="L144" s="951">
        <f>+H144+I144+J144+K144</f>
        <v>7206.88</v>
      </c>
      <c r="M144" s="953">
        <f t="shared" ref="M144:M145" si="31">+G144-L144</f>
        <v>47793.120000000003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 t="shared" si="31"/>
        <v>43166</v>
      </c>
    </row>
    <row r="146" spans="1:13" ht="18.75" x14ac:dyDescent="0.3">
      <c r="A146" s="961" t="s">
        <v>749</v>
      </c>
      <c r="B146" s="950"/>
      <c r="C146" s="962">
        <v>3</v>
      </c>
      <c r="D146" s="962"/>
      <c r="E146" s="963">
        <f>SUM(E143:E145)</f>
        <v>290000</v>
      </c>
      <c r="F146" s="964">
        <f>SUM(F143:F144)</f>
        <v>0</v>
      </c>
      <c r="G146" s="965">
        <f t="shared" ref="G146:L146" si="32">SUM(G143:G145)</f>
        <v>290000</v>
      </c>
      <c r="H146" s="965">
        <f t="shared" si="32"/>
        <v>8323</v>
      </c>
      <c r="I146" s="966">
        <f t="shared" si="32"/>
        <v>36513.17</v>
      </c>
      <c r="J146" s="963">
        <f t="shared" si="32"/>
        <v>8816</v>
      </c>
      <c r="K146" s="963">
        <f t="shared" si="32"/>
        <v>5990.1</v>
      </c>
      <c r="L146" s="963">
        <f t="shared" si="32"/>
        <v>59642.270000000004</v>
      </c>
      <c r="M146" s="965">
        <f>SUM(M143:M145)</f>
        <v>230357.72999999998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965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K151" si="33">SUM(G149:G150)</f>
        <v>123500</v>
      </c>
      <c r="H151" s="966">
        <f t="shared" si="33"/>
        <v>3544.45</v>
      </c>
      <c r="I151" s="966">
        <f t="shared" si="33"/>
        <v>8080.17</v>
      </c>
      <c r="J151" s="963">
        <f>SUM(J149:J150)</f>
        <v>3754.4</v>
      </c>
      <c r="K151" s="963">
        <f t="shared" si="33"/>
        <v>3837.66</v>
      </c>
      <c r="L151" s="963">
        <f>SUM(L149:L150)</f>
        <v>19216.68</v>
      </c>
      <c r="M151" s="963">
        <f>SUM(M149:M150)</f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 t="shared" ref="E155:J155" si="34">SUM(E154:E154)</f>
        <v>43500</v>
      </c>
      <c r="F155" s="964">
        <f t="shared" si="34"/>
        <v>0</v>
      </c>
      <c r="G155" s="965">
        <f t="shared" si="34"/>
        <v>43500</v>
      </c>
      <c r="H155" s="965">
        <f t="shared" si="34"/>
        <v>1248.45</v>
      </c>
      <c r="I155" s="1196">
        <f>SUM(I154:I154)</f>
        <v>936.62</v>
      </c>
      <c r="J155" s="1091">
        <f t="shared" si="34"/>
        <v>1322.4</v>
      </c>
      <c r="K155" s="963">
        <f>SUM(K154:K154)</f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114</v>
      </c>
      <c r="B158" s="950" t="s">
        <v>807</v>
      </c>
      <c r="C158" s="960" t="s">
        <v>967</v>
      </c>
      <c r="D158" s="960" t="s">
        <v>307</v>
      </c>
      <c r="E158" s="951">
        <v>80000</v>
      </c>
      <c r="F158" s="952">
        <v>0</v>
      </c>
      <c r="G158" s="953">
        <v>80000</v>
      </c>
      <c r="H158" s="953">
        <v>2296</v>
      </c>
      <c r="I158" s="954">
        <v>7400.87</v>
      </c>
      <c r="J158" s="951">
        <v>2432</v>
      </c>
      <c r="K158" s="951">
        <v>1296.7</v>
      </c>
      <c r="L158" s="951">
        <f>+H158+I158+J158+K158</f>
        <v>13425.57</v>
      </c>
      <c r="M158" s="953">
        <f>+G158-L158</f>
        <v>66574.429999999993</v>
      </c>
    </row>
    <row r="159" spans="1:13" ht="18.75" x14ac:dyDescent="0.3">
      <c r="A159" s="955" t="s">
        <v>1693</v>
      </c>
      <c r="B159" s="950" t="s">
        <v>807</v>
      </c>
      <c r="C159" s="960" t="s">
        <v>967</v>
      </c>
      <c r="D159" s="960" t="s">
        <v>307</v>
      </c>
      <c r="E159" s="951">
        <v>70000</v>
      </c>
      <c r="F159" s="974">
        <v>0</v>
      </c>
      <c r="G159" s="951">
        <v>70000</v>
      </c>
      <c r="H159" s="951">
        <v>2009</v>
      </c>
      <c r="I159" s="954">
        <v>5368.48</v>
      </c>
      <c r="J159" s="951">
        <v>2128</v>
      </c>
      <c r="K159" s="951">
        <v>1296.7</v>
      </c>
      <c r="L159" s="951">
        <f>+H159+I159+J159+K159</f>
        <v>10802.18</v>
      </c>
      <c r="M159" s="953">
        <f t="shared" ref="M159:M160" si="35">+G159-L159</f>
        <v>59197.82</v>
      </c>
    </row>
    <row r="160" spans="1:13" ht="18.75" x14ac:dyDescent="0.3">
      <c r="A160" s="955" t="s">
        <v>1694</v>
      </c>
      <c r="B160" s="950" t="s">
        <v>806</v>
      </c>
      <c r="C160" s="960" t="s">
        <v>551</v>
      </c>
      <c r="D160" s="960" t="s">
        <v>307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2025</v>
      </c>
      <c r="L160" s="951">
        <f>+H160+I160+J160+K160</f>
        <v>5532.47</v>
      </c>
      <c r="M160" s="953">
        <f t="shared" si="35"/>
        <v>37967.53</v>
      </c>
    </row>
    <row r="161" spans="1:13" ht="18.75" x14ac:dyDescent="0.3">
      <c r="A161" s="955" t="s">
        <v>1695</v>
      </c>
      <c r="B161" s="950" t="s">
        <v>806</v>
      </c>
      <c r="C161" s="960" t="s">
        <v>551</v>
      </c>
      <c r="D161" s="960" t="s">
        <v>321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+H161+I161+J161+K161</f>
        <v>3532.4700000000003</v>
      </c>
      <c r="M161" s="953">
        <f>+G161-L161</f>
        <v>39967.53</v>
      </c>
    </row>
    <row r="162" spans="1:13" ht="18.75" x14ac:dyDescent="0.3">
      <c r="A162" s="961" t="s">
        <v>847</v>
      </c>
      <c r="B162" s="950"/>
      <c r="C162" s="962">
        <v>4</v>
      </c>
      <c r="D162" s="962"/>
      <c r="E162" s="963">
        <f>SUM(E158:E161)</f>
        <v>237000</v>
      </c>
      <c r="F162" s="993">
        <f t="shared" ref="F162" si="36">SUM(F161)</f>
        <v>0</v>
      </c>
      <c r="G162" s="963">
        <f t="shared" ref="G162:L162" si="37">SUM(G158:G161)</f>
        <v>237000</v>
      </c>
      <c r="H162" s="963">
        <f t="shared" si="37"/>
        <v>6801.9</v>
      </c>
      <c r="I162" s="966">
        <f>SUM(I158:I161)</f>
        <v>14642.59</v>
      </c>
      <c r="J162" s="963">
        <f t="shared" si="37"/>
        <v>7204.7999999999993</v>
      </c>
      <c r="K162" s="963">
        <f t="shared" si="37"/>
        <v>4643.3999999999996</v>
      </c>
      <c r="L162" s="963">
        <f t="shared" si="37"/>
        <v>33292.69</v>
      </c>
      <c r="M162" s="963">
        <f>SUM(M158:M161)</f>
        <v>203707.31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29.25" customHeight="1" x14ac:dyDescent="0.3">
      <c r="A164" s="982" t="s">
        <v>1138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8" t="s">
        <v>1640</v>
      </c>
      <c r="B165" s="950" t="s">
        <v>806</v>
      </c>
      <c r="C165" s="960" t="s">
        <v>71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4">
        <v>7400.87</v>
      </c>
      <c r="J165" s="951">
        <v>2432</v>
      </c>
      <c r="K165" s="951">
        <v>728</v>
      </c>
      <c r="L165" s="951">
        <f>+H165+I165+J165+K165</f>
        <v>12856.869999999999</v>
      </c>
      <c r="M165" s="953">
        <f>+G165-L165</f>
        <v>67143.13</v>
      </c>
    </row>
    <row r="166" spans="1:13" ht="18.75" x14ac:dyDescent="0.3">
      <c r="A166" s="955" t="s">
        <v>77</v>
      </c>
      <c r="B166" s="986" t="s">
        <v>807</v>
      </c>
      <c r="C166" s="960" t="s">
        <v>967</v>
      </c>
      <c r="D166" s="960" t="s">
        <v>1069</v>
      </c>
      <c r="E166" s="951">
        <v>70000</v>
      </c>
      <c r="F166" s="974">
        <v>0</v>
      </c>
      <c r="G166" s="1070">
        <v>70000</v>
      </c>
      <c r="H166" s="956">
        <v>2009</v>
      </c>
      <c r="I166" s="987">
        <v>5368.48</v>
      </c>
      <c r="J166" s="951">
        <v>2128</v>
      </c>
      <c r="K166" s="956">
        <v>828</v>
      </c>
      <c r="L166" s="951">
        <f>+H166+I166+J166+K166</f>
        <v>10333.48</v>
      </c>
      <c r="M166" s="953">
        <f>+G166-L166</f>
        <v>59666.520000000004</v>
      </c>
    </row>
    <row r="167" spans="1:13" ht="18.75" x14ac:dyDescent="0.3">
      <c r="A167" s="961" t="s">
        <v>847</v>
      </c>
      <c r="B167" s="950"/>
      <c r="C167" s="962">
        <v>2</v>
      </c>
      <c r="D167" s="962"/>
      <c r="E167" s="963">
        <f>SUM(E165:E166)</f>
        <v>150000</v>
      </c>
      <c r="F167" s="1071">
        <v>0</v>
      </c>
      <c r="G167" s="963">
        <f t="shared" ref="G167:K167" si="38">SUM(G165:G166)</f>
        <v>150000</v>
      </c>
      <c r="H167" s="963">
        <f t="shared" si="38"/>
        <v>4305</v>
      </c>
      <c r="I167" s="966">
        <f>SUM(I165:I166)</f>
        <v>12769.349999999999</v>
      </c>
      <c r="J167" s="963">
        <f t="shared" si="38"/>
        <v>4560</v>
      </c>
      <c r="K167" s="963">
        <f t="shared" si="38"/>
        <v>1556</v>
      </c>
      <c r="L167" s="963">
        <f>SUM(L165:L166)</f>
        <v>23190.35</v>
      </c>
      <c r="M167" s="963">
        <f>SUM(M165:M166)</f>
        <v>126809.65000000001</v>
      </c>
    </row>
    <row r="168" spans="1:13" ht="18.75" x14ac:dyDescent="0.3">
      <c r="A168" s="958"/>
      <c r="B168" s="950"/>
      <c r="C168" s="960"/>
      <c r="D168" s="960"/>
      <c r="E168" s="951"/>
      <c r="F168" s="952"/>
      <c r="G168" s="953"/>
      <c r="H168" s="953"/>
      <c r="I168" s="954"/>
      <c r="J168" s="951"/>
      <c r="K168" s="951"/>
      <c r="L168" s="951"/>
      <c r="M168" s="953"/>
    </row>
    <row r="169" spans="1:13" ht="18.75" customHeight="1" x14ac:dyDescent="0.3">
      <c r="A169" s="982" t="s">
        <v>1195</v>
      </c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55" t="s">
        <v>217</v>
      </c>
      <c r="B170" s="950" t="s">
        <v>807</v>
      </c>
      <c r="C170" s="960" t="s">
        <v>1696</v>
      </c>
      <c r="D170" s="960" t="s">
        <v>1069</v>
      </c>
      <c r="E170" s="951">
        <v>80000</v>
      </c>
      <c r="F170" s="952">
        <v>0</v>
      </c>
      <c r="G170" s="953">
        <v>80000</v>
      </c>
      <c r="H170" s="953">
        <v>2296</v>
      </c>
      <c r="I170" s="954">
        <v>7400.87</v>
      </c>
      <c r="J170" s="951">
        <v>2432</v>
      </c>
      <c r="K170" s="951">
        <v>3639.14</v>
      </c>
      <c r="L170" s="951">
        <f>+H170+I170+J170+K170</f>
        <v>15768.009999999998</v>
      </c>
      <c r="M170" s="953">
        <f>+G170-L170</f>
        <v>64231.990000000005</v>
      </c>
    </row>
    <row r="171" spans="1:13" ht="18.75" x14ac:dyDescent="0.3">
      <c r="A171" s="955" t="s">
        <v>1697</v>
      </c>
      <c r="B171" s="950" t="s">
        <v>806</v>
      </c>
      <c r="C171" s="960" t="s">
        <v>551</v>
      </c>
      <c r="D171" s="960" t="s">
        <v>307</v>
      </c>
      <c r="E171" s="951">
        <v>43500</v>
      </c>
      <c r="F171" s="952">
        <v>0</v>
      </c>
      <c r="G171" s="953">
        <v>43500</v>
      </c>
      <c r="H171" s="953">
        <v>1248.45</v>
      </c>
      <c r="I171" s="1191">
        <v>936.62</v>
      </c>
      <c r="J171" s="951">
        <v>1322.4</v>
      </c>
      <c r="K171" s="951">
        <v>25</v>
      </c>
      <c r="L171" s="951">
        <f>+H171+I171+J171+K171</f>
        <v>3532.4700000000003</v>
      </c>
      <c r="M171" s="953">
        <f>+G171-L171</f>
        <v>39967.53</v>
      </c>
    </row>
    <row r="172" spans="1:13" ht="18.75" x14ac:dyDescent="0.3">
      <c r="A172" s="961" t="s">
        <v>749</v>
      </c>
      <c r="B172" s="950"/>
      <c r="C172" s="962">
        <v>2</v>
      </c>
      <c r="D172" s="962"/>
      <c r="E172" s="963">
        <f>SUM(E170:E171)</f>
        <v>123500</v>
      </c>
      <c r="F172" s="964">
        <f t="shared" ref="F172:K172" si="39">SUM(F170:F171)</f>
        <v>0</v>
      </c>
      <c r="G172" s="965">
        <f>SUM(G170:G171)</f>
        <v>123500</v>
      </c>
      <c r="H172" s="965">
        <f t="shared" si="39"/>
        <v>3544.45</v>
      </c>
      <c r="I172" s="966">
        <f>SUM(I170:I171)</f>
        <v>8337.49</v>
      </c>
      <c r="J172" s="963">
        <f t="shared" si="39"/>
        <v>3754.4</v>
      </c>
      <c r="K172" s="963">
        <f t="shared" si="39"/>
        <v>3664.14</v>
      </c>
      <c r="L172" s="963">
        <f>SUM(L170:L171)</f>
        <v>19300.48</v>
      </c>
      <c r="M172" s="965">
        <f>SUM(M170:M171)</f>
        <v>104199.52</v>
      </c>
    </row>
    <row r="173" spans="1:13" ht="18.75" x14ac:dyDescent="0.3">
      <c r="A173" s="961"/>
      <c r="B173" s="950"/>
      <c r="C173" s="967"/>
      <c r="D173" s="967"/>
      <c r="E173" s="963"/>
      <c r="F173" s="964"/>
      <c r="G173" s="965"/>
      <c r="H173" s="965"/>
      <c r="I173" s="966"/>
      <c r="J173" s="963"/>
      <c r="K173" s="963"/>
      <c r="L173" s="963"/>
      <c r="M173" s="965"/>
    </row>
    <row r="174" spans="1:13" ht="18.75" x14ac:dyDescent="0.3">
      <c r="A174" s="961" t="s">
        <v>803</v>
      </c>
      <c r="B174" s="950"/>
      <c r="C174" s="967"/>
      <c r="D174" s="967"/>
      <c r="E174" s="963"/>
      <c r="F174" s="964"/>
      <c r="G174" s="965"/>
      <c r="H174" s="965"/>
      <c r="I174" s="966"/>
      <c r="J174" s="963"/>
      <c r="K174" s="963"/>
      <c r="L174" s="963"/>
      <c r="M174" s="965"/>
    </row>
    <row r="175" spans="1:13" ht="18.75" x14ac:dyDescent="0.3">
      <c r="A175" s="955" t="s">
        <v>1698</v>
      </c>
      <c r="B175" s="950" t="s">
        <v>806</v>
      </c>
      <c r="C175" s="1024" t="s">
        <v>1325</v>
      </c>
      <c r="D175" s="960" t="s">
        <v>307</v>
      </c>
      <c r="E175" s="951">
        <v>43500</v>
      </c>
      <c r="F175" s="974">
        <v>0</v>
      </c>
      <c r="G175" s="951">
        <v>43500</v>
      </c>
      <c r="H175" s="951">
        <v>1248.45</v>
      </c>
      <c r="I175" s="1191">
        <v>936.62</v>
      </c>
      <c r="J175" s="951">
        <v>1322.4</v>
      </c>
      <c r="K175" s="951">
        <v>25</v>
      </c>
      <c r="L175" s="951">
        <f t="shared" ref="L175:L180" si="40">+H175+I175+J175+K175</f>
        <v>3532.4700000000003</v>
      </c>
      <c r="M175" s="951">
        <f t="shared" ref="M175:M180" si="41">+G175-L175</f>
        <v>39967.53</v>
      </c>
    </row>
    <row r="176" spans="1:13" ht="18.75" x14ac:dyDescent="0.3">
      <c r="A176" s="955" t="s">
        <v>1699</v>
      </c>
      <c r="B176" s="950" t="s">
        <v>806</v>
      </c>
      <c r="C176" s="1024" t="s">
        <v>1325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1191">
        <v>936.62</v>
      </c>
      <c r="J176" s="951">
        <v>1322.4</v>
      </c>
      <c r="K176" s="951">
        <v>25</v>
      </c>
      <c r="L176" s="951">
        <f t="shared" si="40"/>
        <v>3532.4700000000003</v>
      </c>
      <c r="M176" s="951">
        <f t="shared" si="41"/>
        <v>39967.53</v>
      </c>
    </row>
    <row r="177" spans="1:13" ht="18.75" x14ac:dyDescent="0.3">
      <c r="A177" s="955" t="s">
        <v>1700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 t="shared" si="40"/>
        <v>3532.4700000000003</v>
      </c>
      <c r="M177" s="951">
        <f t="shared" si="41"/>
        <v>39967.53</v>
      </c>
    </row>
    <row r="178" spans="1:13" ht="16.5" customHeight="1" x14ac:dyDescent="0.3">
      <c r="A178" s="1069" t="s">
        <v>1701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421.98</v>
      </c>
      <c r="J178" s="951">
        <v>1322.4</v>
      </c>
      <c r="K178" s="951">
        <v>4861.92</v>
      </c>
      <c r="L178" s="951">
        <f t="shared" si="40"/>
        <v>7854.75</v>
      </c>
      <c r="M178" s="951">
        <f t="shared" si="41"/>
        <v>35645.25</v>
      </c>
    </row>
    <row r="179" spans="1:13" ht="18.75" x14ac:dyDescent="0.3">
      <c r="A179" s="998" t="s">
        <v>1702</v>
      </c>
      <c r="B179" s="950" t="s">
        <v>1296</v>
      </c>
      <c r="C179" s="1024" t="s">
        <v>1325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1191">
        <v>936.62</v>
      </c>
      <c r="J179" s="951">
        <v>1322.4</v>
      </c>
      <c r="K179" s="951">
        <v>25</v>
      </c>
      <c r="L179" s="951">
        <f t="shared" si="40"/>
        <v>3532.4700000000003</v>
      </c>
      <c r="M179" s="951">
        <f t="shared" si="41"/>
        <v>39967.53</v>
      </c>
    </row>
    <row r="180" spans="1:13" ht="18.75" x14ac:dyDescent="0.3">
      <c r="A180" s="998" t="s">
        <v>1327</v>
      </c>
      <c r="B180" s="950" t="s">
        <v>806</v>
      </c>
      <c r="C180" s="1024" t="s">
        <v>1325</v>
      </c>
      <c r="D180" s="960" t="s">
        <v>321</v>
      </c>
      <c r="E180" s="951">
        <v>43500</v>
      </c>
      <c r="F180" s="952">
        <v>0</v>
      </c>
      <c r="G180" s="953">
        <v>43500</v>
      </c>
      <c r="H180" s="953">
        <v>1248.45</v>
      </c>
      <c r="I180" s="1191">
        <v>936.62</v>
      </c>
      <c r="J180" s="951">
        <v>1322.4</v>
      </c>
      <c r="K180" s="951">
        <v>25</v>
      </c>
      <c r="L180" s="951">
        <f t="shared" si="40"/>
        <v>3532.4700000000003</v>
      </c>
      <c r="M180" s="951">
        <f t="shared" si="41"/>
        <v>39967.53</v>
      </c>
    </row>
    <row r="181" spans="1:13" ht="18.75" x14ac:dyDescent="0.3">
      <c r="A181" s="961" t="s">
        <v>847</v>
      </c>
      <c r="B181" s="950"/>
      <c r="C181" s="962">
        <v>6</v>
      </c>
      <c r="D181" s="962"/>
      <c r="E181" s="963">
        <f>SUM(E175:E180)</f>
        <v>261000</v>
      </c>
      <c r="F181" s="964">
        <v>0</v>
      </c>
      <c r="G181" s="963">
        <f t="shared" ref="G181:L181" si="42">SUM(G175:G180)</f>
        <v>261000</v>
      </c>
      <c r="H181" s="963">
        <f t="shared" si="42"/>
        <v>7490.7</v>
      </c>
      <c r="I181" s="966">
        <f>SUM(I175:I180)</f>
        <v>5105.08</v>
      </c>
      <c r="J181" s="963">
        <f t="shared" si="42"/>
        <v>7934.4</v>
      </c>
      <c r="K181" s="963">
        <f t="shared" si="42"/>
        <v>4986.92</v>
      </c>
      <c r="L181" s="963">
        <f t="shared" si="42"/>
        <v>25517.100000000002</v>
      </c>
      <c r="M181" s="963">
        <f>SUM(M175:M180)</f>
        <v>235482.9</v>
      </c>
    </row>
    <row r="182" spans="1:13" ht="18.75" x14ac:dyDescent="0.3">
      <c r="A182" s="961"/>
      <c r="B182" s="950"/>
      <c r="C182" s="962"/>
      <c r="D182" s="962"/>
      <c r="E182" s="963"/>
      <c r="F182" s="964"/>
      <c r="G182" s="963"/>
      <c r="H182" s="963"/>
      <c r="I182" s="966"/>
      <c r="J182" s="963"/>
      <c r="K182" s="963"/>
      <c r="L182" s="963"/>
      <c r="M182" s="963"/>
    </row>
    <row r="183" spans="1:13" ht="18.75" x14ac:dyDescent="0.3">
      <c r="A183" s="961" t="s">
        <v>1490</v>
      </c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21" customHeight="1" x14ac:dyDescent="0.3">
      <c r="A184" s="955" t="s">
        <v>1703</v>
      </c>
      <c r="B184" s="950" t="s">
        <v>807</v>
      </c>
      <c r="C184" s="960" t="s">
        <v>489</v>
      </c>
      <c r="D184" s="960" t="s">
        <v>307</v>
      </c>
      <c r="E184" s="951">
        <v>80000</v>
      </c>
      <c r="F184" s="974">
        <v>0</v>
      </c>
      <c r="G184" s="951">
        <v>80000</v>
      </c>
      <c r="H184" s="951">
        <v>2296</v>
      </c>
      <c r="I184" s="954">
        <v>7400.87</v>
      </c>
      <c r="J184" s="951">
        <v>2432</v>
      </c>
      <c r="K184" s="951">
        <v>2568.4</v>
      </c>
      <c r="L184" s="951">
        <f>+H184+I184+J184+K184</f>
        <v>14697.269999999999</v>
      </c>
      <c r="M184" s="951">
        <f>+G184-L184</f>
        <v>65302.73</v>
      </c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961" t="s">
        <v>847</v>
      </c>
      <c r="B189" s="950"/>
      <c r="C189" s="962">
        <v>5</v>
      </c>
      <c r="D189" s="962"/>
      <c r="E189" s="963">
        <f>SUM(E184:E188)</f>
        <v>254000</v>
      </c>
      <c r="F189" s="974">
        <v>0</v>
      </c>
      <c r="G189" s="963">
        <f>SUM(G184:G188)</f>
        <v>254000</v>
      </c>
      <c r="H189" s="963">
        <f t="shared" ref="H189:M189" si="43">SUM(H184:H188)</f>
        <v>7289.7999999999993</v>
      </c>
      <c r="I189" s="966">
        <f>SUM(I184:I188)</f>
        <v>11147.350000000002</v>
      </c>
      <c r="J189" s="963">
        <f t="shared" si="43"/>
        <v>7721.6</v>
      </c>
      <c r="K189" s="963">
        <f t="shared" si="43"/>
        <v>2668.4</v>
      </c>
      <c r="L189" s="963">
        <f t="shared" si="43"/>
        <v>28827.15</v>
      </c>
      <c r="M189" s="963">
        <f t="shared" si="43"/>
        <v>225172.85</v>
      </c>
    </row>
    <row r="190" spans="1:13" ht="18.75" x14ac:dyDescent="0.3">
      <c r="A190" s="961"/>
      <c r="B190" s="950"/>
      <c r="C190" s="962"/>
      <c r="D190" s="962"/>
      <c r="E190" s="963"/>
      <c r="F190" s="964"/>
      <c r="G190" s="963"/>
      <c r="H190" s="963"/>
      <c r="I190" s="966"/>
      <c r="J190" s="963"/>
      <c r="K190" s="963"/>
      <c r="L190" s="963"/>
      <c r="M190" s="963"/>
    </row>
    <row r="191" spans="1:13" ht="18.75" x14ac:dyDescent="0.3">
      <c r="A191" s="961" t="s">
        <v>1221</v>
      </c>
      <c r="B191" s="950"/>
      <c r="C191" s="967"/>
      <c r="D191" s="967"/>
      <c r="E191" s="963"/>
      <c r="F191" s="964"/>
      <c r="G191" s="965"/>
      <c r="H191" s="965"/>
      <c r="I191" s="966"/>
      <c r="J191" s="963"/>
      <c r="K191" s="963"/>
      <c r="L191" s="963"/>
      <c r="M191" s="965"/>
    </row>
    <row r="192" spans="1:13" ht="18.75" x14ac:dyDescent="0.3">
      <c r="A192" s="961" t="s">
        <v>1739</v>
      </c>
      <c r="B192" s="950"/>
      <c r="C192" s="1026"/>
      <c r="D192" s="960"/>
      <c r="E192" s="951"/>
      <c r="F192" s="974"/>
      <c r="G192" s="1032"/>
      <c r="H192" s="951"/>
      <c r="I192" s="1197"/>
      <c r="J192" s="951"/>
      <c r="K192" s="951"/>
      <c r="L192" s="1032"/>
      <c r="M192" s="1032"/>
    </row>
    <row r="193" spans="1:13" ht="18.75" x14ac:dyDescent="0.3">
      <c r="A193" s="1027" t="s">
        <v>1478</v>
      </c>
      <c r="B193" s="950" t="s">
        <v>806</v>
      </c>
      <c r="C193" s="1024" t="s">
        <v>1706</v>
      </c>
      <c r="D193" s="960" t="s">
        <v>1069</v>
      </c>
      <c r="E193" s="951">
        <v>120000</v>
      </c>
      <c r="F193" s="952">
        <v>0</v>
      </c>
      <c r="G193" s="1031">
        <v>120000</v>
      </c>
      <c r="H193" s="953">
        <v>3444</v>
      </c>
      <c r="I193" s="1198">
        <v>16809.87</v>
      </c>
      <c r="J193" s="951">
        <v>3648</v>
      </c>
      <c r="K193" s="951">
        <v>25</v>
      </c>
      <c r="L193" s="1032">
        <f>+H193+I193+J193+K193</f>
        <v>23926.87</v>
      </c>
      <c r="M193" s="1031">
        <f t="shared" ref="M193:M199" si="44">+G193-L193</f>
        <v>96073.13</v>
      </c>
    </row>
    <row r="194" spans="1:13" ht="18.75" x14ac:dyDescent="0.3">
      <c r="A194" s="1027" t="s">
        <v>244</v>
      </c>
      <c r="B194" s="950" t="s">
        <v>806</v>
      </c>
      <c r="C194" s="1024" t="s">
        <v>489</v>
      </c>
      <c r="D194" s="960" t="s">
        <v>1064</v>
      </c>
      <c r="E194" s="951">
        <v>80000</v>
      </c>
      <c r="F194" s="974">
        <v>0</v>
      </c>
      <c r="G194" s="1032">
        <v>80000</v>
      </c>
      <c r="H194" s="951">
        <v>2296</v>
      </c>
      <c r="I194" s="1198">
        <v>7400.87</v>
      </c>
      <c r="J194" s="951">
        <v>2432</v>
      </c>
      <c r="K194" s="951">
        <v>25</v>
      </c>
      <c r="L194" s="1032">
        <f>+H194+I194+J194+K194</f>
        <v>12153.869999999999</v>
      </c>
      <c r="M194" s="1031">
        <f t="shared" si="44"/>
        <v>67846.13</v>
      </c>
    </row>
    <row r="195" spans="1:13" ht="18.75" x14ac:dyDescent="0.3">
      <c r="A195" s="1027" t="s">
        <v>84</v>
      </c>
      <c r="B195" s="950" t="s">
        <v>806</v>
      </c>
      <c r="C195" s="1024" t="s">
        <v>117</v>
      </c>
      <c r="D195" s="960" t="s">
        <v>307</v>
      </c>
      <c r="E195" s="951">
        <v>70000</v>
      </c>
      <c r="F195" s="974">
        <v>0</v>
      </c>
      <c r="G195" s="951">
        <v>70000</v>
      </c>
      <c r="H195" s="951">
        <v>2009</v>
      </c>
      <c r="I195" s="1198">
        <v>5368.48</v>
      </c>
      <c r="J195" s="951">
        <v>2128</v>
      </c>
      <c r="K195" s="951">
        <v>25</v>
      </c>
      <c r="L195" s="1032">
        <f>+H195+I195+J195+K195</f>
        <v>9530.48</v>
      </c>
      <c r="M195" s="1031">
        <f t="shared" si="44"/>
        <v>60469.520000000004</v>
      </c>
    </row>
    <row r="196" spans="1:13" ht="18.75" x14ac:dyDescent="0.3">
      <c r="A196" s="1027" t="s">
        <v>94</v>
      </c>
      <c r="B196" s="950" t="s">
        <v>807</v>
      </c>
      <c r="C196" s="1024" t="s">
        <v>71</v>
      </c>
      <c r="D196" s="960" t="s">
        <v>1069</v>
      </c>
      <c r="E196" s="951">
        <v>70000</v>
      </c>
      <c r="F196" s="974">
        <v>0</v>
      </c>
      <c r="G196" s="951">
        <v>70000</v>
      </c>
      <c r="H196" s="951">
        <v>2009</v>
      </c>
      <c r="I196" s="1198">
        <v>5025.38</v>
      </c>
      <c r="J196" s="951">
        <v>2128</v>
      </c>
      <c r="K196" s="951">
        <v>1740.46</v>
      </c>
      <c r="L196" s="1032">
        <v>10902.84</v>
      </c>
      <c r="M196" s="1032">
        <f t="shared" si="44"/>
        <v>59097.16</v>
      </c>
    </row>
    <row r="197" spans="1:13" ht="18.75" x14ac:dyDescent="0.3">
      <c r="A197" s="1027" t="s">
        <v>156</v>
      </c>
      <c r="B197" s="950" t="s">
        <v>806</v>
      </c>
      <c r="C197" s="1024" t="s">
        <v>1044</v>
      </c>
      <c r="D197" s="960" t="s">
        <v>1069</v>
      </c>
      <c r="E197" s="951">
        <v>80000</v>
      </c>
      <c r="F197" s="974">
        <v>0</v>
      </c>
      <c r="G197" s="951">
        <v>80000</v>
      </c>
      <c r="H197" s="951">
        <v>2296</v>
      </c>
      <c r="I197" s="1198">
        <v>6972</v>
      </c>
      <c r="J197" s="951">
        <v>2432</v>
      </c>
      <c r="K197" s="951">
        <v>1740.46</v>
      </c>
      <c r="L197" s="1032">
        <f>+H197+I197+J197+K197</f>
        <v>13440.46</v>
      </c>
      <c r="M197" s="1032">
        <f t="shared" si="44"/>
        <v>66559.540000000008</v>
      </c>
    </row>
    <row r="198" spans="1:13" ht="18.75" x14ac:dyDescent="0.3">
      <c r="A198" s="1028" t="s">
        <v>177</v>
      </c>
      <c r="B198" s="1001" t="s">
        <v>807</v>
      </c>
      <c r="C198" s="1025" t="s">
        <v>1204</v>
      </c>
      <c r="D198" s="1024" t="s">
        <v>1069</v>
      </c>
      <c r="E198" s="951">
        <v>55000</v>
      </c>
      <c r="F198" s="974">
        <v>0</v>
      </c>
      <c r="G198" s="1032">
        <v>55000</v>
      </c>
      <c r="H198" s="956">
        <v>1578.5</v>
      </c>
      <c r="I198" s="1243">
        <v>2559.6799999999998</v>
      </c>
      <c r="J198" s="951">
        <v>1672</v>
      </c>
      <c r="K198" s="956">
        <v>2097.1999999999998</v>
      </c>
      <c r="L198" s="1032">
        <f>+H198+I198+J198+K198</f>
        <v>7907.38</v>
      </c>
      <c r="M198" s="1032">
        <f t="shared" si="44"/>
        <v>47092.62</v>
      </c>
    </row>
    <row r="199" spans="1:13" ht="18.75" x14ac:dyDescent="0.3">
      <c r="A199" s="1027" t="s">
        <v>1710</v>
      </c>
      <c r="B199" s="950" t="s">
        <v>807</v>
      </c>
      <c r="C199" s="1024" t="s">
        <v>521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197">
        <v>679.3</v>
      </c>
      <c r="J199" s="951">
        <v>1322.4</v>
      </c>
      <c r="K199" s="951">
        <v>1740.46</v>
      </c>
      <c r="L199" s="1032">
        <f>+H199+I199+J199+K199</f>
        <v>4990.6100000000006</v>
      </c>
      <c r="M199" s="1032">
        <f t="shared" si="44"/>
        <v>38509.39</v>
      </c>
    </row>
    <row r="200" spans="1:13" ht="18.75" x14ac:dyDescent="0.3">
      <c r="A200" s="1027" t="s">
        <v>1717</v>
      </c>
      <c r="B200" s="950" t="s">
        <v>806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v>3532.4700000000003</v>
      </c>
      <c r="M200" s="1032">
        <v>39967.53</v>
      </c>
    </row>
    <row r="201" spans="1:13" ht="18.75" x14ac:dyDescent="0.3">
      <c r="A201" s="1027" t="s">
        <v>1718</v>
      </c>
      <c r="B201" s="950" t="s">
        <v>806</v>
      </c>
      <c r="C201" s="1024" t="s">
        <v>1332</v>
      </c>
      <c r="D201" s="960" t="s">
        <v>321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f>+H201+I201+J201+K201</f>
        <v>3532.4700000000003</v>
      </c>
      <c r="M201" s="1032">
        <f t="shared" ref="M201:M206" si="45">+G201-L201</f>
        <v>39967.53</v>
      </c>
    </row>
    <row r="202" spans="1:13" ht="18.75" x14ac:dyDescent="0.3">
      <c r="A202" s="1027" t="s">
        <v>1721</v>
      </c>
      <c r="B202" s="950" t="s">
        <v>807</v>
      </c>
      <c r="C202" s="1024" t="s">
        <v>105</v>
      </c>
      <c r="D202" s="960" t="s">
        <v>1067</v>
      </c>
      <c r="E202" s="951">
        <v>25000</v>
      </c>
      <c r="F202" s="974">
        <v>0</v>
      </c>
      <c r="G202" s="1032">
        <v>25000</v>
      </c>
      <c r="H202" s="951">
        <v>717.5</v>
      </c>
      <c r="I202" s="1197">
        <v>0</v>
      </c>
      <c r="J202" s="951">
        <v>760</v>
      </c>
      <c r="K202" s="951">
        <v>25</v>
      </c>
      <c r="L202" s="1032">
        <f>+H202+I202+J202+K202</f>
        <v>1502.5</v>
      </c>
      <c r="M202" s="1032">
        <f t="shared" si="45"/>
        <v>23497.5</v>
      </c>
    </row>
    <row r="203" spans="1:13" ht="18.75" x14ac:dyDescent="0.3">
      <c r="A203" s="1027" t="s">
        <v>1722</v>
      </c>
      <c r="B203" s="950" t="s">
        <v>1151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197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45"/>
        <v>23497.5</v>
      </c>
    </row>
    <row r="204" spans="1:13" ht="18.75" x14ac:dyDescent="0.3">
      <c r="A204" s="1024" t="s">
        <v>830</v>
      </c>
      <c r="B204" s="950" t="s">
        <v>806</v>
      </c>
      <c r="C204" s="1026" t="s">
        <v>92</v>
      </c>
      <c r="D204" s="960" t="s">
        <v>1067</v>
      </c>
      <c r="E204" s="978">
        <v>30000</v>
      </c>
      <c r="F204" s="979">
        <v>0</v>
      </c>
      <c r="G204" s="1032">
        <v>30000</v>
      </c>
      <c r="H204" s="951">
        <v>861</v>
      </c>
      <c r="I204" s="1197">
        <v>0</v>
      </c>
      <c r="J204" s="951">
        <v>912</v>
      </c>
      <c r="K204" s="951">
        <v>25</v>
      </c>
      <c r="L204" s="1032">
        <f>+H204+I204+J204+K204</f>
        <v>1798</v>
      </c>
      <c r="M204" s="1032">
        <f t="shared" si="45"/>
        <v>28202</v>
      </c>
    </row>
    <row r="205" spans="1:13" ht="18.75" x14ac:dyDescent="0.3">
      <c r="A205" s="1027" t="s">
        <v>1723</v>
      </c>
      <c r="B205" s="950" t="s">
        <v>806</v>
      </c>
      <c r="C205" s="1026" t="s">
        <v>92</v>
      </c>
      <c r="D205" s="960" t="s">
        <v>1067</v>
      </c>
      <c r="E205" s="951">
        <v>30000</v>
      </c>
      <c r="F205" s="974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45"/>
        <v>28202</v>
      </c>
    </row>
    <row r="206" spans="1:13" ht="18.75" x14ac:dyDescent="0.3">
      <c r="A206" s="1027" t="s">
        <v>1729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1740.46</v>
      </c>
      <c r="L206" s="1032">
        <v>3513.46</v>
      </c>
      <c r="M206" s="1032">
        <f t="shared" si="45"/>
        <v>26486.54</v>
      </c>
    </row>
    <row r="207" spans="1:13" ht="18.75" x14ac:dyDescent="0.3">
      <c r="A207" s="949" t="s">
        <v>847</v>
      </c>
      <c r="B207" s="999"/>
      <c r="C207" s="962">
        <v>14</v>
      </c>
      <c r="D207" s="962"/>
      <c r="E207" s="963">
        <f>SUM(E193:E206)</f>
        <v>745500</v>
      </c>
      <c r="F207" s="963">
        <f t="shared" ref="F207:M207" si="46">SUM(F193:F206)</f>
        <v>0</v>
      </c>
      <c r="G207" s="963">
        <f t="shared" si="46"/>
        <v>745500</v>
      </c>
      <c r="H207" s="963">
        <f t="shared" si="46"/>
        <v>21395.850000000002</v>
      </c>
      <c r="I207" s="963">
        <f t="shared" si="46"/>
        <v>46688.820000000007</v>
      </c>
      <c r="J207" s="963">
        <f t="shared" si="46"/>
        <v>22663.200000000001</v>
      </c>
      <c r="K207" s="963">
        <f t="shared" si="46"/>
        <v>9284.0400000000009</v>
      </c>
      <c r="L207" s="963">
        <f t="shared" si="46"/>
        <v>100031.91</v>
      </c>
      <c r="M207" s="963">
        <f t="shared" si="46"/>
        <v>645468.0900000002</v>
      </c>
    </row>
    <row r="208" spans="1:13" ht="18.75" x14ac:dyDescent="0.3">
      <c r="A208" s="949"/>
      <c r="B208" s="999"/>
      <c r="C208" s="962"/>
      <c r="D208" s="962"/>
      <c r="E208" s="963"/>
      <c r="G208" s="963"/>
      <c r="H208" s="963"/>
      <c r="I208" s="966"/>
      <c r="J208" s="963"/>
      <c r="K208" s="963"/>
      <c r="L208" s="963"/>
      <c r="M208" s="963"/>
    </row>
    <row r="209" spans="1:13" ht="18.75" x14ac:dyDescent="0.3">
      <c r="A209" s="961" t="s">
        <v>1740</v>
      </c>
      <c r="B209" s="950"/>
      <c r="C209" s="967"/>
      <c r="D209" s="967"/>
      <c r="E209" s="963"/>
      <c r="F209" s="964"/>
      <c r="G209" s="965"/>
      <c r="H209" s="965"/>
      <c r="I209" s="966"/>
      <c r="J209" s="963"/>
      <c r="K209" s="963"/>
      <c r="L209" s="963"/>
      <c r="M209" s="965"/>
    </row>
    <row r="210" spans="1:13" ht="18.75" x14ac:dyDescent="0.3">
      <c r="A210" s="1027" t="s">
        <v>1707</v>
      </c>
      <c r="B210" s="950" t="s">
        <v>806</v>
      </c>
      <c r="C210" s="1024" t="s">
        <v>1708</v>
      </c>
      <c r="D210" s="960" t="s">
        <v>1069</v>
      </c>
      <c r="E210" s="951">
        <v>120000</v>
      </c>
      <c r="F210" s="974">
        <v>0</v>
      </c>
      <c r="G210" s="1032">
        <v>120000</v>
      </c>
      <c r="H210" s="951">
        <v>3444</v>
      </c>
      <c r="I210" s="1198">
        <v>16809.87</v>
      </c>
      <c r="J210" s="951">
        <v>3648</v>
      </c>
      <c r="K210" s="951">
        <v>25</v>
      </c>
      <c r="L210" s="1032">
        <f>+H210+I210+J210+K210</f>
        <v>23926.87</v>
      </c>
      <c r="M210" s="1031">
        <f>+G210-L210</f>
        <v>96073.13</v>
      </c>
    </row>
    <row r="211" spans="1:13" ht="18.75" x14ac:dyDescent="0.3">
      <c r="A211" s="1027" t="s">
        <v>1709</v>
      </c>
      <c r="B211" s="950" t="s">
        <v>807</v>
      </c>
      <c r="C211" s="1024" t="s">
        <v>117</v>
      </c>
      <c r="D211" s="960" t="s">
        <v>1069</v>
      </c>
      <c r="E211" s="951">
        <v>80000</v>
      </c>
      <c r="F211" s="974">
        <v>0</v>
      </c>
      <c r="G211" s="951">
        <v>80000</v>
      </c>
      <c r="H211" s="951">
        <v>2296</v>
      </c>
      <c r="I211" s="1198">
        <v>6564.09</v>
      </c>
      <c r="J211" s="951">
        <v>2432</v>
      </c>
      <c r="K211" s="951">
        <v>4158.92</v>
      </c>
      <c r="L211" s="1032">
        <f>+H211+I211+J211+K211</f>
        <v>15451.01</v>
      </c>
      <c r="M211" s="1031">
        <f>+G211-L211</f>
        <v>64548.99</v>
      </c>
    </row>
    <row r="212" spans="1:13" ht="18.75" x14ac:dyDescent="0.3">
      <c r="A212" s="1027" t="s">
        <v>1713</v>
      </c>
      <c r="B212" s="950" t="s">
        <v>807</v>
      </c>
      <c r="C212" s="1024" t="s">
        <v>276</v>
      </c>
      <c r="D212" s="960" t="s">
        <v>307</v>
      </c>
      <c r="E212" s="951">
        <v>37500</v>
      </c>
      <c r="F212" s="974">
        <v>0</v>
      </c>
      <c r="G212" s="1032">
        <v>37500</v>
      </c>
      <c r="H212" s="951">
        <v>1076.25</v>
      </c>
      <c r="I212" s="1197">
        <v>89.81</v>
      </c>
      <c r="J212" s="951">
        <v>1140</v>
      </c>
      <c r="K212" s="951">
        <v>25</v>
      </c>
      <c r="L212" s="1032">
        <f>+H212+I212+J212+K212</f>
        <v>2331.06</v>
      </c>
      <c r="M212" s="1032">
        <f>+G212-L212</f>
        <v>35168.94</v>
      </c>
    </row>
    <row r="213" spans="1:13" ht="18.75" x14ac:dyDescent="0.3">
      <c r="A213" s="1027" t="s">
        <v>1329</v>
      </c>
      <c r="B213" s="950" t="s">
        <v>1330</v>
      </c>
      <c r="C213" s="1024" t="s">
        <v>1325</v>
      </c>
      <c r="D213" s="960" t="s">
        <v>307</v>
      </c>
      <c r="E213" s="951">
        <v>43500</v>
      </c>
      <c r="F213" s="974">
        <v>0</v>
      </c>
      <c r="G213" s="1032">
        <v>43500</v>
      </c>
      <c r="H213" s="951">
        <v>1248.45</v>
      </c>
      <c r="I213" s="1197">
        <v>936.62</v>
      </c>
      <c r="J213" s="951">
        <v>1322.4</v>
      </c>
      <c r="K213" s="951">
        <v>25</v>
      </c>
      <c r="L213" s="1032">
        <f>+H213+I213+J213+K213</f>
        <v>3532.4700000000003</v>
      </c>
      <c r="M213" s="1032">
        <f>+G213-L213</f>
        <v>39967.53</v>
      </c>
    </row>
    <row r="214" spans="1:13" ht="18.75" x14ac:dyDescent="0.3">
      <c r="A214" s="1027" t="s">
        <v>1716</v>
      </c>
      <c r="B214" s="950" t="s">
        <v>806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036">
        <v>936.62</v>
      </c>
      <c r="J214" s="951">
        <v>1322.4</v>
      </c>
      <c r="K214" s="951">
        <v>25</v>
      </c>
      <c r="L214" s="1032">
        <v>3532.4700000000003</v>
      </c>
      <c r="M214" s="1032">
        <v>39967.53</v>
      </c>
    </row>
    <row r="215" spans="1:13" ht="18.75" x14ac:dyDescent="0.3">
      <c r="A215" s="1027" t="s">
        <v>698</v>
      </c>
      <c r="B215" s="950" t="s">
        <v>807</v>
      </c>
      <c r="C215" s="1024" t="s">
        <v>105</v>
      </c>
      <c r="D215" s="960" t="s">
        <v>1067</v>
      </c>
      <c r="E215" s="951">
        <v>25000</v>
      </c>
      <c r="F215" s="974">
        <v>0</v>
      </c>
      <c r="G215" s="1032">
        <v>25000</v>
      </c>
      <c r="H215" s="951">
        <v>717.5</v>
      </c>
      <c r="I215" s="1197">
        <v>0</v>
      </c>
      <c r="J215" s="951">
        <v>760</v>
      </c>
      <c r="K215" s="951">
        <v>25</v>
      </c>
      <c r="L215" s="1032">
        <f>+H215+I215+J215+K215</f>
        <v>1502.5</v>
      </c>
      <c r="M215" s="1032">
        <f>+G215-L215</f>
        <v>23497.5</v>
      </c>
    </row>
    <row r="216" spans="1:13" ht="18.75" x14ac:dyDescent="0.3">
      <c r="A216" s="1027" t="s">
        <v>1725</v>
      </c>
      <c r="B216" s="950" t="s">
        <v>806</v>
      </c>
      <c r="C216" s="1026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2134</v>
      </c>
      <c r="L216" s="1032">
        <f>+H216+I216+J216+K216</f>
        <v>3907</v>
      </c>
      <c r="M216" s="1032">
        <f>+G216-L216</f>
        <v>26093</v>
      </c>
    </row>
    <row r="217" spans="1:13" ht="17.25" customHeight="1" x14ac:dyDescent="0.3">
      <c r="A217" s="1027" t="s">
        <v>1727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25</v>
      </c>
      <c r="L217" s="1032">
        <f>+H217+I217+J217+K217</f>
        <v>1798</v>
      </c>
      <c r="M217" s="1032">
        <f>+G217-L217</f>
        <v>28202</v>
      </c>
    </row>
    <row r="218" spans="1:13" ht="18.75" x14ac:dyDescent="0.3">
      <c r="A218" s="1027" t="s">
        <v>1730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v>1798</v>
      </c>
      <c r="M218" s="1032">
        <f>+G218-L218</f>
        <v>28202</v>
      </c>
    </row>
    <row r="219" spans="1:13" ht="18.75" x14ac:dyDescent="0.3">
      <c r="A219" s="961" t="s">
        <v>847</v>
      </c>
      <c r="B219" s="950"/>
      <c r="C219" s="962">
        <v>9</v>
      </c>
      <c r="D219" s="960"/>
      <c r="E219" s="963">
        <f>SUM(E210:E218)</f>
        <v>439500</v>
      </c>
      <c r="F219" s="963">
        <f t="shared" ref="F219:M219" si="47">SUM(F210:F218)</f>
        <v>0</v>
      </c>
      <c r="G219" s="963">
        <f t="shared" si="47"/>
        <v>439500</v>
      </c>
      <c r="H219" s="963">
        <f t="shared" si="47"/>
        <v>12613.65</v>
      </c>
      <c r="I219" s="963">
        <f t="shared" si="47"/>
        <v>25337.01</v>
      </c>
      <c r="J219" s="963">
        <f t="shared" si="47"/>
        <v>13360.8</v>
      </c>
      <c r="K219" s="963">
        <f t="shared" si="47"/>
        <v>6467.92</v>
      </c>
      <c r="L219" s="963">
        <f t="shared" si="47"/>
        <v>57779.38</v>
      </c>
      <c r="M219" s="963">
        <f t="shared" si="47"/>
        <v>381720.62</v>
      </c>
    </row>
    <row r="220" spans="1:13" ht="18.75" x14ac:dyDescent="0.3">
      <c r="A220" s="961"/>
      <c r="B220" s="950"/>
      <c r="C220" s="962"/>
      <c r="D220" s="960"/>
      <c r="F220" s="974"/>
      <c r="G220" s="1032"/>
      <c r="H220" s="951"/>
      <c r="I220" s="1197"/>
      <c r="J220" s="951"/>
      <c r="K220" s="951"/>
      <c r="L220" s="1032"/>
      <c r="M220" s="1032"/>
    </row>
    <row r="221" spans="1:13" ht="18.75" x14ac:dyDescent="0.3">
      <c r="A221" s="961" t="s">
        <v>1741</v>
      </c>
      <c r="B221" s="950"/>
      <c r="C221" s="1026"/>
      <c r="D221" s="960"/>
      <c r="E221" s="951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1027" t="s">
        <v>1712</v>
      </c>
      <c r="B222" s="950" t="s">
        <v>807</v>
      </c>
      <c r="C222" s="1024" t="s">
        <v>276</v>
      </c>
      <c r="D222" s="960" t="s">
        <v>307</v>
      </c>
      <c r="E222" s="951">
        <v>37500</v>
      </c>
      <c r="F222" s="974">
        <v>0</v>
      </c>
      <c r="G222" s="1032">
        <v>37500</v>
      </c>
      <c r="H222" s="951">
        <v>1076.25</v>
      </c>
      <c r="I222" s="1197">
        <v>89.81</v>
      </c>
      <c r="J222" s="951">
        <v>1140</v>
      </c>
      <c r="K222" s="951">
        <v>25</v>
      </c>
      <c r="L222" s="1032">
        <f>+H222+I222+J222+K222</f>
        <v>2331.06</v>
      </c>
      <c r="M222" s="1032">
        <f>+G222-L222</f>
        <v>35168.94</v>
      </c>
    </row>
    <row r="223" spans="1:13" ht="18.75" x14ac:dyDescent="0.3">
      <c r="A223" s="1027" t="s">
        <v>1715</v>
      </c>
      <c r="B223" s="950" t="s">
        <v>806</v>
      </c>
      <c r="C223" s="1024" t="s">
        <v>1325</v>
      </c>
      <c r="D223" s="960" t="s">
        <v>307</v>
      </c>
      <c r="E223" s="951">
        <v>43500</v>
      </c>
      <c r="F223" s="974">
        <v>0</v>
      </c>
      <c r="G223" s="1032">
        <v>43500</v>
      </c>
      <c r="H223" s="951">
        <v>1248.45</v>
      </c>
      <c r="I223" s="1197">
        <v>936.62</v>
      </c>
      <c r="J223" s="951">
        <v>1322.4</v>
      </c>
      <c r="K223" s="951">
        <v>25</v>
      </c>
      <c r="L223" s="1032">
        <f>+H223+I223+J223+K223</f>
        <v>3532.4700000000003</v>
      </c>
      <c r="M223" s="1032">
        <f>+G223-L223</f>
        <v>39967.53</v>
      </c>
    </row>
    <row r="224" spans="1:13" ht="18.75" x14ac:dyDescent="0.3">
      <c r="A224" s="1027" t="s">
        <v>1336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v>3532.4700000000003</v>
      </c>
      <c r="M224" s="1032">
        <v>39967.53</v>
      </c>
    </row>
    <row r="225" spans="1:13" ht="18.75" x14ac:dyDescent="0.3">
      <c r="A225" s="1027" t="s">
        <v>1719</v>
      </c>
      <c r="B225" s="999" t="s">
        <v>807</v>
      </c>
      <c r="C225" s="1024" t="s">
        <v>105</v>
      </c>
      <c r="D225" s="960" t="s">
        <v>1067</v>
      </c>
      <c r="E225" s="951">
        <v>25000</v>
      </c>
      <c r="F225" s="974">
        <v>0</v>
      </c>
      <c r="G225" s="1032">
        <v>25000</v>
      </c>
      <c r="H225" s="951">
        <v>717.5</v>
      </c>
      <c r="I225" s="1197">
        <v>0</v>
      </c>
      <c r="J225" s="951">
        <v>760</v>
      </c>
      <c r="K225" s="951">
        <v>25</v>
      </c>
      <c r="L225" s="1032">
        <f>+H225+I225+J225+K225</f>
        <v>1502.5</v>
      </c>
      <c r="M225" s="1032">
        <f>+G225-L225</f>
        <v>23497.5</v>
      </c>
    </row>
    <row r="226" spans="1:13" ht="18.75" x14ac:dyDescent="0.3">
      <c r="A226" s="1027" t="s">
        <v>1726</v>
      </c>
      <c r="B226" s="950" t="s">
        <v>806</v>
      </c>
      <c r="C226" s="1026" t="s">
        <v>92</v>
      </c>
      <c r="D226" s="960" t="s">
        <v>1067</v>
      </c>
      <c r="E226" s="951">
        <v>30000</v>
      </c>
      <c r="F226" s="974">
        <v>0</v>
      </c>
      <c r="G226" s="1032">
        <v>30000</v>
      </c>
      <c r="H226" s="951">
        <v>861</v>
      </c>
      <c r="I226" s="1197">
        <v>0</v>
      </c>
      <c r="J226" s="951">
        <v>912</v>
      </c>
      <c r="K226" s="951">
        <v>25</v>
      </c>
      <c r="L226" s="1032">
        <f>+H226+I226+J226+K226</f>
        <v>1798</v>
      </c>
      <c r="M226" s="1032">
        <f>+G226-L226</f>
        <v>28202</v>
      </c>
    </row>
    <row r="227" spans="1:13" ht="18.75" x14ac:dyDescent="0.3">
      <c r="A227" s="1027" t="s">
        <v>1728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v>1798</v>
      </c>
      <c r="M227" s="1032">
        <f>+G227-L227</f>
        <v>28202</v>
      </c>
    </row>
    <row r="228" spans="1:13" ht="18.75" x14ac:dyDescent="0.3">
      <c r="A228" s="1027" t="s">
        <v>1731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961" t="s">
        <v>847</v>
      </c>
      <c r="B229" s="950"/>
      <c r="C229" s="962">
        <v>7</v>
      </c>
      <c r="D229" s="960"/>
      <c r="E229" s="963">
        <f>SUM(E222:E228)</f>
        <v>239500</v>
      </c>
      <c r="F229" s="963">
        <f t="shared" ref="F229:M229" si="48">SUM(F222:F228)</f>
        <v>0</v>
      </c>
      <c r="G229" s="963">
        <f t="shared" si="48"/>
        <v>239500</v>
      </c>
      <c r="H229" s="963">
        <f t="shared" si="48"/>
        <v>6873.65</v>
      </c>
      <c r="I229" s="963">
        <f t="shared" si="48"/>
        <v>1963.0500000000002</v>
      </c>
      <c r="J229" s="963">
        <f t="shared" si="48"/>
        <v>7280.8</v>
      </c>
      <c r="K229" s="963">
        <f t="shared" si="48"/>
        <v>175</v>
      </c>
      <c r="L229" s="963">
        <f t="shared" si="48"/>
        <v>16292.5</v>
      </c>
      <c r="M229" s="963">
        <f t="shared" si="48"/>
        <v>223207.5</v>
      </c>
    </row>
    <row r="230" spans="1:13" ht="18.75" x14ac:dyDescent="0.3">
      <c r="A230" s="961"/>
      <c r="B230" s="950"/>
      <c r="C230" s="962"/>
      <c r="D230" s="960"/>
      <c r="E230" s="951"/>
      <c r="F230" s="974"/>
      <c r="G230" s="1032"/>
      <c r="H230" s="951"/>
      <c r="I230" s="1197"/>
      <c r="J230" s="951"/>
      <c r="K230" s="951"/>
      <c r="L230" s="1032"/>
      <c r="M230" s="1032"/>
    </row>
    <row r="231" spans="1:13" ht="18.75" x14ac:dyDescent="0.3">
      <c r="A231" s="961" t="s">
        <v>1742</v>
      </c>
      <c r="B231" s="950"/>
      <c r="C231" s="1026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1027" t="s">
        <v>1711</v>
      </c>
      <c r="B232" s="950" t="s">
        <v>807</v>
      </c>
      <c r="C232" s="1024" t="s">
        <v>521</v>
      </c>
      <c r="D232" s="960" t="s">
        <v>307</v>
      </c>
      <c r="E232" s="951">
        <v>37500</v>
      </c>
      <c r="F232" s="974">
        <v>0</v>
      </c>
      <c r="G232" s="1032">
        <v>37500</v>
      </c>
      <c r="H232" s="951">
        <v>1076.25</v>
      </c>
      <c r="I232" s="1197">
        <v>89.81</v>
      </c>
      <c r="J232" s="951">
        <v>1140</v>
      </c>
      <c r="K232" s="951">
        <v>25</v>
      </c>
      <c r="L232" s="1032">
        <f>+H232+I232+J232+K232</f>
        <v>2331.06</v>
      </c>
      <c r="M232" s="1032">
        <f t="shared" ref="M232:M237" si="49">+G232-L232</f>
        <v>35168.94</v>
      </c>
    </row>
    <row r="233" spans="1:13" ht="18.75" x14ac:dyDescent="0.3">
      <c r="A233" s="1027" t="s">
        <v>1714</v>
      </c>
      <c r="B233" s="950" t="s">
        <v>807</v>
      </c>
      <c r="C233" s="1024" t="s">
        <v>276</v>
      </c>
      <c r="D233" s="960" t="s">
        <v>307</v>
      </c>
      <c r="E233" s="951">
        <v>43500</v>
      </c>
      <c r="F233" s="974">
        <v>0</v>
      </c>
      <c r="G233" s="1032">
        <v>43500</v>
      </c>
      <c r="H233" s="951">
        <v>1248.45</v>
      </c>
      <c r="I233" s="1197">
        <v>936.62</v>
      </c>
      <c r="J233" s="951">
        <v>1322.4</v>
      </c>
      <c r="K233" s="951">
        <v>25</v>
      </c>
      <c r="L233" s="1032">
        <f>+H233+I233+J233+K233</f>
        <v>3532.4700000000003</v>
      </c>
      <c r="M233" s="1032">
        <f t="shared" si="49"/>
        <v>39967.53</v>
      </c>
    </row>
    <row r="234" spans="1:13" ht="18.75" x14ac:dyDescent="0.3">
      <c r="A234" s="1027" t="s">
        <v>1440</v>
      </c>
      <c r="B234" s="950" t="s">
        <v>807</v>
      </c>
      <c r="C234" s="1024" t="s">
        <v>276</v>
      </c>
      <c r="D234" s="960" t="s">
        <v>307</v>
      </c>
      <c r="E234" s="951">
        <v>37500</v>
      </c>
      <c r="F234" s="974">
        <v>0</v>
      </c>
      <c r="G234" s="1032">
        <v>37500</v>
      </c>
      <c r="H234" s="951">
        <v>1076.25</v>
      </c>
      <c r="I234" s="1197">
        <v>89.81</v>
      </c>
      <c r="J234" s="951">
        <v>1140</v>
      </c>
      <c r="K234" s="951">
        <v>25</v>
      </c>
      <c r="L234" s="1032">
        <v>2331.06</v>
      </c>
      <c r="M234" s="1032">
        <f t="shared" si="49"/>
        <v>35168.94</v>
      </c>
    </row>
    <row r="235" spans="1:13" ht="18.75" x14ac:dyDescent="0.3">
      <c r="A235" s="1027" t="s">
        <v>1720</v>
      </c>
      <c r="B235" s="999" t="s">
        <v>807</v>
      </c>
      <c r="C235" s="1024" t="s">
        <v>105</v>
      </c>
      <c r="D235" s="960" t="s">
        <v>1067</v>
      </c>
      <c r="E235" s="951">
        <v>25000</v>
      </c>
      <c r="F235" s="974">
        <v>0</v>
      </c>
      <c r="G235" s="1032">
        <v>25000</v>
      </c>
      <c r="H235" s="951">
        <v>717.5</v>
      </c>
      <c r="I235" s="1197">
        <v>0</v>
      </c>
      <c r="J235" s="951">
        <v>760</v>
      </c>
      <c r="K235" s="951">
        <v>25</v>
      </c>
      <c r="L235" s="1032">
        <f>+H235+I235+J235+K235</f>
        <v>1502.5</v>
      </c>
      <c r="M235" s="1032">
        <f t="shared" si="49"/>
        <v>23497.5</v>
      </c>
    </row>
    <row r="236" spans="1:13" ht="18.75" x14ac:dyDescent="0.3">
      <c r="A236" s="1024" t="s">
        <v>1056</v>
      </c>
      <c r="B236" s="950" t="s">
        <v>806</v>
      </c>
      <c r="C236" s="1026" t="s">
        <v>92</v>
      </c>
      <c r="D236" s="960" t="s">
        <v>1067</v>
      </c>
      <c r="E236" s="978">
        <v>30000</v>
      </c>
      <c r="F236" s="979">
        <v>0</v>
      </c>
      <c r="G236" s="1032">
        <v>30000</v>
      </c>
      <c r="H236" s="951">
        <v>861</v>
      </c>
      <c r="I236" s="1197">
        <v>0</v>
      </c>
      <c r="J236" s="951">
        <v>912</v>
      </c>
      <c r="K236" s="951">
        <v>25</v>
      </c>
      <c r="L236" s="1032">
        <f>+H236+I236+J236+K236</f>
        <v>1798</v>
      </c>
      <c r="M236" s="1032">
        <f t="shared" si="49"/>
        <v>28202</v>
      </c>
    </row>
    <row r="237" spans="1:13" ht="18.75" x14ac:dyDescent="0.3">
      <c r="A237" s="1027" t="s">
        <v>1724</v>
      </c>
      <c r="B237" s="950" t="s">
        <v>1296</v>
      </c>
      <c r="C237" s="1026" t="s">
        <v>92</v>
      </c>
      <c r="D237" s="960" t="s">
        <v>1067</v>
      </c>
      <c r="E237" s="951">
        <v>30000</v>
      </c>
      <c r="F237" s="974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49"/>
        <v>28202</v>
      </c>
    </row>
    <row r="238" spans="1:13" ht="18.75" x14ac:dyDescent="0.3">
      <c r="A238" s="961" t="s">
        <v>847</v>
      </c>
      <c r="B238" s="950"/>
      <c r="C238" s="962">
        <v>6</v>
      </c>
      <c r="D238" s="960"/>
      <c r="E238" s="963">
        <f>SUM(E232:E237)</f>
        <v>203500</v>
      </c>
      <c r="F238" s="963">
        <f t="shared" ref="F238:M238" si="50">SUM(F232:F237)</f>
        <v>0</v>
      </c>
      <c r="G238" s="963">
        <f t="shared" si="50"/>
        <v>203500</v>
      </c>
      <c r="H238" s="963">
        <f t="shared" si="50"/>
        <v>5840.45</v>
      </c>
      <c r="I238" s="963">
        <f t="shared" si="50"/>
        <v>1116.24</v>
      </c>
      <c r="J238" s="963">
        <f t="shared" si="50"/>
        <v>6186.4</v>
      </c>
      <c r="K238" s="963">
        <f t="shared" si="50"/>
        <v>150</v>
      </c>
      <c r="L238" s="963">
        <f t="shared" si="50"/>
        <v>13293.09</v>
      </c>
      <c r="M238" s="963">
        <f t="shared" si="50"/>
        <v>190206.91</v>
      </c>
    </row>
    <row r="239" spans="1:13" ht="18.75" x14ac:dyDescent="0.3">
      <c r="A239" s="961"/>
      <c r="B239" s="950"/>
      <c r="C239" s="962"/>
      <c r="D239" s="960"/>
      <c r="E239" s="963">
        <f>+E207+E219+E229+E238</f>
        <v>1628000</v>
      </c>
      <c r="F239" s="963">
        <f t="shared" ref="F239:M239" si="51">+F207+F219+F229+F238</f>
        <v>0</v>
      </c>
      <c r="G239" s="963">
        <f t="shared" si="51"/>
        <v>1628000</v>
      </c>
      <c r="H239" s="963">
        <f t="shared" si="51"/>
        <v>46723.6</v>
      </c>
      <c r="I239" s="963">
        <f t="shared" si="51"/>
        <v>75105.12000000001</v>
      </c>
      <c r="J239" s="963">
        <f t="shared" si="51"/>
        <v>49491.200000000004</v>
      </c>
      <c r="K239" s="963">
        <f t="shared" si="51"/>
        <v>16076.960000000001</v>
      </c>
      <c r="L239" s="963">
        <f t="shared" si="51"/>
        <v>187396.88</v>
      </c>
      <c r="M239" s="963">
        <f t="shared" si="51"/>
        <v>1440603.12</v>
      </c>
    </row>
    <row r="240" spans="1:13" ht="18.75" x14ac:dyDescent="0.3">
      <c r="A240" s="961"/>
      <c r="B240" s="958"/>
      <c r="C240" s="962"/>
      <c r="D240" s="962"/>
      <c r="E240" s="963"/>
      <c r="F240" s="964"/>
      <c r="G240" s="965"/>
      <c r="H240" s="965"/>
      <c r="I240" s="966"/>
      <c r="J240" s="963"/>
      <c r="K240" s="963"/>
      <c r="L240" s="963"/>
      <c r="M240" s="965"/>
    </row>
    <row r="241" spans="1:13" ht="27.75" customHeight="1" x14ac:dyDescent="0.3">
      <c r="A241" s="1058" t="s">
        <v>865</v>
      </c>
      <c r="B241" s="1059"/>
      <c r="C241" s="1058">
        <f>+C219+C189+C181+C172+C167+C162+C155+C151+C146+C140+C133+C123+C115+C111+C100++C89+C74+C59+C53+C48+C43+C39+C30+C19+C94+C105+C26+C127+C238+C229+C207</f>
        <v>132</v>
      </c>
      <c r="D241" s="1058"/>
      <c r="E241" s="1076">
        <f>+E19+E26+E30+E39+E43+E48+E53+E59+E74+E89+E94+E100+E105+E111+E115+E123+E127+E133+E140+E146+E151+E155+E162+E167+E172+E181+E189+E239</f>
        <v>7012000</v>
      </c>
      <c r="F241" s="1076">
        <f t="shared" ref="F241:M241" si="52">+F19+F26+F30+F39+F43+F48+F53+F59+F74+F89+F94+F100+F105+F111+F115+F123+F127+F133+F140+F146+F151+F155+F162+F167+F172+F181+F189+F239</f>
        <v>0</v>
      </c>
      <c r="G241" s="1076">
        <f t="shared" si="52"/>
        <v>7012000</v>
      </c>
      <c r="H241" s="1076">
        <f t="shared" si="52"/>
        <v>201244.4</v>
      </c>
      <c r="I241" s="1076">
        <f t="shared" si="52"/>
        <v>449379.7099999999</v>
      </c>
      <c r="J241" s="1076">
        <f t="shared" si="52"/>
        <v>211849.93999999997</v>
      </c>
      <c r="K241" s="1076">
        <f t="shared" si="52"/>
        <v>157355.06000000003</v>
      </c>
      <c r="L241" s="1076">
        <f t="shared" si="52"/>
        <v>1019829.1100000001</v>
      </c>
      <c r="M241" s="1076">
        <f t="shared" si="52"/>
        <v>5992170.8899999997</v>
      </c>
    </row>
    <row r="242" spans="1:13" ht="15.75" x14ac:dyDescent="0.25">
      <c r="A242" s="853"/>
      <c r="B242" s="871"/>
      <c r="C242" s="853"/>
      <c r="D242" s="853"/>
      <c r="E242" s="869"/>
      <c r="F242" s="853"/>
      <c r="G242" s="853"/>
      <c r="H242" s="853"/>
      <c r="I242" s="853"/>
      <c r="J242" s="1093"/>
      <c r="K242" s="1093"/>
      <c r="L242" s="1093"/>
      <c r="M242" s="1022"/>
    </row>
    <row r="243" spans="1:13" ht="14.25" customHeight="1" x14ac:dyDescent="0.25">
      <c r="A243" s="853"/>
      <c r="B243" s="871"/>
      <c r="C243" s="853"/>
      <c r="D243" s="853"/>
      <c r="E243" s="869"/>
      <c r="F243" s="853"/>
      <c r="G243" s="853"/>
      <c r="H243" s="853"/>
      <c r="I243" s="853"/>
      <c r="J243" s="1093"/>
      <c r="K243" s="1093"/>
      <c r="L243" s="1093"/>
      <c r="M243" s="1022"/>
    </row>
    <row r="244" spans="1:13" ht="15.75" x14ac:dyDescent="0.25">
      <c r="A244" s="853"/>
      <c r="B244" s="871"/>
      <c r="C244" s="853"/>
      <c r="D244" s="853"/>
      <c r="E244" s="869"/>
      <c r="F244" s="853"/>
      <c r="G244" s="853"/>
      <c r="H244" s="853"/>
      <c r="I244" s="1073"/>
      <c r="J244" s="1093"/>
      <c r="K244" s="1093"/>
      <c r="L244" s="1093"/>
      <c r="M244" s="1022"/>
    </row>
    <row r="245" spans="1:13" ht="15.75" x14ac:dyDescent="0.25">
      <c r="A245" s="853"/>
      <c r="B245" s="871"/>
      <c r="C245" s="1022"/>
      <c r="D245" s="1244"/>
      <c r="E245" s="869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E247" s="869"/>
      <c r="F247" s="853"/>
      <c r="G247" s="853"/>
      <c r="H247" s="853"/>
      <c r="I247" s="1022"/>
      <c r="J247" s="1093"/>
      <c r="K247" s="1093"/>
      <c r="L247" s="1093"/>
      <c r="M247" s="1022"/>
    </row>
    <row r="248" spans="1:13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53"/>
      <c r="J248" s="869"/>
      <c r="K248" s="869"/>
      <c r="L248" s="869"/>
      <c r="M248" s="853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17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73"/>
      <c r="B257" s="874"/>
      <c r="C257" s="873"/>
      <c r="D257" s="873"/>
      <c r="E257" s="875"/>
      <c r="F257" s="873"/>
      <c r="G257" s="873"/>
      <c r="H257" s="873"/>
      <c r="I257" s="873"/>
      <c r="J257" s="1094"/>
      <c r="K257" s="1094"/>
      <c r="L257" s="1094"/>
      <c r="M257" s="873"/>
    </row>
    <row r="258" spans="1:14" ht="15.75" x14ac:dyDescent="0.25">
      <c r="A258" s="873"/>
      <c r="B258" s="871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1"/>
      <c r="B259" s="871"/>
      <c r="C259" s="871"/>
      <c r="D259" s="871"/>
      <c r="E259" s="876"/>
      <c r="F259" s="877"/>
      <c r="G259" s="878"/>
      <c r="H259" s="879"/>
      <c r="I259" s="1200"/>
      <c r="J259" s="1095"/>
      <c r="K259" s="1095"/>
      <c r="L259" s="1095"/>
      <c r="M259" s="880"/>
    </row>
    <row r="260" spans="1:14" ht="15.75" x14ac:dyDescent="0.25">
      <c r="A260" s="1703" t="s">
        <v>1271</v>
      </c>
      <c r="B260" s="1703"/>
      <c r="C260" s="874"/>
      <c r="D260" s="874"/>
      <c r="E260" s="875"/>
      <c r="F260" s="873"/>
      <c r="G260" s="873"/>
      <c r="H260" s="1683" t="s">
        <v>852</v>
      </c>
      <c r="I260" s="1683"/>
      <c r="J260" s="1683"/>
      <c r="K260" s="1683"/>
      <c r="L260" s="1683"/>
      <c r="M260" s="1683"/>
    </row>
    <row r="261" spans="1:14" ht="15.75" x14ac:dyDescent="0.25">
      <c r="A261" s="930" t="s">
        <v>1376</v>
      </c>
      <c r="B261" s="871"/>
      <c r="C261" s="871"/>
      <c r="D261" s="871"/>
      <c r="E261" s="875"/>
      <c r="F261" s="873"/>
      <c r="H261" s="622"/>
      <c r="I261" s="1684" t="s">
        <v>1504</v>
      </c>
      <c r="J261" s="1684"/>
      <c r="K261" s="1684"/>
      <c r="L261" s="1684"/>
      <c r="M261" s="622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928"/>
      <c r="J262" s="519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99.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874"/>
      <c r="B275" s="851"/>
      <c r="C275" s="874"/>
      <c r="D275" s="874"/>
      <c r="E275" s="883"/>
      <c r="F275" s="874"/>
      <c r="G275" s="884"/>
      <c r="H275" s="882"/>
      <c r="I275" s="873"/>
      <c r="J275" s="1096"/>
      <c r="K275" s="1096"/>
      <c r="L275" s="1096"/>
      <c r="M275" s="885"/>
    </row>
  </sheetData>
  <mergeCells count="20">
    <mergeCell ref="M12:M13"/>
    <mergeCell ref="A260:B260"/>
    <mergeCell ref="H260:M260"/>
    <mergeCell ref="I261:L261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5" fitToHeight="0" orientation="landscape" r:id="rId1"/>
  <rowBreaks count="3" manualBreakCount="3">
    <brk id="80" max="13" man="1"/>
    <brk id="151" max="13" man="1"/>
    <brk id="218" max="13" man="1"/>
  </rowBreaks>
  <drawing r:id="rId2"/>
</worksheet>
</file>

<file path=xl/worksheets/sheet3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0A6546-81D6-4405-ABFE-9B112A67AABA}">
  <dimension ref="B1:Q174"/>
  <sheetViews>
    <sheetView topLeftCell="A129" zoomScaleNormal="100" zoomScaleSheetLayoutView="89" workbookViewId="0">
      <selection activeCell="D150" sqref="D150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37.57031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4.7109375" customWidth="1"/>
    <col min="11" max="11" width="14" customWidth="1"/>
    <col min="12" max="12" width="14.42578125" customWidth="1"/>
    <col min="13" max="13" width="15" style="25" customWidth="1"/>
    <col min="14" max="14" width="11.85546875" bestFit="1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556" t="s">
        <v>1502</v>
      </c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  <c r="P5" s="1556"/>
    </row>
    <row r="6" spans="2:16" x14ac:dyDescent="0.25">
      <c r="B6" s="1556" t="s">
        <v>1</v>
      </c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  <c r="P6" s="1556"/>
    </row>
    <row r="7" spans="2:16" x14ac:dyDescent="0.25">
      <c r="B7" s="1556" t="s">
        <v>3</v>
      </c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  <c r="P7" s="1556"/>
    </row>
    <row r="8" spans="2:16" x14ac:dyDescent="0.25">
      <c r="B8" s="1556" t="s">
        <v>1576</v>
      </c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  <c r="P8" s="1556"/>
    </row>
    <row r="9" spans="2:16" x14ac:dyDescent="0.25">
      <c r="B9" s="1634" t="s">
        <v>441</v>
      </c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  <c r="P9" s="1634"/>
    </row>
    <row r="10" spans="2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709" t="s">
        <v>7</v>
      </c>
      <c r="C11" s="1709" t="s">
        <v>937</v>
      </c>
      <c r="D11" s="1712" t="s">
        <v>10</v>
      </c>
      <c r="E11" s="1709" t="s">
        <v>832</v>
      </c>
      <c r="F11" s="1709" t="s">
        <v>834</v>
      </c>
      <c r="G11" s="1709" t="s">
        <v>209</v>
      </c>
      <c r="H11" s="1051" t="s">
        <v>12</v>
      </c>
      <c r="I11" s="1711" t="s">
        <v>13</v>
      </c>
      <c r="J11" s="1710" t="s">
        <v>14</v>
      </c>
      <c r="K11" s="1710" t="s">
        <v>15</v>
      </c>
      <c r="L11" s="1710" t="s">
        <v>16</v>
      </c>
      <c r="M11" s="1722" t="s">
        <v>17</v>
      </c>
      <c r="N11" s="1722" t="s">
        <v>18</v>
      </c>
      <c r="O11" s="1710" t="s">
        <v>19</v>
      </c>
      <c r="P11" s="1710" t="s">
        <v>20</v>
      </c>
    </row>
    <row r="12" spans="2:16" x14ac:dyDescent="0.25">
      <c r="B12" s="1709"/>
      <c r="C12" s="1709"/>
      <c r="D12" s="1712"/>
      <c r="E12" s="1709"/>
      <c r="F12" s="1709"/>
      <c r="G12" s="1709"/>
      <c r="H12" s="1051" t="s">
        <v>21</v>
      </c>
      <c r="I12" s="1711"/>
      <c r="J12" s="1710"/>
      <c r="K12" s="1710"/>
      <c r="L12" s="1710"/>
      <c r="M12" s="1722"/>
      <c r="N12" s="1722"/>
      <c r="O12" s="1710"/>
      <c r="P12" s="1710"/>
    </row>
    <row r="13" spans="2:16" ht="21" customHeight="1" x14ac:dyDescent="0.25">
      <c r="B13" s="1014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571"/>
    </row>
    <row r="14" spans="2:16" ht="21" customHeight="1" x14ac:dyDescent="0.25">
      <c r="B14" s="1274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2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2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2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2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2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2:16" s="25" customFormat="1" ht="21" customHeight="1" x14ac:dyDescent="0.25"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2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2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463"/>
    </row>
    <row r="23" spans="2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457">
        <v>117243.38</v>
      </c>
    </row>
    <row r="24" spans="2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457">
        <f>+J24-O24</f>
        <v>48054.020000000004</v>
      </c>
    </row>
    <row r="25" spans="2:16" ht="21" customHeight="1" x14ac:dyDescent="0.25">
      <c r="B25" s="466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145">
        <f t="shared" si="2"/>
        <v>165297.40000000002</v>
      </c>
    </row>
    <row r="26" spans="2:16" ht="21" customHeight="1" x14ac:dyDescent="0.25">
      <c r="B26" s="490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494"/>
    </row>
    <row r="27" spans="2:16" ht="21" customHeight="1" x14ac:dyDescent="0.25">
      <c r="B27" s="490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463"/>
    </row>
    <row r="28" spans="2:16" ht="27" customHeight="1" x14ac:dyDescent="0.25">
      <c r="B28" s="49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457">
        <f>+J28-O28</f>
        <v>90001.36</v>
      </c>
    </row>
    <row r="29" spans="2:16" ht="21" customHeight="1" x14ac:dyDescent="0.25">
      <c r="B29" s="466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695">
        <f t="shared" si="3"/>
        <v>90001.36</v>
      </c>
    </row>
    <row r="30" spans="2:16" ht="21" customHeight="1" x14ac:dyDescent="0.25">
      <c r="B30" s="466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2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2:16" s="259" customFormat="1" ht="29.25" customHeight="1" x14ac:dyDescent="0.25">
      <c r="B32" s="275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100">
        <f>+H32-O32</f>
        <v>72793.88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695">
        <f>+H33-O33</f>
        <v>72793.88</v>
      </c>
    </row>
    <row r="34" spans="2:16" ht="21" customHeight="1" x14ac:dyDescent="0.25">
      <c r="B34" s="466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463"/>
    </row>
    <row r="35" spans="2:16" ht="21" customHeight="1" x14ac:dyDescent="0.25">
      <c r="B35" s="466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53"/>
    </row>
    <row r="36" spans="2:16" s="259" customFormat="1" ht="21" customHeight="1" x14ac:dyDescent="0.25">
      <c r="B36" s="1251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675">
        <f>+J36-O36</f>
        <v>58967.199999999997</v>
      </c>
    </row>
    <row r="37" spans="2:16" ht="21" customHeight="1" x14ac:dyDescent="0.25">
      <c r="B37" s="466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676">
        <f>+J37-O37</f>
        <v>58967.199999999997</v>
      </c>
    </row>
    <row r="38" spans="2:16" ht="21" customHeight="1" x14ac:dyDescent="0.25">
      <c r="B38" s="466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466" t="s">
        <v>839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695"/>
    </row>
    <row r="40" spans="2:16" ht="27.75" customHeight="1" x14ac:dyDescent="0.25">
      <c r="B40" s="286" t="s">
        <v>1581</v>
      </c>
      <c r="C40" s="685" t="s">
        <v>807</v>
      </c>
      <c r="D40" s="282" t="s">
        <v>1570</v>
      </c>
      <c r="E40" s="281" t="s">
        <v>1063</v>
      </c>
      <c r="F40" s="855">
        <v>45748</v>
      </c>
      <c r="G40" s="855">
        <v>45901</v>
      </c>
      <c r="H40" s="626">
        <v>150000</v>
      </c>
      <c r="I40" s="1169">
        <v>0</v>
      </c>
      <c r="J40" s="626">
        <v>150000</v>
      </c>
      <c r="K40" s="626">
        <v>4305</v>
      </c>
      <c r="L40" s="626">
        <v>23437.75</v>
      </c>
      <c r="M40" s="1149">
        <v>4560</v>
      </c>
      <c r="N40" s="626">
        <v>3912.66</v>
      </c>
      <c r="O40" s="626">
        <v>36215.410000000003</v>
      </c>
      <c r="P40" s="626">
        <v>113784.59</v>
      </c>
    </row>
    <row r="41" spans="2:16" ht="21" customHeight="1" x14ac:dyDescent="0.25">
      <c r="B41" s="453" t="s">
        <v>813</v>
      </c>
      <c r="C41" s="569"/>
      <c r="D41" s="492">
        <v>1</v>
      </c>
      <c r="E41" s="465"/>
      <c r="F41" s="500"/>
      <c r="G41" s="855"/>
      <c r="H41" s="695">
        <v>150000</v>
      </c>
      <c r="I41" s="1144">
        <v>0</v>
      </c>
      <c r="J41" s="695">
        <v>150000</v>
      </c>
      <c r="K41" s="695">
        <v>4305</v>
      </c>
      <c r="L41" s="695">
        <v>23437.75</v>
      </c>
      <c r="M41" s="1145">
        <v>4560</v>
      </c>
      <c r="N41" s="695">
        <v>3912.66</v>
      </c>
      <c r="O41" s="695">
        <v>36215.410000000003</v>
      </c>
      <c r="P41" s="695">
        <v>113784.59</v>
      </c>
    </row>
    <row r="42" spans="2:16" ht="21" customHeight="1" x14ac:dyDescent="0.25">
      <c r="B42" s="496"/>
      <c r="C42" s="684"/>
      <c r="D42" s="282"/>
      <c r="E42" s="281"/>
      <c r="F42" s="858"/>
      <c r="G42" s="855"/>
      <c r="H42" s="626"/>
      <c r="I42" s="1111"/>
      <c r="J42" s="457"/>
      <c r="K42" s="457"/>
      <c r="L42" s="457"/>
      <c r="M42" s="1149"/>
      <c r="N42" s="468"/>
      <c r="O42" s="457"/>
      <c r="P42" s="457"/>
    </row>
    <row r="43" spans="2:16" ht="21" customHeight="1" x14ac:dyDescent="0.25">
      <c r="B43" s="453" t="s">
        <v>1128</v>
      </c>
      <c r="C43" s="1224"/>
      <c r="D43" s="280"/>
      <c r="E43" s="280"/>
      <c r="F43" s="858"/>
      <c r="G43" s="855"/>
      <c r="H43" s="280"/>
      <c r="I43" s="1113"/>
      <c r="J43" s="487"/>
      <c r="K43" s="457"/>
      <c r="L43" s="457"/>
      <c r="M43" s="1149"/>
      <c r="N43" s="468"/>
      <c r="O43" s="457"/>
      <c r="P43" s="457"/>
    </row>
    <row r="44" spans="2:16" ht="29.25" customHeight="1" x14ac:dyDescent="0.25">
      <c r="B44" s="280" t="s">
        <v>461</v>
      </c>
      <c r="C44" s="685" t="s">
        <v>807</v>
      </c>
      <c r="D44" s="282" t="s">
        <v>1574</v>
      </c>
      <c r="E44" s="281" t="s">
        <v>1063</v>
      </c>
      <c r="F44" s="855">
        <v>45748</v>
      </c>
      <c r="G44" s="855">
        <v>45901</v>
      </c>
      <c r="H44" s="468">
        <v>115000</v>
      </c>
      <c r="I44" s="1111">
        <v>0</v>
      </c>
      <c r="J44" s="489">
        <v>115000</v>
      </c>
      <c r="K44" s="489">
        <v>3300.5</v>
      </c>
      <c r="L44" s="489">
        <v>15633.74</v>
      </c>
      <c r="M44" s="1149">
        <v>3496</v>
      </c>
      <c r="N44" s="861">
        <v>1431</v>
      </c>
      <c r="O44" s="457">
        <f>+K44+L44+M44+N44</f>
        <v>23861.239999999998</v>
      </c>
      <c r="P44" s="457">
        <f>+J44-O44</f>
        <v>91138.760000000009</v>
      </c>
    </row>
    <row r="45" spans="2:16" ht="21" customHeight="1" x14ac:dyDescent="0.25">
      <c r="B45" s="280" t="s">
        <v>1283</v>
      </c>
      <c r="C45" s="685" t="s">
        <v>807</v>
      </c>
      <c r="D45" s="282" t="s">
        <v>1495</v>
      </c>
      <c r="E45" s="281" t="s">
        <v>1281</v>
      </c>
      <c r="F45" s="855">
        <v>45748</v>
      </c>
      <c r="G45" s="855">
        <v>45901</v>
      </c>
      <c r="H45" s="468">
        <v>60000</v>
      </c>
      <c r="I45" s="1169">
        <v>0</v>
      </c>
      <c r="J45" s="628">
        <v>60000</v>
      </c>
      <c r="K45" s="628">
        <v>1722</v>
      </c>
      <c r="L45" s="628">
        <v>3486.68</v>
      </c>
      <c r="M45" s="1149">
        <v>1824</v>
      </c>
      <c r="N45" s="861">
        <v>728</v>
      </c>
      <c r="O45" s="468">
        <f>+K45+L45+M45+N45</f>
        <v>7760.68</v>
      </c>
      <c r="P45" s="468">
        <f>+J45-O45</f>
        <v>52239.32</v>
      </c>
    </row>
    <row r="46" spans="2:16" ht="21" customHeight="1" x14ac:dyDescent="0.25">
      <c r="B46" s="453" t="s">
        <v>813</v>
      </c>
      <c r="C46" s="1224"/>
      <c r="D46" s="453">
        <v>2</v>
      </c>
      <c r="E46" s="525"/>
      <c r="F46" s="500"/>
      <c r="G46" s="855"/>
      <c r="H46" s="695">
        <f>SUM(H44:H45)</f>
        <v>175000</v>
      </c>
      <c r="I46" s="1144">
        <f t="shared" ref="I46" si="4">SUM(I45)</f>
        <v>0</v>
      </c>
      <c r="J46" s="695">
        <f t="shared" ref="J46:P46" si="5">SUM(J44:J45)</f>
        <v>175000</v>
      </c>
      <c r="K46" s="695">
        <f t="shared" si="5"/>
        <v>5022.5</v>
      </c>
      <c r="L46" s="695">
        <f t="shared" si="5"/>
        <v>19120.419999999998</v>
      </c>
      <c r="M46" s="1145">
        <f t="shared" si="5"/>
        <v>5320</v>
      </c>
      <c r="N46" s="695">
        <f>SUM(N44:N45)</f>
        <v>2159</v>
      </c>
      <c r="O46" s="695">
        <f t="shared" si="5"/>
        <v>31621.919999999998</v>
      </c>
      <c r="P46" s="695">
        <f t="shared" si="5"/>
        <v>143378.08000000002</v>
      </c>
    </row>
    <row r="47" spans="2:16" ht="21" customHeight="1" x14ac:dyDescent="0.25">
      <c r="B47" s="461"/>
      <c r="C47" s="1225"/>
      <c r="D47" s="453"/>
      <c r="E47" s="525"/>
      <c r="F47" s="858"/>
      <c r="G47" s="855"/>
      <c r="H47" s="697"/>
      <c r="I47" s="1112"/>
      <c r="J47" s="522"/>
      <c r="K47" s="522"/>
      <c r="L47" s="522"/>
      <c r="M47" s="1145"/>
      <c r="N47" s="1173"/>
      <c r="O47" s="463"/>
      <c r="P47" s="463"/>
    </row>
    <row r="48" spans="2:16" ht="21" customHeight="1" x14ac:dyDescent="0.25">
      <c r="B48" s="1014" t="s">
        <v>1575</v>
      </c>
      <c r="C48" s="569"/>
      <c r="D48" s="492"/>
      <c r="E48" s="465"/>
      <c r="F48" s="500"/>
      <c r="G48" s="855"/>
      <c r="H48" s="695"/>
      <c r="I48" s="1144"/>
      <c r="J48" s="695"/>
      <c r="K48" s="695"/>
      <c r="L48" s="695"/>
      <c r="M48" s="1145"/>
      <c r="N48" s="695"/>
      <c r="O48" s="695"/>
      <c r="P48" s="695"/>
    </row>
    <row r="49" spans="2:16" ht="28.5" customHeight="1" x14ac:dyDescent="0.25">
      <c r="B49" s="496" t="s">
        <v>1582</v>
      </c>
      <c r="C49" s="684" t="s">
        <v>807</v>
      </c>
      <c r="D49" s="282" t="s">
        <v>1571</v>
      </c>
      <c r="E49" s="281" t="s">
        <v>1063</v>
      </c>
      <c r="F49" s="855">
        <v>45717</v>
      </c>
      <c r="G49" s="855">
        <v>45870</v>
      </c>
      <c r="H49" s="626">
        <v>95000</v>
      </c>
      <c r="I49" s="1111">
        <v>0</v>
      </c>
      <c r="J49" s="498">
        <v>95000</v>
      </c>
      <c r="K49" s="498">
        <v>2726.5</v>
      </c>
      <c r="L49" s="498">
        <v>10929.24</v>
      </c>
      <c r="M49" s="1149">
        <v>2888</v>
      </c>
      <c r="N49" s="626">
        <v>4125</v>
      </c>
      <c r="O49" s="457">
        <f>+K49+L49+M49+N49</f>
        <v>20668.739999999998</v>
      </c>
      <c r="P49" s="498">
        <f>+J49-O49</f>
        <v>74331.260000000009</v>
      </c>
    </row>
    <row r="50" spans="2:16" ht="21" customHeight="1" x14ac:dyDescent="0.25">
      <c r="B50" s="453" t="s">
        <v>813</v>
      </c>
      <c r="C50" s="685"/>
      <c r="D50" s="453">
        <v>1</v>
      </c>
      <c r="E50" s="281"/>
      <c r="F50" s="1019"/>
      <c r="G50" s="857"/>
      <c r="H50" s="697">
        <f>SUM(H49)</f>
        <v>95000</v>
      </c>
      <c r="I50" s="1144">
        <f>SUM(I49)</f>
        <v>0</v>
      </c>
      <c r="J50" s="697">
        <f t="shared" ref="J50:P50" si="6">SUM(J49)</f>
        <v>95000</v>
      </c>
      <c r="K50" s="697">
        <f t="shared" si="6"/>
        <v>2726.5</v>
      </c>
      <c r="L50" s="697">
        <f t="shared" si="6"/>
        <v>10929.24</v>
      </c>
      <c r="M50" s="1145">
        <f t="shared" si="6"/>
        <v>2888</v>
      </c>
      <c r="N50" s="697">
        <f>SUM(N49)</f>
        <v>4125</v>
      </c>
      <c r="O50" s="697">
        <f t="shared" si="6"/>
        <v>20668.739999999998</v>
      </c>
      <c r="P50" s="697">
        <f t="shared" si="6"/>
        <v>74331.260000000009</v>
      </c>
    </row>
    <row r="51" spans="2:16" ht="21" customHeight="1" x14ac:dyDescent="0.25">
      <c r="B51" s="496"/>
      <c r="C51" s="684"/>
      <c r="D51" s="282"/>
      <c r="E51" s="281"/>
      <c r="F51" s="856"/>
      <c r="G51" s="857"/>
      <c r="H51" s="626"/>
      <c r="I51" s="1111"/>
      <c r="J51" s="457"/>
      <c r="K51" s="457"/>
      <c r="L51" s="457"/>
      <c r="M51" s="1149"/>
      <c r="N51" s="468"/>
      <c r="O51" s="457"/>
      <c r="P51" s="457"/>
    </row>
    <row r="52" spans="2:16" ht="32.25" customHeight="1" x14ac:dyDescent="0.25">
      <c r="B52" s="1014" t="s">
        <v>1136</v>
      </c>
      <c r="C52" s="570"/>
      <c r="D52" s="492"/>
      <c r="E52" s="465"/>
      <c r="F52" s="1019"/>
      <c r="G52" s="857"/>
      <c r="H52" s="695"/>
      <c r="I52" s="1144"/>
      <c r="J52" s="697"/>
      <c r="K52" s="697"/>
      <c r="L52" s="697"/>
      <c r="M52" s="1145"/>
      <c r="N52" s="697"/>
      <c r="O52" s="697"/>
      <c r="P52" s="697"/>
    </row>
    <row r="53" spans="2:16" ht="31.5" customHeight="1" x14ac:dyDescent="0.25">
      <c r="B53" s="153" t="s">
        <v>1583</v>
      </c>
      <c r="C53" s="685" t="s">
        <v>806</v>
      </c>
      <c r="D53" s="749" t="s">
        <v>1572</v>
      </c>
      <c r="E53" s="281" t="s">
        <v>1063</v>
      </c>
      <c r="F53" s="855">
        <v>45658</v>
      </c>
      <c r="G53" s="855">
        <v>45809</v>
      </c>
      <c r="H53" s="626">
        <v>120000</v>
      </c>
      <c r="I53" s="1169">
        <v>0</v>
      </c>
      <c r="J53" s="468">
        <v>120000</v>
      </c>
      <c r="K53" s="468">
        <v>3444</v>
      </c>
      <c r="L53" s="468">
        <v>16809.87</v>
      </c>
      <c r="M53" s="1149">
        <v>3648</v>
      </c>
      <c r="N53" s="468">
        <v>2568.4</v>
      </c>
      <c r="O53" s="468">
        <f>+K53+L53+M53+N53</f>
        <v>26470.27</v>
      </c>
      <c r="P53" s="626">
        <f>+J53-O53</f>
        <v>93529.73</v>
      </c>
    </row>
    <row r="54" spans="2:16" ht="21" customHeight="1" x14ac:dyDescent="0.25">
      <c r="B54" s="496" t="s">
        <v>1352</v>
      </c>
      <c r="C54" s="684" t="s">
        <v>806</v>
      </c>
      <c r="D54" s="286" t="s">
        <v>1635</v>
      </c>
      <c r="E54" s="281" t="s">
        <v>1063</v>
      </c>
      <c r="F54" s="855">
        <v>45748</v>
      </c>
      <c r="G54" s="855">
        <v>45901</v>
      </c>
      <c r="H54" s="626">
        <v>55000</v>
      </c>
      <c r="I54" s="1111">
        <v>0</v>
      </c>
      <c r="J54" s="457">
        <v>55000</v>
      </c>
      <c r="K54" s="457">
        <v>1578.5</v>
      </c>
      <c r="L54" s="457">
        <v>2559.6799999999998</v>
      </c>
      <c r="M54" s="1149">
        <v>1672</v>
      </c>
      <c r="N54" s="468">
        <v>25</v>
      </c>
      <c r="O54" s="457">
        <v>5835.18</v>
      </c>
      <c r="P54" s="498">
        <f>+J54-O54</f>
        <v>49164.82</v>
      </c>
    </row>
    <row r="55" spans="2:16" ht="21" customHeight="1" x14ac:dyDescent="0.25">
      <c r="B55" s="466" t="s">
        <v>813</v>
      </c>
      <c r="C55" s="569"/>
      <c r="D55" s="492">
        <v>2</v>
      </c>
      <c r="E55" s="465"/>
      <c r="F55" s="500"/>
      <c r="G55" s="855"/>
      <c r="H55" s="697">
        <f>SUM(H53:H54)</f>
        <v>175000</v>
      </c>
      <c r="I55" s="1144">
        <f t="shared" ref="I55" si="7">SUM(I54)</f>
        <v>0</v>
      </c>
      <c r="J55" s="697">
        <f t="shared" ref="J55:P55" si="8">SUM(J53:J54)</f>
        <v>175000</v>
      </c>
      <c r="K55" s="697">
        <f t="shared" si="8"/>
        <v>5022.5</v>
      </c>
      <c r="L55" s="697">
        <f t="shared" si="8"/>
        <v>19369.55</v>
      </c>
      <c r="M55" s="1145">
        <f t="shared" si="8"/>
        <v>5320</v>
      </c>
      <c r="N55" s="697">
        <f>SUM(N53:N54)</f>
        <v>2593.4</v>
      </c>
      <c r="O55" s="697">
        <f t="shared" si="8"/>
        <v>32305.45</v>
      </c>
      <c r="P55" s="697">
        <f t="shared" si="8"/>
        <v>142694.54999999999</v>
      </c>
    </row>
    <row r="56" spans="2:16" ht="21" customHeight="1" x14ac:dyDescent="0.25">
      <c r="B56" s="490"/>
      <c r="C56" s="1223"/>
      <c r="D56" s="492"/>
      <c r="E56" s="465"/>
      <c r="F56" s="856"/>
      <c r="G56" s="857"/>
      <c r="H56" s="626"/>
      <c r="I56" s="1111"/>
      <c r="J56" s="457"/>
      <c r="K56" s="457"/>
      <c r="L56" s="457"/>
      <c r="M56" s="1149"/>
      <c r="N56" s="468"/>
      <c r="O56" s="457"/>
      <c r="P56" s="457"/>
    </row>
    <row r="57" spans="2:16" ht="21" customHeight="1" x14ac:dyDescent="0.25">
      <c r="B57" s="453" t="s">
        <v>1515</v>
      </c>
      <c r="C57" s="569"/>
      <c r="D57" s="492"/>
      <c r="E57" s="465"/>
      <c r="F57" s="1019"/>
      <c r="G57" s="857"/>
      <c r="H57" s="695"/>
      <c r="I57" s="1144"/>
      <c r="J57" s="697"/>
      <c r="K57" s="697"/>
      <c r="L57" s="697"/>
      <c r="M57" s="1145"/>
      <c r="N57" s="697"/>
      <c r="O57" s="697"/>
      <c r="P57" s="697"/>
    </row>
    <row r="58" spans="2:16" ht="32.25" customHeight="1" x14ac:dyDescent="0.25">
      <c r="B58" s="280" t="s">
        <v>1584</v>
      </c>
      <c r="C58" s="685" t="s">
        <v>806</v>
      </c>
      <c r="D58" s="282" t="s">
        <v>1357</v>
      </c>
      <c r="E58" s="281" t="s">
        <v>1063</v>
      </c>
      <c r="F58" s="855">
        <v>45778</v>
      </c>
      <c r="G58" s="855">
        <v>45931</v>
      </c>
      <c r="H58" s="626">
        <v>125000</v>
      </c>
      <c r="I58" s="1111">
        <v>0</v>
      </c>
      <c r="J58" s="1038">
        <v>125000</v>
      </c>
      <c r="K58" s="1038">
        <v>3587.5</v>
      </c>
      <c r="L58" s="1037">
        <v>17985.990000000002</v>
      </c>
      <c r="M58" s="1150">
        <v>3800</v>
      </c>
      <c r="N58" s="1038">
        <v>25</v>
      </c>
      <c r="O58" s="468">
        <f t="shared" ref="O58:O63" si="9">+K58+L58+M58+N58</f>
        <v>25398.49</v>
      </c>
      <c r="P58" s="498">
        <f t="shared" ref="P58:P63" si="10">+J58-O58</f>
        <v>99601.51</v>
      </c>
    </row>
    <row r="59" spans="2:16" ht="32.25" customHeight="1" x14ac:dyDescent="0.25">
      <c r="B59" s="280" t="s">
        <v>1585</v>
      </c>
      <c r="C59" s="685" t="s">
        <v>806</v>
      </c>
      <c r="D59" s="282" t="s">
        <v>1357</v>
      </c>
      <c r="E59" s="281" t="s">
        <v>1063</v>
      </c>
      <c r="F59" s="855">
        <v>45778</v>
      </c>
      <c r="G59" s="855">
        <v>45931</v>
      </c>
      <c r="H59" s="626">
        <v>125000</v>
      </c>
      <c r="I59" s="1111">
        <v>0</v>
      </c>
      <c r="J59" s="1038">
        <v>125000</v>
      </c>
      <c r="K59" s="1038">
        <v>3587.5</v>
      </c>
      <c r="L59" s="1037">
        <v>17985.990000000002</v>
      </c>
      <c r="M59" s="1150">
        <v>3800</v>
      </c>
      <c r="N59" s="1038">
        <v>25</v>
      </c>
      <c r="O59" s="468">
        <f t="shared" si="9"/>
        <v>25398.49</v>
      </c>
      <c r="P59" s="498">
        <f t="shared" si="10"/>
        <v>99601.51</v>
      </c>
    </row>
    <row r="60" spans="2:16" ht="32.25" customHeight="1" x14ac:dyDescent="0.25">
      <c r="B60" s="280" t="s">
        <v>1586</v>
      </c>
      <c r="C60" s="685" t="s">
        <v>806</v>
      </c>
      <c r="D60" s="282" t="s">
        <v>1355</v>
      </c>
      <c r="E60" s="281" t="s">
        <v>1063</v>
      </c>
      <c r="F60" s="855">
        <v>45748</v>
      </c>
      <c r="G60" s="855">
        <v>45901</v>
      </c>
      <c r="H60" s="626">
        <v>125000</v>
      </c>
      <c r="I60" s="1111">
        <v>0</v>
      </c>
      <c r="J60" s="1038">
        <v>125000</v>
      </c>
      <c r="K60" s="1038">
        <v>3587.5</v>
      </c>
      <c r="L60" s="1037">
        <v>17985.990000000002</v>
      </c>
      <c r="M60" s="1150">
        <v>3800</v>
      </c>
      <c r="N60" s="1038">
        <v>25</v>
      </c>
      <c r="O60" s="468">
        <f t="shared" si="9"/>
        <v>25398.49</v>
      </c>
      <c r="P60" s="498">
        <f t="shared" si="10"/>
        <v>99601.51</v>
      </c>
    </row>
    <row r="61" spans="2:16" ht="32.25" customHeight="1" x14ac:dyDescent="0.25">
      <c r="B61" s="1274" t="s">
        <v>1587</v>
      </c>
      <c r="C61" s="685" t="s">
        <v>806</v>
      </c>
      <c r="D61" s="282" t="s">
        <v>1357</v>
      </c>
      <c r="E61" s="281" t="s">
        <v>1063</v>
      </c>
      <c r="F61" s="855">
        <v>45748</v>
      </c>
      <c r="G61" s="855">
        <v>45901</v>
      </c>
      <c r="H61" s="626">
        <v>125000</v>
      </c>
      <c r="I61" s="1111">
        <v>0</v>
      </c>
      <c r="J61" s="1038">
        <v>125000</v>
      </c>
      <c r="K61" s="1038">
        <v>3587.5</v>
      </c>
      <c r="L61" s="1037">
        <v>17985.990000000002</v>
      </c>
      <c r="M61" s="1150">
        <v>3800</v>
      </c>
      <c r="N61" s="1038">
        <v>25</v>
      </c>
      <c r="O61" s="468">
        <f t="shared" si="9"/>
        <v>25398.49</v>
      </c>
      <c r="P61" s="498">
        <f t="shared" si="10"/>
        <v>99601.51</v>
      </c>
    </row>
    <row r="62" spans="2:16" ht="32.25" customHeight="1" x14ac:dyDescent="0.25">
      <c r="B62" s="280" t="s">
        <v>1588</v>
      </c>
      <c r="C62" s="685" t="s">
        <v>806</v>
      </c>
      <c r="D62" s="282" t="s">
        <v>1357</v>
      </c>
      <c r="E62" s="281" t="s">
        <v>1063</v>
      </c>
      <c r="F62" s="855">
        <v>45748</v>
      </c>
      <c r="G62" s="855">
        <v>45901</v>
      </c>
      <c r="H62" s="626">
        <v>125000</v>
      </c>
      <c r="I62" s="1169">
        <v>0</v>
      </c>
      <c r="J62" s="1038">
        <v>125000</v>
      </c>
      <c r="K62" s="1038">
        <v>3587.5</v>
      </c>
      <c r="L62" s="1037">
        <v>17985.990000000002</v>
      </c>
      <c r="M62" s="1150">
        <v>3800</v>
      </c>
      <c r="N62" s="1038">
        <v>25</v>
      </c>
      <c r="O62" s="468">
        <f t="shared" si="9"/>
        <v>25398.49</v>
      </c>
      <c r="P62" s="626">
        <f t="shared" si="10"/>
        <v>99601.51</v>
      </c>
    </row>
    <row r="63" spans="2:16" ht="32.25" customHeight="1" x14ac:dyDescent="0.25">
      <c r="B63" s="280" t="s">
        <v>1589</v>
      </c>
      <c r="C63" s="685" t="s">
        <v>807</v>
      </c>
      <c r="D63" s="282" t="s">
        <v>1357</v>
      </c>
      <c r="E63" s="281" t="s">
        <v>1063</v>
      </c>
      <c r="F63" s="855">
        <v>45748</v>
      </c>
      <c r="G63" s="855">
        <v>45901</v>
      </c>
      <c r="H63" s="626">
        <v>135000</v>
      </c>
      <c r="I63" s="1169">
        <v>0</v>
      </c>
      <c r="J63" s="1038">
        <v>135000</v>
      </c>
      <c r="K63" s="1038">
        <v>3874.5</v>
      </c>
      <c r="L63" s="1038">
        <v>19909.38</v>
      </c>
      <c r="M63" s="1150">
        <v>4104</v>
      </c>
      <c r="N63" s="1038">
        <v>1740.46</v>
      </c>
      <c r="O63" s="468">
        <f t="shared" si="9"/>
        <v>29628.34</v>
      </c>
      <c r="P63" s="626">
        <f t="shared" si="10"/>
        <v>105371.66</v>
      </c>
    </row>
    <row r="64" spans="2:16" ht="33" customHeight="1" x14ac:dyDescent="0.25">
      <c r="B64" s="1274" t="s">
        <v>1590</v>
      </c>
      <c r="C64" s="685" t="s">
        <v>807</v>
      </c>
      <c r="D64" s="282" t="s">
        <v>1357</v>
      </c>
      <c r="E64" s="281" t="s">
        <v>1063</v>
      </c>
      <c r="F64" s="855">
        <v>45748</v>
      </c>
      <c r="G64" s="855">
        <v>45901</v>
      </c>
      <c r="H64" s="626">
        <v>125000</v>
      </c>
      <c r="I64" s="1111">
        <v>0</v>
      </c>
      <c r="J64" s="1038">
        <v>125000</v>
      </c>
      <c r="K64" s="1038">
        <v>3587.5</v>
      </c>
      <c r="L64" s="1038">
        <v>17985.990000000002</v>
      </c>
      <c r="M64" s="1150">
        <v>3800</v>
      </c>
      <c r="N64" s="1038">
        <v>25</v>
      </c>
      <c r="O64" s="468">
        <v>25398.49</v>
      </c>
      <c r="P64" s="498">
        <v>99601.51</v>
      </c>
    </row>
    <row r="65" spans="2:16" ht="21" customHeight="1" x14ac:dyDescent="0.25">
      <c r="B65" s="466" t="s">
        <v>813</v>
      </c>
      <c r="C65" s="569"/>
      <c r="D65" s="492">
        <v>7</v>
      </c>
      <c r="E65" s="465"/>
      <c r="F65" s="500"/>
      <c r="G65" s="855"/>
      <c r="H65" s="697">
        <f>SUM(H58:H64)</f>
        <v>885000</v>
      </c>
      <c r="I65" s="1112">
        <v>0</v>
      </c>
      <c r="J65" s="697">
        <f t="shared" ref="J65:P65" si="11">SUM(J58:J64)</f>
        <v>885000</v>
      </c>
      <c r="K65" s="697">
        <f t="shared" si="11"/>
        <v>25399.5</v>
      </c>
      <c r="L65" s="697">
        <f t="shared" si="11"/>
        <v>127825.32000000002</v>
      </c>
      <c r="M65" s="1145">
        <f t="shared" si="11"/>
        <v>26904</v>
      </c>
      <c r="N65" s="697">
        <f t="shared" si="11"/>
        <v>1890.46</v>
      </c>
      <c r="O65" s="697">
        <f t="shared" si="11"/>
        <v>182019.28</v>
      </c>
      <c r="P65" s="697">
        <f t="shared" si="11"/>
        <v>702980.72</v>
      </c>
    </row>
    <row r="66" spans="2:16" ht="21" customHeight="1" x14ac:dyDescent="0.25">
      <c r="B66" s="466"/>
      <c r="C66" s="569"/>
      <c r="D66" s="492"/>
      <c r="E66" s="465"/>
      <c r="F66" s="500"/>
      <c r="G66" s="855"/>
      <c r="H66" s="697"/>
      <c r="I66" s="1145"/>
      <c r="J66" s="697"/>
      <c r="K66" s="697"/>
      <c r="L66" s="697"/>
      <c r="M66" s="1145"/>
      <c r="N66" s="697"/>
      <c r="O66" s="697"/>
      <c r="P66" s="697"/>
    </row>
    <row r="67" spans="2:16" ht="21" customHeight="1" x14ac:dyDescent="0.25">
      <c r="B67" s="466" t="s">
        <v>821</v>
      </c>
      <c r="C67" s="569"/>
      <c r="D67" s="492"/>
      <c r="E67" s="465"/>
      <c r="F67" s="500"/>
      <c r="G67" s="855"/>
      <c r="H67" s="695"/>
      <c r="I67" s="1144"/>
      <c r="J67" s="697"/>
      <c r="K67" s="697"/>
      <c r="L67" s="697"/>
      <c r="M67" s="1145"/>
      <c r="N67" s="697"/>
      <c r="O67" s="697"/>
      <c r="P67" s="697"/>
    </row>
    <row r="68" spans="2:16" ht="30.75" customHeight="1" x14ac:dyDescent="0.25">
      <c r="B68" s="286" t="s">
        <v>593</v>
      </c>
      <c r="C68" s="685" t="s">
        <v>806</v>
      </c>
      <c r="D68" s="282" t="s">
        <v>1541</v>
      </c>
      <c r="E68" s="281" t="s">
        <v>1063</v>
      </c>
      <c r="F68" s="855">
        <v>45748</v>
      </c>
      <c r="G68" s="855">
        <v>45901</v>
      </c>
      <c r="H68" s="626">
        <v>150000</v>
      </c>
      <c r="I68" s="1169">
        <v>0</v>
      </c>
      <c r="J68" s="468">
        <v>150000</v>
      </c>
      <c r="K68" s="468">
        <v>4305</v>
      </c>
      <c r="L68" s="468">
        <v>23866.62</v>
      </c>
      <c r="M68" s="1149">
        <v>4560</v>
      </c>
      <c r="N68" s="468">
        <v>2568.4</v>
      </c>
      <c r="O68" s="468">
        <v>35300.019999999997</v>
      </c>
      <c r="P68" s="468">
        <f>+J68-O68</f>
        <v>114699.98000000001</v>
      </c>
    </row>
    <row r="69" spans="2:16" ht="24.75" customHeight="1" x14ac:dyDescent="0.25">
      <c r="B69" s="286" t="s">
        <v>1591</v>
      </c>
      <c r="C69" s="684" t="s">
        <v>806</v>
      </c>
      <c r="D69" s="282" t="s">
        <v>71</v>
      </c>
      <c r="E69" s="281" t="s">
        <v>1063</v>
      </c>
      <c r="F69" s="855">
        <v>45748</v>
      </c>
      <c r="G69" s="855">
        <v>45901</v>
      </c>
      <c r="H69" s="626">
        <v>70000</v>
      </c>
      <c r="I69" s="1111">
        <v>0</v>
      </c>
      <c r="J69" s="457">
        <v>70000</v>
      </c>
      <c r="K69" s="457">
        <v>2009</v>
      </c>
      <c r="L69" s="457">
        <v>5368.48</v>
      </c>
      <c r="M69" s="1149">
        <v>2128</v>
      </c>
      <c r="N69" s="468">
        <v>25</v>
      </c>
      <c r="O69" s="457">
        <f>+K69+L69+M69+N69</f>
        <v>9530.48</v>
      </c>
      <c r="P69" s="457">
        <f>+J69-O69</f>
        <v>60469.520000000004</v>
      </c>
    </row>
    <row r="70" spans="2:16" ht="24.75" customHeight="1" x14ac:dyDescent="0.25">
      <c r="B70" s="286" t="s">
        <v>1288</v>
      </c>
      <c r="C70" s="685" t="s">
        <v>807</v>
      </c>
      <c r="D70" s="282" t="s">
        <v>417</v>
      </c>
      <c r="E70" s="281" t="s">
        <v>1063</v>
      </c>
      <c r="F70" s="855">
        <v>45748</v>
      </c>
      <c r="G70" s="855">
        <v>45901</v>
      </c>
      <c r="H70" s="626">
        <v>70000</v>
      </c>
      <c r="I70" s="1169">
        <v>0</v>
      </c>
      <c r="J70" s="468">
        <v>70000</v>
      </c>
      <c r="K70" s="468">
        <v>2009</v>
      </c>
      <c r="L70" s="468">
        <v>5368.48</v>
      </c>
      <c r="M70" s="1149">
        <v>2128</v>
      </c>
      <c r="N70" s="468">
        <v>25</v>
      </c>
      <c r="O70" s="468">
        <f>+K70+L70+M70+N70</f>
        <v>9530.48</v>
      </c>
      <c r="P70" s="468">
        <f>+J70-O70</f>
        <v>60469.520000000004</v>
      </c>
    </row>
    <row r="71" spans="2:16" ht="24.75" customHeight="1" x14ac:dyDescent="0.25">
      <c r="B71" s="286" t="s">
        <v>1496</v>
      </c>
      <c r="C71" s="685" t="s">
        <v>806</v>
      </c>
      <c r="D71" s="282" t="s">
        <v>417</v>
      </c>
      <c r="E71" s="281" t="s">
        <v>1063</v>
      </c>
      <c r="F71" s="855">
        <v>45658</v>
      </c>
      <c r="G71" s="855">
        <v>45809</v>
      </c>
      <c r="H71" s="626">
        <v>70000</v>
      </c>
      <c r="I71" s="1169">
        <v>0</v>
      </c>
      <c r="J71" s="468">
        <v>70000</v>
      </c>
      <c r="K71" s="468">
        <v>2009</v>
      </c>
      <c r="L71" s="468">
        <v>5368.48</v>
      </c>
      <c r="M71" s="1149">
        <v>2128</v>
      </c>
      <c r="N71" s="468">
        <v>25</v>
      </c>
      <c r="O71" s="468">
        <f>+K71+L71+M71+N71</f>
        <v>9530.48</v>
      </c>
      <c r="P71" s="468">
        <f>+J71-O71</f>
        <v>60469.520000000004</v>
      </c>
    </row>
    <row r="72" spans="2:16" ht="21" customHeight="1" x14ac:dyDescent="0.25">
      <c r="B72" s="466" t="s">
        <v>813</v>
      </c>
      <c r="C72" s="569"/>
      <c r="D72" s="492">
        <v>4</v>
      </c>
      <c r="E72" s="465"/>
      <c r="F72" s="500"/>
      <c r="G72" s="855"/>
      <c r="H72" s="695">
        <f>SUM(H68:H71)</f>
        <v>360000</v>
      </c>
      <c r="I72" s="1144">
        <v>0</v>
      </c>
      <c r="J72" s="695">
        <f t="shared" ref="J72:P72" si="12">SUM(J68:J71)</f>
        <v>360000</v>
      </c>
      <c r="K72" s="695">
        <f t="shared" si="12"/>
        <v>10332</v>
      </c>
      <c r="L72" s="695">
        <f t="shared" si="12"/>
        <v>39972.06</v>
      </c>
      <c r="M72" s="1145">
        <f t="shared" si="12"/>
        <v>10944</v>
      </c>
      <c r="N72" s="695">
        <f>SUM(N68:N71)</f>
        <v>2643.4</v>
      </c>
      <c r="O72" s="695">
        <f>SUM(O68:O71)</f>
        <v>63891.459999999992</v>
      </c>
      <c r="P72" s="695">
        <f t="shared" si="12"/>
        <v>296108.54000000004</v>
      </c>
    </row>
    <row r="73" spans="2:16" ht="21" customHeight="1" x14ac:dyDescent="0.25">
      <c r="B73" s="490"/>
      <c r="C73" s="1223"/>
      <c r="D73" s="492"/>
      <c r="E73" s="465"/>
      <c r="F73" s="856"/>
      <c r="G73" s="857"/>
      <c r="H73" s="695"/>
      <c r="I73" s="1112"/>
      <c r="J73" s="494"/>
      <c r="K73" s="494"/>
      <c r="L73" s="494"/>
      <c r="M73" s="1145"/>
      <c r="N73" s="695"/>
      <c r="O73" s="494"/>
      <c r="P73" s="494"/>
    </row>
    <row r="74" spans="2:16" ht="21" customHeight="1" x14ac:dyDescent="0.25">
      <c r="B74" s="490" t="s">
        <v>1542</v>
      </c>
      <c r="C74" s="1223"/>
      <c r="D74" s="492"/>
      <c r="E74" s="492"/>
      <c r="F74" s="856"/>
      <c r="G74" s="857"/>
      <c r="H74" s="695"/>
      <c r="I74" s="1112"/>
      <c r="J74" s="463"/>
      <c r="K74" s="463"/>
      <c r="L74" s="463"/>
      <c r="M74" s="1145"/>
      <c r="N74" s="697"/>
      <c r="O74" s="463"/>
      <c r="P74" s="463"/>
    </row>
    <row r="75" spans="2:16" ht="21" customHeight="1" x14ac:dyDescent="0.25">
      <c r="B75" s="496" t="s">
        <v>1592</v>
      </c>
      <c r="C75" s="684" t="s">
        <v>807</v>
      </c>
      <c r="D75" s="282" t="s">
        <v>1427</v>
      </c>
      <c r="E75" s="281" t="s">
        <v>1063</v>
      </c>
      <c r="F75" s="855">
        <v>45748</v>
      </c>
      <c r="G75" s="855">
        <v>45901</v>
      </c>
      <c r="H75" s="626">
        <v>185000</v>
      </c>
      <c r="I75" s="1111">
        <v>0</v>
      </c>
      <c r="J75" s="457">
        <v>185000</v>
      </c>
      <c r="K75" s="457">
        <v>5309.5</v>
      </c>
      <c r="L75" s="457">
        <v>32099.49</v>
      </c>
      <c r="M75" s="1149">
        <v>5624</v>
      </c>
      <c r="N75" s="468">
        <v>5010.4799999999996</v>
      </c>
      <c r="O75" s="457">
        <f>+K75+L75+M75+N75</f>
        <v>48043.47</v>
      </c>
      <c r="P75" s="457">
        <f>+J75-O75</f>
        <v>136956.53</v>
      </c>
    </row>
    <row r="76" spans="2:16" ht="21" customHeight="1" x14ac:dyDescent="0.25">
      <c r="B76" s="466" t="s">
        <v>813</v>
      </c>
      <c r="C76" s="569"/>
      <c r="D76" s="492">
        <v>1</v>
      </c>
      <c r="E76" s="492"/>
      <c r="F76" s="1016"/>
      <c r="G76" s="855"/>
      <c r="H76" s="695">
        <f>+H75</f>
        <v>185000</v>
      </c>
      <c r="I76" s="1144">
        <f t="shared" ref="I76:P76" si="13">SUM(I75)</f>
        <v>0</v>
      </c>
      <c r="J76" s="695">
        <f t="shared" si="13"/>
        <v>185000</v>
      </c>
      <c r="K76" s="695">
        <f t="shared" si="13"/>
        <v>5309.5</v>
      </c>
      <c r="L76" s="695">
        <f t="shared" si="13"/>
        <v>32099.49</v>
      </c>
      <c r="M76" s="1145">
        <f t="shared" si="13"/>
        <v>5624</v>
      </c>
      <c r="N76" s="695">
        <f>SUM(N75)</f>
        <v>5010.4799999999996</v>
      </c>
      <c r="O76" s="695">
        <f t="shared" si="13"/>
        <v>48043.47</v>
      </c>
      <c r="P76" s="695">
        <f t="shared" si="13"/>
        <v>136956.53</v>
      </c>
    </row>
    <row r="77" spans="2:16" ht="21" customHeight="1" x14ac:dyDescent="0.25">
      <c r="B77" s="490"/>
      <c r="C77" s="1223"/>
      <c r="D77" s="492"/>
      <c r="E77" s="492"/>
      <c r="F77" s="856"/>
      <c r="G77" s="857"/>
      <c r="H77" s="695"/>
      <c r="I77" s="1112"/>
      <c r="J77" s="494"/>
      <c r="K77" s="494"/>
      <c r="L77" s="494"/>
      <c r="M77" s="1145"/>
      <c r="N77" s="695"/>
      <c r="O77" s="494"/>
      <c r="P77" s="494"/>
    </row>
    <row r="78" spans="2:16" ht="30" customHeight="1" x14ac:dyDescent="0.25">
      <c r="B78" s="469" t="s">
        <v>1565</v>
      </c>
      <c r="C78" s="1223"/>
      <c r="D78" s="625"/>
      <c r="E78" s="281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494"/>
    </row>
    <row r="79" spans="2:16" ht="21" customHeight="1" x14ac:dyDescent="0.25">
      <c r="B79" s="460" t="s">
        <v>946</v>
      </c>
      <c r="C79" s="1226" t="s">
        <v>806</v>
      </c>
      <c r="D79" s="625" t="s">
        <v>945</v>
      </c>
      <c r="E79" s="281" t="s">
        <v>1063</v>
      </c>
      <c r="F79" s="855">
        <v>45748</v>
      </c>
      <c r="G79" s="855">
        <v>45901</v>
      </c>
      <c r="H79" s="626">
        <v>65000</v>
      </c>
      <c r="I79" s="1169">
        <v>0</v>
      </c>
      <c r="J79" s="626">
        <v>65000</v>
      </c>
      <c r="K79" s="626">
        <v>1865.5</v>
      </c>
      <c r="L79" s="626">
        <v>4427.58</v>
      </c>
      <c r="M79" s="1149">
        <v>1976</v>
      </c>
      <c r="N79" s="626">
        <v>25</v>
      </c>
      <c r="O79" s="468">
        <f>+K79+L79+M79+N79</f>
        <v>8294.08</v>
      </c>
      <c r="P79" s="468">
        <f>+J79-O79</f>
        <v>56705.919999999998</v>
      </c>
    </row>
    <row r="80" spans="2:16" ht="21" customHeight="1" x14ac:dyDescent="0.25">
      <c r="B80" s="460" t="s">
        <v>1593</v>
      </c>
      <c r="C80" s="1226" t="s">
        <v>806</v>
      </c>
      <c r="D80" s="625" t="s">
        <v>157</v>
      </c>
      <c r="E80" s="281" t="s">
        <v>1063</v>
      </c>
      <c r="F80" s="855">
        <v>45778</v>
      </c>
      <c r="G80" s="855">
        <v>45931</v>
      </c>
      <c r="H80" s="626">
        <v>65000</v>
      </c>
      <c r="I80" s="1169">
        <v>0</v>
      </c>
      <c r="J80" s="626">
        <v>65000</v>
      </c>
      <c r="K80" s="626">
        <v>1865.5</v>
      </c>
      <c r="L80" s="626">
        <v>4427.58</v>
      </c>
      <c r="M80" s="1149">
        <v>1976</v>
      </c>
      <c r="N80" s="626">
        <v>25</v>
      </c>
      <c r="O80" s="468">
        <f>+K80+L80+M80+N80</f>
        <v>8294.08</v>
      </c>
      <c r="P80" s="468">
        <f>+J80-O80</f>
        <v>56705.919999999998</v>
      </c>
    </row>
    <row r="81" spans="2:16" ht="21" customHeight="1" x14ac:dyDescent="0.25">
      <c r="B81" s="466" t="s">
        <v>813</v>
      </c>
      <c r="C81" s="569"/>
      <c r="D81" s="492">
        <v>2</v>
      </c>
      <c r="E81" s="492"/>
      <c r="F81" s="1016"/>
      <c r="G81" s="860"/>
      <c r="H81" s="695">
        <f>SUM(H79:H80)</f>
        <v>130000</v>
      </c>
      <c r="I81" s="1144">
        <f t="shared" ref="I81" si="14">SUM(I80)</f>
        <v>0</v>
      </c>
      <c r="J81" s="695">
        <f t="shared" ref="J81:P81" si="15">SUM(J79:J80)</f>
        <v>130000</v>
      </c>
      <c r="K81" s="695">
        <f t="shared" si="15"/>
        <v>3731</v>
      </c>
      <c r="L81" s="695">
        <f t="shared" si="15"/>
        <v>8855.16</v>
      </c>
      <c r="M81" s="1145">
        <f t="shared" si="15"/>
        <v>3952</v>
      </c>
      <c r="N81" s="695">
        <f>SUM(N79:N80)</f>
        <v>50</v>
      </c>
      <c r="O81" s="695">
        <f t="shared" si="15"/>
        <v>16588.16</v>
      </c>
      <c r="P81" s="695">
        <f t="shared" si="15"/>
        <v>113411.84</v>
      </c>
    </row>
    <row r="82" spans="2:16" ht="21" customHeight="1" x14ac:dyDescent="0.25">
      <c r="B82" s="490"/>
      <c r="C82" s="1223"/>
      <c r="D82" s="492"/>
      <c r="E82" s="492"/>
      <c r="F82" s="859"/>
      <c r="G82" s="860"/>
      <c r="H82" s="695"/>
      <c r="I82" s="1112"/>
      <c r="J82" s="494"/>
      <c r="K82" s="494"/>
      <c r="L82" s="494"/>
      <c r="M82" s="1145"/>
      <c r="N82" s="695"/>
      <c r="O82" s="494"/>
      <c r="P82" s="494"/>
    </row>
    <row r="83" spans="2:16" ht="21" customHeight="1" x14ac:dyDescent="0.25">
      <c r="B83" s="490" t="s">
        <v>1421</v>
      </c>
      <c r="C83" s="1223"/>
      <c r="D83" s="492"/>
      <c r="E83" s="492"/>
      <c r="F83" s="859"/>
      <c r="G83" s="860"/>
      <c r="H83" s="695"/>
      <c r="I83" s="1112"/>
      <c r="J83" s="494"/>
      <c r="K83" s="494"/>
      <c r="L83" s="494"/>
      <c r="M83" s="1145"/>
      <c r="N83" s="695"/>
      <c r="O83" s="494"/>
      <c r="P83" s="494"/>
    </row>
    <row r="84" spans="2:16" ht="21" customHeight="1" x14ac:dyDescent="0.25">
      <c r="B84" s="1274" t="s">
        <v>1594</v>
      </c>
      <c r="C84" s="685" t="s">
        <v>807</v>
      </c>
      <c r="D84" s="282" t="s">
        <v>1422</v>
      </c>
      <c r="E84" s="281" t="s">
        <v>1063</v>
      </c>
      <c r="F84" s="855">
        <v>45778</v>
      </c>
      <c r="G84" s="855">
        <v>45931</v>
      </c>
      <c r="H84" s="626">
        <v>100000</v>
      </c>
      <c r="I84" s="1111">
        <v>0</v>
      </c>
      <c r="J84" s="498">
        <v>100000</v>
      </c>
      <c r="K84" s="498">
        <v>2870</v>
      </c>
      <c r="L84" s="498">
        <v>11676.5</v>
      </c>
      <c r="M84" s="1149">
        <v>3040</v>
      </c>
      <c r="N84" s="626">
        <v>5354.6</v>
      </c>
      <c r="O84" s="457">
        <f>+K84+L84+M84+N84</f>
        <v>22941.1</v>
      </c>
      <c r="P84" s="468">
        <f>+J84-O84</f>
        <v>77058.899999999994</v>
      </c>
    </row>
    <row r="85" spans="2:16" ht="21" customHeight="1" x14ac:dyDescent="0.25">
      <c r="B85" s="466" t="s">
        <v>813</v>
      </c>
      <c r="C85" s="685"/>
      <c r="D85" s="492">
        <v>1</v>
      </c>
      <c r="E85" s="281"/>
      <c r="F85" s="859"/>
      <c r="G85" s="860"/>
      <c r="H85" s="695">
        <v>100000</v>
      </c>
      <c r="I85" s="1112">
        <v>0</v>
      </c>
      <c r="J85" s="494">
        <v>100000</v>
      </c>
      <c r="K85" s="494">
        <v>2870</v>
      </c>
      <c r="L85" s="494">
        <v>11676.5</v>
      </c>
      <c r="M85" s="1145">
        <v>3040</v>
      </c>
      <c r="N85" s="695">
        <f>SUM(N84)</f>
        <v>5354.6</v>
      </c>
      <c r="O85" s="463">
        <f>SUM(O84)</f>
        <v>22941.1</v>
      </c>
      <c r="P85" s="494">
        <f>SUM(P84)</f>
        <v>77058.899999999994</v>
      </c>
    </row>
    <row r="86" spans="2:16" ht="21" customHeight="1" x14ac:dyDescent="0.25">
      <c r="B86" s="286"/>
      <c r="C86" s="685"/>
      <c r="D86" s="282"/>
      <c r="E86" s="492"/>
      <c r="F86" s="859"/>
      <c r="G86" s="860"/>
      <c r="H86" s="695"/>
      <c r="I86" s="1112"/>
      <c r="J86" s="494"/>
      <c r="K86" s="494"/>
      <c r="L86" s="494"/>
      <c r="M86" s="1145"/>
      <c r="N86" s="695"/>
      <c r="O86" s="494"/>
      <c r="P86" s="494"/>
    </row>
    <row r="87" spans="2:16" ht="28.5" customHeight="1" x14ac:dyDescent="0.25">
      <c r="B87" s="1014" t="s">
        <v>1477</v>
      </c>
      <c r="C87" s="570"/>
      <c r="D87" s="492"/>
      <c r="E87" s="465"/>
      <c r="F87" s="1016"/>
      <c r="G87" s="860"/>
      <c r="H87" s="695"/>
      <c r="I87" s="1144"/>
      <c r="J87" s="697"/>
      <c r="K87" s="697"/>
      <c r="L87" s="697"/>
      <c r="M87" s="1145"/>
      <c r="N87" s="697"/>
      <c r="O87" s="697"/>
      <c r="P87" s="697"/>
    </row>
    <row r="88" spans="2:16" ht="21" customHeight="1" x14ac:dyDescent="0.25">
      <c r="B88" s="1017" t="s">
        <v>1595</v>
      </c>
      <c r="C88" s="1227" t="s">
        <v>806</v>
      </c>
      <c r="D88" s="282" t="s">
        <v>918</v>
      </c>
      <c r="E88" s="281" t="s">
        <v>1063</v>
      </c>
      <c r="F88" s="855">
        <v>45748</v>
      </c>
      <c r="G88" s="855">
        <v>45901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 t="shared" ref="O88:O93" si="16">+K88+L88+M88+N88</f>
        <v>9530.48</v>
      </c>
      <c r="P88" s="468">
        <f>+J88-O88</f>
        <v>60469.520000000004</v>
      </c>
    </row>
    <row r="89" spans="2:16" ht="21" customHeight="1" x14ac:dyDescent="0.25">
      <c r="B89" s="1274" t="s">
        <v>1596</v>
      </c>
      <c r="C89" s="685" t="s">
        <v>807</v>
      </c>
      <c r="D89" s="282" t="s">
        <v>918</v>
      </c>
      <c r="E89" s="281" t="s">
        <v>1063</v>
      </c>
      <c r="F89" s="855">
        <v>45748</v>
      </c>
      <c r="G89" s="855">
        <v>45901</v>
      </c>
      <c r="H89" s="626">
        <v>70000</v>
      </c>
      <c r="I89" s="1169">
        <v>0</v>
      </c>
      <c r="J89" s="468">
        <v>70000</v>
      </c>
      <c r="K89" s="468">
        <v>2009</v>
      </c>
      <c r="L89" s="468">
        <v>5368.48</v>
      </c>
      <c r="M89" s="1149">
        <v>2128</v>
      </c>
      <c r="N89" s="468">
        <v>25</v>
      </c>
      <c r="O89" s="468">
        <f t="shared" si="16"/>
        <v>9530.48</v>
      </c>
      <c r="P89" s="468">
        <f t="shared" ref="P89:P93" si="17">+J89-O89</f>
        <v>60469.520000000004</v>
      </c>
    </row>
    <row r="90" spans="2:16" ht="21" customHeight="1" x14ac:dyDescent="0.25">
      <c r="B90" s="286" t="s">
        <v>610</v>
      </c>
      <c r="C90" s="685" t="s">
        <v>806</v>
      </c>
      <c r="D90" s="282" t="s">
        <v>918</v>
      </c>
      <c r="E90" s="281" t="s">
        <v>1063</v>
      </c>
      <c r="F90" s="855">
        <v>45748</v>
      </c>
      <c r="G90" s="855">
        <v>45901</v>
      </c>
      <c r="H90" s="626">
        <v>70000</v>
      </c>
      <c r="I90" s="1169">
        <v>0</v>
      </c>
      <c r="J90" s="468">
        <v>70000</v>
      </c>
      <c r="K90" s="468">
        <v>2009</v>
      </c>
      <c r="L90" s="468">
        <v>5368.48</v>
      </c>
      <c r="M90" s="1149">
        <v>2128</v>
      </c>
      <c r="N90" s="468">
        <v>25</v>
      </c>
      <c r="O90" s="468">
        <f t="shared" si="16"/>
        <v>9530.48</v>
      </c>
      <c r="P90" s="468">
        <f t="shared" si="17"/>
        <v>60469.520000000004</v>
      </c>
    </row>
    <row r="91" spans="2:16" ht="21" customHeight="1" x14ac:dyDescent="0.25">
      <c r="B91" s="1274" t="s">
        <v>1597</v>
      </c>
      <c r="C91" s="685" t="s">
        <v>806</v>
      </c>
      <c r="D91" s="282" t="s">
        <v>918</v>
      </c>
      <c r="E91" s="281" t="s">
        <v>1063</v>
      </c>
      <c r="F91" s="855">
        <v>45748</v>
      </c>
      <c r="G91" s="855">
        <v>45901</v>
      </c>
      <c r="H91" s="626">
        <v>70000</v>
      </c>
      <c r="I91" s="1169">
        <v>0</v>
      </c>
      <c r="J91" s="468">
        <v>70000</v>
      </c>
      <c r="K91" s="468">
        <v>2009</v>
      </c>
      <c r="L91" s="468">
        <v>5368.48</v>
      </c>
      <c r="M91" s="1149">
        <v>2128</v>
      </c>
      <c r="N91" s="468">
        <v>25</v>
      </c>
      <c r="O91" s="468">
        <f t="shared" si="16"/>
        <v>9530.48</v>
      </c>
      <c r="P91" s="468">
        <f t="shared" si="17"/>
        <v>60469.520000000004</v>
      </c>
    </row>
    <row r="92" spans="2:16" ht="21" customHeight="1" x14ac:dyDescent="0.25">
      <c r="B92" s="286" t="s">
        <v>1295</v>
      </c>
      <c r="C92" s="685" t="s">
        <v>1296</v>
      </c>
      <c r="D92" s="282" t="s">
        <v>918</v>
      </c>
      <c r="E92" s="281" t="s">
        <v>1063</v>
      </c>
      <c r="F92" s="855">
        <v>45748</v>
      </c>
      <c r="G92" s="855">
        <v>45901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5025.38</v>
      </c>
      <c r="M92" s="1149">
        <v>2128</v>
      </c>
      <c r="N92" s="468">
        <v>1740.46</v>
      </c>
      <c r="O92" s="468">
        <f t="shared" si="16"/>
        <v>10902.84</v>
      </c>
      <c r="P92" s="468">
        <f t="shared" si="17"/>
        <v>59097.16</v>
      </c>
    </row>
    <row r="93" spans="2:16" ht="21" customHeight="1" x14ac:dyDescent="0.25">
      <c r="B93" s="286" t="s">
        <v>1293</v>
      </c>
      <c r="C93" s="685" t="s">
        <v>807</v>
      </c>
      <c r="D93" s="282" t="s">
        <v>1294</v>
      </c>
      <c r="E93" s="281" t="s">
        <v>1063</v>
      </c>
      <c r="F93" s="855">
        <v>45717</v>
      </c>
      <c r="G93" s="855">
        <v>45870</v>
      </c>
      <c r="H93" s="626">
        <v>55000</v>
      </c>
      <c r="I93" s="1169">
        <v>0</v>
      </c>
      <c r="J93" s="468">
        <v>55000</v>
      </c>
      <c r="K93" s="468">
        <v>1578.5</v>
      </c>
      <c r="L93" s="468">
        <v>2559.6799999999998</v>
      </c>
      <c r="M93" s="1149">
        <v>1672</v>
      </c>
      <c r="N93" s="468">
        <v>25</v>
      </c>
      <c r="O93" s="468">
        <f t="shared" si="16"/>
        <v>5835.18</v>
      </c>
      <c r="P93" s="468">
        <f t="shared" si="17"/>
        <v>49164.82</v>
      </c>
    </row>
    <row r="94" spans="2:16" ht="21" customHeight="1" x14ac:dyDescent="0.25">
      <c r="B94" s="466" t="s">
        <v>813</v>
      </c>
      <c r="C94" s="569"/>
      <c r="D94" s="492">
        <v>6</v>
      </c>
      <c r="E94" s="465"/>
      <c r="F94" s="1016"/>
      <c r="G94" s="860"/>
      <c r="H94" s="695">
        <f>SUM(H88:H93)</f>
        <v>405000</v>
      </c>
      <c r="I94" s="1144">
        <f t="shared" ref="I94" si="18">SUM(I93)</f>
        <v>0</v>
      </c>
      <c r="J94" s="695">
        <f>SUM(J88:J93)</f>
        <v>405000</v>
      </c>
      <c r="K94" s="695">
        <f>SUM(K88:K93)</f>
        <v>11623.5</v>
      </c>
      <c r="L94" s="695">
        <f t="shared" ref="L94:O94" si="19">SUM(L88:L93)</f>
        <v>29058.98</v>
      </c>
      <c r="M94" s="1145">
        <f t="shared" si="19"/>
        <v>12312</v>
      </c>
      <c r="N94" s="695">
        <f>SUM(N88:N93)</f>
        <v>1865.46</v>
      </c>
      <c r="O94" s="695">
        <f t="shared" si="19"/>
        <v>54859.939999999995</v>
      </c>
      <c r="P94" s="695">
        <f>SUM(P88:P93)</f>
        <v>350140.06</v>
      </c>
    </row>
    <row r="95" spans="2:16" ht="21" customHeight="1" x14ac:dyDescent="0.25">
      <c r="B95" s="490"/>
      <c r="C95" s="1223"/>
      <c r="D95" s="492"/>
      <c r="E95" s="465"/>
      <c r="F95" s="856"/>
      <c r="G95" s="857"/>
      <c r="H95" s="695"/>
      <c r="I95" s="1112"/>
      <c r="J95" s="463"/>
      <c r="K95" s="463"/>
      <c r="L95" s="463"/>
      <c r="M95" s="1145"/>
      <c r="N95" s="697"/>
      <c r="O95" s="463"/>
      <c r="P95" s="463"/>
    </row>
    <row r="96" spans="2:16" ht="30" customHeight="1" x14ac:dyDescent="0.25">
      <c r="B96" s="1014" t="s">
        <v>825</v>
      </c>
      <c r="C96" s="570"/>
      <c r="D96" s="492"/>
      <c r="E96" s="465"/>
      <c r="F96" s="1019"/>
      <c r="G96" s="857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28.5" customHeight="1" x14ac:dyDescent="0.25">
      <c r="B97" s="153" t="s">
        <v>1598</v>
      </c>
      <c r="C97" s="684" t="s">
        <v>807</v>
      </c>
      <c r="D97" s="749" t="s">
        <v>1516</v>
      </c>
      <c r="E97" s="282" t="s">
        <v>1281</v>
      </c>
      <c r="F97" s="855">
        <v>45778</v>
      </c>
      <c r="G97" s="855">
        <v>45931</v>
      </c>
      <c r="H97" s="626">
        <v>120000</v>
      </c>
      <c r="I97" s="1111">
        <v>0</v>
      </c>
      <c r="J97" s="498">
        <v>120000</v>
      </c>
      <c r="K97" s="498">
        <v>3444</v>
      </c>
      <c r="L97" s="498">
        <v>16809.87</v>
      </c>
      <c r="M97" s="1149">
        <v>3648</v>
      </c>
      <c r="N97" s="626">
        <v>4169.3999999999996</v>
      </c>
      <c r="O97" s="457">
        <v>28071.27</v>
      </c>
      <c r="P97" s="457">
        <f>+J97-O97</f>
        <v>91928.73</v>
      </c>
    </row>
    <row r="98" spans="2:16" ht="21" customHeight="1" x14ac:dyDescent="0.25">
      <c r="B98" s="153" t="s">
        <v>1599</v>
      </c>
      <c r="C98" s="684" t="s">
        <v>806</v>
      </c>
      <c r="D98" s="282" t="s">
        <v>117</v>
      </c>
      <c r="E98" s="286" t="s">
        <v>1063</v>
      </c>
      <c r="F98" s="855">
        <v>45962</v>
      </c>
      <c r="G98" s="855">
        <v>45901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525</v>
      </c>
      <c r="O98" s="457">
        <f>+K98+L98+M98+N98</f>
        <v>10030.48</v>
      </c>
      <c r="P98" s="457">
        <f>+J98-O98</f>
        <v>59969.520000000004</v>
      </c>
    </row>
    <row r="99" spans="2:16" ht="21" customHeight="1" x14ac:dyDescent="0.25">
      <c r="B99" s="466" t="s">
        <v>813</v>
      </c>
      <c r="C99" s="569"/>
      <c r="D99" s="492">
        <v>2</v>
      </c>
      <c r="E99" s="465"/>
      <c r="F99" s="1016"/>
      <c r="G99" s="860"/>
      <c r="H99" s="695">
        <f>SUM(H97:H98)</f>
        <v>190000</v>
      </c>
      <c r="I99" s="1112">
        <v>0</v>
      </c>
      <c r="J99" s="695">
        <f t="shared" ref="J99:O99" si="20">SUM(J97:J98)</f>
        <v>190000</v>
      </c>
      <c r="K99" s="695">
        <f t="shared" si="20"/>
        <v>5453</v>
      </c>
      <c r="L99" s="695">
        <f t="shared" si="20"/>
        <v>22178.35</v>
      </c>
      <c r="M99" s="695">
        <f t="shared" si="20"/>
        <v>5776</v>
      </c>
      <c r="N99" s="695">
        <f>SUM(N97:N98)</f>
        <v>4694.3999999999996</v>
      </c>
      <c r="O99" s="695">
        <f t="shared" si="20"/>
        <v>38101.75</v>
      </c>
      <c r="P99" s="695">
        <f>SUM(P97:P98)</f>
        <v>151898.25</v>
      </c>
    </row>
    <row r="100" spans="2:16" ht="21" customHeight="1" x14ac:dyDescent="0.25">
      <c r="B100" s="490"/>
      <c r="C100" s="1223"/>
      <c r="D100" s="492"/>
      <c r="E100" s="465"/>
      <c r="F100" s="859"/>
      <c r="G100" s="860"/>
      <c r="H100" s="695"/>
      <c r="I100" s="1112"/>
      <c r="J100" s="494"/>
      <c r="K100" s="494"/>
      <c r="L100" s="494"/>
      <c r="M100" s="1145"/>
      <c r="N100" s="695"/>
      <c r="O100" s="494"/>
      <c r="P100" s="494"/>
    </row>
    <row r="101" spans="2:16" ht="21" customHeight="1" x14ac:dyDescent="0.25">
      <c r="B101" s="466" t="s">
        <v>827</v>
      </c>
      <c r="C101" s="569"/>
      <c r="D101" s="492"/>
      <c r="E101" s="465"/>
      <c r="F101" s="1272"/>
      <c r="G101" s="711"/>
      <c r="H101" s="695"/>
      <c r="I101" s="1144"/>
      <c r="J101" s="697"/>
      <c r="K101" s="697"/>
      <c r="L101" s="697"/>
      <c r="M101" s="1145"/>
      <c r="N101" s="697"/>
      <c r="O101" s="697"/>
      <c r="P101" s="697"/>
    </row>
    <row r="102" spans="2:16" ht="21" customHeight="1" x14ac:dyDescent="0.25">
      <c r="B102" s="490" t="s">
        <v>1736</v>
      </c>
      <c r="C102" s="1223"/>
      <c r="D102" s="492"/>
      <c r="E102" s="465"/>
      <c r="F102" s="710"/>
      <c r="G102" s="711"/>
      <c r="H102" s="695"/>
      <c r="I102" s="1112"/>
      <c r="J102" s="463"/>
      <c r="K102" s="463"/>
      <c r="L102" s="463"/>
      <c r="M102" s="1145"/>
      <c r="N102" s="697"/>
      <c r="O102" s="463"/>
      <c r="P102" s="463"/>
    </row>
    <row r="103" spans="2:16" ht="30" customHeight="1" x14ac:dyDescent="0.25">
      <c r="B103" s="153" t="s">
        <v>1602</v>
      </c>
      <c r="C103" s="281" t="s">
        <v>807</v>
      </c>
      <c r="D103" s="282" t="s">
        <v>1032</v>
      </c>
      <c r="E103" s="281" t="s">
        <v>1063</v>
      </c>
      <c r="F103" s="855">
        <v>45748</v>
      </c>
      <c r="G103" s="855">
        <v>45901</v>
      </c>
      <c r="H103" s="626">
        <v>70000</v>
      </c>
      <c r="I103" s="1169">
        <v>0</v>
      </c>
      <c r="J103" s="468">
        <v>70000</v>
      </c>
      <c r="K103" s="468">
        <v>2009</v>
      </c>
      <c r="L103" s="468">
        <v>5368.48</v>
      </c>
      <c r="M103" s="1149">
        <v>2128</v>
      </c>
      <c r="N103" s="468">
        <v>25</v>
      </c>
      <c r="O103" s="468">
        <f>+K103+L103+M103+N103</f>
        <v>9530.48</v>
      </c>
      <c r="P103" s="468">
        <f>+J103-O103</f>
        <v>60469.520000000004</v>
      </c>
    </row>
    <row r="104" spans="2:16" ht="30" customHeight="1" x14ac:dyDescent="0.25">
      <c r="B104" s="153" t="s">
        <v>1613</v>
      </c>
      <c r="C104" s="281" t="s">
        <v>807</v>
      </c>
      <c r="D104" s="282" t="s">
        <v>417</v>
      </c>
      <c r="E104" s="281" t="s">
        <v>1063</v>
      </c>
      <c r="F104" s="855">
        <v>45717</v>
      </c>
      <c r="G104" s="855">
        <v>45870</v>
      </c>
      <c r="H104" s="626">
        <v>70000</v>
      </c>
      <c r="I104" s="1169">
        <v>0</v>
      </c>
      <c r="J104" s="468">
        <v>70000</v>
      </c>
      <c r="K104" s="468">
        <v>2009</v>
      </c>
      <c r="L104" s="468">
        <v>4682.29</v>
      </c>
      <c r="M104" s="1149">
        <v>2128</v>
      </c>
      <c r="N104" s="468">
        <v>3455.92</v>
      </c>
      <c r="O104" s="468">
        <f>+K104+L104+M104+N104</f>
        <v>12275.210000000001</v>
      </c>
      <c r="P104" s="468">
        <f>+J104-O104</f>
        <v>57724.79</v>
      </c>
    </row>
    <row r="105" spans="2:16" ht="30" customHeight="1" x14ac:dyDescent="0.25">
      <c r="B105" s="153" t="s">
        <v>1606</v>
      </c>
      <c r="C105" s="281" t="s">
        <v>807</v>
      </c>
      <c r="D105" s="282" t="s">
        <v>967</v>
      </c>
      <c r="E105" s="281" t="s">
        <v>1063</v>
      </c>
      <c r="F105" s="855">
        <v>45748</v>
      </c>
      <c r="G105" s="855">
        <v>45901</v>
      </c>
      <c r="H105" s="626">
        <v>70000</v>
      </c>
      <c r="I105" s="1169">
        <v>0</v>
      </c>
      <c r="J105" s="468">
        <v>70000</v>
      </c>
      <c r="K105" s="468">
        <v>2009</v>
      </c>
      <c r="L105" s="861">
        <v>5025.38</v>
      </c>
      <c r="M105" s="1149">
        <v>2128</v>
      </c>
      <c r="N105" s="468">
        <v>1740.46</v>
      </c>
      <c r="O105" s="468">
        <f t="shared" ref="O105:O107" si="21">+K105+L105+M105+N105</f>
        <v>10902.84</v>
      </c>
      <c r="P105" s="468">
        <f t="shared" ref="P105:P107" si="22">+J105-O105</f>
        <v>59097.16</v>
      </c>
    </row>
    <row r="106" spans="2:16" ht="30" customHeight="1" x14ac:dyDescent="0.25">
      <c r="B106" s="286" t="s">
        <v>725</v>
      </c>
      <c r="C106" s="281" t="s">
        <v>806</v>
      </c>
      <c r="D106" s="282" t="s">
        <v>823</v>
      </c>
      <c r="E106" s="281" t="s">
        <v>1063</v>
      </c>
      <c r="F106" s="855">
        <v>45748</v>
      </c>
      <c r="G106" s="855">
        <v>45901</v>
      </c>
      <c r="H106" s="626">
        <v>70000</v>
      </c>
      <c r="I106" s="1169">
        <v>0</v>
      </c>
      <c r="J106" s="468">
        <v>70000</v>
      </c>
      <c r="K106" s="468">
        <v>2009</v>
      </c>
      <c r="L106" s="468">
        <v>5368.48</v>
      </c>
      <c r="M106" s="1149">
        <v>2128</v>
      </c>
      <c r="N106" s="468">
        <v>25</v>
      </c>
      <c r="O106" s="468">
        <f t="shared" si="21"/>
        <v>9530.48</v>
      </c>
      <c r="P106" s="468">
        <f t="shared" si="22"/>
        <v>60469.520000000004</v>
      </c>
    </row>
    <row r="107" spans="2:16" ht="30" customHeight="1" x14ac:dyDescent="0.25">
      <c r="B107" s="153" t="s">
        <v>1735</v>
      </c>
      <c r="C107" s="281" t="s">
        <v>806</v>
      </c>
      <c r="D107" s="282" t="s">
        <v>414</v>
      </c>
      <c r="E107" s="281" t="s">
        <v>1063</v>
      </c>
      <c r="F107" s="855">
        <v>45748</v>
      </c>
      <c r="G107" s="855">
        <v>45901</v>
      </c>
      <c r="H107" s="626">
        <v>70000</v>
      </c>
      <c r="I107" s="1169">
        <v>0</v>
      </c>
      <c r="J107" s="468">
        <v>70000</v>
      </c>
      <c r="K107" s="468">
        <v>2009</v>
      </c>
      <c r="L107" s="468">
        <v>5368.48</v>
      </c>
      <c r="M107" s="1149">
        <v>2128</v>
      </c>
      <c r="N107" s="468">
        <v>25</v>
      </c>
      <c r="O107" s="468">
        <f t="shared" si="21"/>
        <v>9530.48</v>
      </c>
      <c r="P107" s="468">
        <f t="shared" si="22"/>
        <v>60469.520000000004</v>
      </c>
    </row>
    <row r="108" spans="2:16" ht="30" customHeight="1" x14ac:dyDescent="0.25">
      <c r="B108" s="153" t="s">
        <v>1609</v>
      </c>
      <c r="C108" s="281" t="s">
        <v>807</v>
      </c>
      <c r="D108" s="282" t="s">
        <v>918</v>
      </c>
      <c r="E108" s="281" t="s">
        <v>1063</v>
      </c>
      <c r="F108" s="855">
        <v>45748</v>
      </c>
      <c r="G108" s="855">
        <v>45901</v>
      </c>
      <c r="H108" s="626">
        <v>70000</v>
      </c>
      <c r="I108" s="1169">
        <v>0</v>
      </c>
      <c r="J108" s="468">
        <v>70000</v>
      </c>
      <c r="K108" s="468">
        <v>2009</v>
      </c>
      <c r="L108" s="468">
        <v>5368.48</v>
      </c>
      <c r="M108" s="1149">
        <v>2128</v>
      </c>
      <c r="N108" s="468">
        <v>25</v>
      </c>
      <c r="O108" s="468">
        <f t="shared" ref="O108:O109" si="23">+K108+L108+M108+N108</f>
        <v>9530.48</v>
      </c>
      <c r="P108" s="468">
        <f t="shared" ref="P108:P111" si="24">+J108-O108</f>
        <v>60469.520000000004</v>
      </c>
    </row>
    <row r="109" spans="2:16" ht="30" customHeight="1" x14ac:dyDescent="0.25">
      <c r="B109" s="286" t="s">
        <v>1409</v>
      </c>
      <c r="C109" s="281" t="s">
        <v>807</v>
      </c>
      <c r="D109" s="282" t="s">
        <v>1734</v>
      </c>
      <c r="E109" s="281" t="s">
        <v>1063</v>
      </c>
      <c r="F109" s="855">
        <v>45658</v>
      </c>
      <c r="G109" s="855">
        <v>45809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23"/>
        <v>9530.48</v>
      </c>
      <c r="P109" s="468">
        <f t="shared" si="24"/>
        <v>60469.520000000004</v>
      </c>
    </row>
    <row r="110" spans="2:16" ht="30" customHeight="1" x14ac:dyDescent="0.25">
      <c r="B110" s="153" t="s">
        <v>1622</v>
      </c>
      <c r="C110" s="281" t="s">
        <v>806</v>
      </c>
      <c r="D110" s="282" t="s">
        <v>1357</v>
      </c>
      <c r="E110" s="281" t="s">
        <v>1063</v>
      </c>
      <c r="F110" s="855">
        <v>45748</v>
      </c>
      <c r="G110" s="855">
        <v>45901</v>
      </c>
      <c r="H110" s="626">
        <v>125000</v>
      </c>
      <c r="I110" s="1169">
        <v>0</v>
      </c>
      <c r="J110" s="468">
        <v>125000</v>
      </c>
      <c r="K110" s="1038">
        <v>3587.5</v>
      </c>
      <c r="L110" s="1037">
        <v>17985.990000000002</v>
      </c>
      <c r="M110" s="1150">
        <v>3800</v>
      </c>
      <c r="N110" s="1038">
        <v>25</v>
      </c>
      <c r="O110" s="468">
        <f>+K110+L110+M110+N110</f>
        <v>25398.49</v>
      </c>
      <c r="P110" s="468">
        <f t="shared" si="24"/>
        <v>99601.51</v>
      </c>
    </row>
    <row r="111" spans="2:16" ht="30" customHeight="1" x14ac:dyDescent="0.25">
      <c r="B111" s="153" t="s">
        <v>1624</v>
      </c>
      <c r="C111" s="281" t="s">
        <v>806</v>
      </c>
      <c r="D111" s="282" t="s">
        <v>1683</v>
      </c>
      <c r="E111" s="281" t="s">
        <v>1063</v>
      </c>
      <c r="F111" s="855">
        <v>45748</v>
      </c>
      <c r="G111" s="855">
        <v>45901</v>
      </c>
      <c r="H111" s="626">
        <v>55000</v>
      </c>
      <c r="I111" s="1169">
        <v>0</v>
      </c>
      <c r="J111" s="468">
        <v>55000</v>
      </c>
      <c r="K111" s="468">
        <v>1578.5</v>
      </c>
      <c r="L111" s="468">
        <v>2302.36</v>
      </c>
      <c r="M111" s="1149">
        <v>1672</v>
      </c>
      <c r="N111" s="468">
        <v>1740.46</v>
      </c>
      <c r="O111" s="468">
        <f t="shared" ref="O111" si="25">+K111+L111+M111+N111</f>
        <v>7293.3200000000006</v>
      </c>
      <c r="P111" s="468">
        <f t="shared" si="24"/>
        <v>47706.68</v>
      </c>
    </row>
    <row r="112" spans="2:16" ht="21" customHeight="1" x14ac:dyDescent="0.25">
      <c r="B112" s="466" t="s">
        <v>813</v>
      </c>
      <c r="C112" s="569"/>
      <c r="D112" s="492">
        <v>9</v>
      </c>
      <c r="E112" s="465"/>
      <c r="F112" s="1016"/>
      <c r="G112" s="860"/>
      <c r="H112" s="695">
        <f>SUM(H103:H111)</f>
        <v>670000</v>
      </c>
      <c r="I112" s="695">
        <f t="shared" ref="I112:P112" si="26">SUM(I103:I111)</f>
        <v>0</v>
      </c>
      <c r="J112" s="695">
        <f t="shared" si="26"/>
        <v>670000</v>
      </c>
      <c r="K112" s="695">
        <f t="shared" si="26"/>
        <v>19229</v>
      </c>
      <c r="L112" s="695">
        <f t="shared" si="26"/>
        <v>56838.42</v>
      </c>
      <c r="M112" s="695">
        <f t="shared" si="26"/>
        <v>20368</v>
      </c>
      <c r="N112" s="695">
        <f t="shared" si="26"/>
        <v>7086.84</v>
      </c>
      <c r="O112" s="695">
        <f t="shared" si="26"/>
        <v>103522.26000000001</v>
      </c>
      <c r="P112" s="695">
        <f t="shared" si="26"/>
        <v>566477.74000000011</v>
      </c>
    </row>
    <row r="113" spans="2:16" ht="28.5" customHeight="1" x14ac:dyDescent="0.25">
      <c r="B113" s="286"/>
      <c r="C113" s="569"/>
      <c r="D113" s="282"/>
      <c r="E113" s="465"/>
      <c r="F113" s="1272"/>
      <c r="G113" s="711"/>
      <c r="H113" s="695"/>
      <c r="I113" s="1144"/>
      <c r="J113" s="697"/>
      <c r="K113" s="697"/>
      <c r="L113" s="697"/>
      <c r="M113" s="1145"/>
      <c r="N113" s="697"/>
      <c r="O113" s="697"/>
      <c r="P113" s="697"/>
    </row>
    <row r="114" spans="2:16" ht="28.5" customHeight="1" x14ac:dyDescent="0.25">
      <c r="B114" s="466" t="s">
        <v>1738</v>
      </c>
      <c r="C114" s="569"/>
      <c r="D114" s="282"/>
      <c r="E114" s="465"/>
      <c r="F114" s="1272"/>
      <c r="G114" s="711"/>
      <c r="H114" s="695"/>
      <c r="I114" s="1144"/>
      <c r="J114" s="697"/>
      <c r="K114" s="697"/>
      <c r="L114" s="697"/>
      <c r="M114" s="1145"/>
      <c r="N114" s="697"/>
      <c r="O114" s="697"/>
      <c r="P114" s="697"/>
    </row>
    <row r="115" spans="2:16" ht="28.5" customHeight="1" x14ac:dyDescent="0.25">
      <c r="B115" s="153" t="s">
        <v>1087</v>
      </c>
      <c r="C115" s="680" t="s">
        <v>807</v>
      </c>
      <c r="D115" s="282" t="s">
        <v>78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628">
        <v>70000</v>
      </c>
      <c r="K115" s="628">
        <v>2009</v>
      </c>
      <c r="L115" s="628">
        <v>5368.48</v>
      </c>
      <c r="M115" s="1149">
        <v>2128</v>
      </c>
      <c r="N115" s="628">
        <v>25</v>
      </c>
      <c r="O115" s="628">
        <f t="shared" ref="O115:O122" si="27">+K115+L115+M115+N115</f>
        <v>9530.48</v>
      </c>
      <c r="P115" s="628">
        <f t="shared" ref="P115:P117" si="28">+J115-O115</f>
        <v>60469.520000000004</v>
      </c>
    </row>
    <row r="116" spans="2:16" ht="28.5" customHeight="1" x14ac:dyDescent="0.25">
      <c r="B116" s="153" t="s">
        <v>1603</v>
      </c>
      <c r="C116" s="281" t="s">
        <v>806</v>
      </c>
      <c r="D116" s="282" t="s">
        <v>1163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628">
        <v>70000</v>
      </c>
      <c r="K116" s="628">
        <v>2009</v>
      </c>
      <c r="L116" s="628">
        <v>5368.48</v>
      </c>
      <c r="M116" s="1149">
        <v>2128</v>
      </c>
      <c r="N116" s="628">
        <v>25</v>
      </c>
      <c r="O116" s="628">
        <f t="shared" si="27"/>
        <v>9530.48</v>
      </c>
      <c r="P116" s="628">
        <f t="shared" si="28"/>
        <v>60469.520000000004</v>
      </c>
    </row>
    <row r="117" spans="2:16" ht="28.5" customHeight="1" x14ac:dyDescent="0.25">
      <c r="B117" s="153" t="s">
        <v>1618</v>
      </c>
      <c r="C117" s="281" t="s">
        <v>807</v>
      </c>
      <c r="D117" s="282" t="s">
        <v>918</v>
      </c>
      <c r="E117" s="281" t="s">
        <v>1063</v>
      </c>
      <c r="F117" s="855">
        <v>45717</v>
      </c>
      <c r="G117" s="855">
        <v>45870</v>
      </c>
      <c r="H117" s="626">
        <v>70000</v>
      </c>
      <c r="I117" s="1169">
        <v>0</v>
      </c>
      <c r="J117" s="628">
        <v>70000</v>
      </c>
      <c r="K117" s="628">
        <v>2009</v>
      </c>
      <c r="L117" s="628">
        <v>5368.48</v>
      </c>
      <c r="M117" s="1149">
        <v>2128</v>
      </c>
      <c r="N117" s="628">
        <v>25</v>
      </c>
      <c r="O117" s="628">
        <f t="shared" si="27"/>
        <v>9530.48</v>
      </c>
      <c r="P117" s="628">
        <f t="shared" si="28"/>
        <v>60469.520000000004</v>
      </c>
    </row>
    <row r="118" spans="2:16" ht="28.5" customHeight="1" x14ac:dyDescent="0.25">
      <c r="B118" s="153" t="s">
        <v>1626</v>
      </c>
      <c r="C118" s="281" t="s">
        <v>1296</v>
      </c>
      <c r="D118" s="282" t="s">
        <v>1637</v>
      </c>
      <c r="E118" s="281" t="s">
        <v>1063</v>
      </c>
      <c r="F118" s="855">
        <v>45748</v>
      </c>
      <c r="G118" s="855">
        <v>45901</v>
      </c>
      <c r="H118" s="626">
        <v>43500</v>
      </c>
      <c r="I118" s="1169">
        <v>0</v>
      </c>
      <c r="J118" s="628">
        <v>43500</v>
      </c>
      <c r="K118" s="628">
        <v>1248.45</v>
      </c>
      <c r="L118" s="628">
        <v>936.62</v>
      </c>
      <c r="M118" s="1149">
        <v>1322.4</v>
      </c>
      <c r="N118" s="628">
        <v>25</v>
      </c>
      <c r="O118" s="628">
        <f t="shared" si="27"/>
        <v>3532.4700000000003</v>
      </c>
      <c r="P118" s="628">
        <f>+J118-O118</f>
        <v>39967.53</v>
      </c>
    </row>
    <row r="119" spans="2:16" ht="28.5" customHeight="1" x14ac:dyDescent="0.25">
      <c r="B119" s="153" t="s">
        <v>1612</v>
      </c>
      <c r="C119" s="281" t="s">
        <v>1296</v>
      </c>
      <c r="D119" s="282" t="s">
        <v>417</v>
      </c>
      <c r="E119" s="281" t="s">
        <v>1063</v>
      </c>
      <c r="F119" s="855">
        <v>45717</v>
      </c>
      <c r="G119" s="855">
        <v>45870</v>
      </c>
      <c r="H119" s="626">
        <v>70000</v>
      </c>
      <c r="I119" s="1169">
        <v>0</v>
      </c>
      <c r="J119" s="628">
        <v>70000</v>
      </c>
      <c r="K119" s="628">
        <v>2009</v>
      </c>
      <c r="L119" s="628">
        <v>5368.48</v>
      </c>
      <c r="M119" s="1149">
        <v>2128</v>
      </c>
      <c r="N119" s="628">
        <v>25</v>
      </c>
      <c r="O119" s="628">
        <f t="shared" si="27"/>
        <v>9530.48</v>
      </c>
      <c r="P119" s="628">
        <f t="shared" ref="P119:P121" si="29">+J119-O119</f>
        <v>60469.520000000004</v>
      </c>
    </row>
    <row r="120" spans="2:16" ht="28.5" customHeight="1" x14ac:dyDescent="0.25">
      <c r="B120" s="153" t="s">
        <v>1619</v>
      </c>
      <c r="C120" s="281" t="s">
        <v>806</v>
      </c>
      <c r="D120" s="282" t="s">
        <v>823</v>
      </c>
      <c r="E120" s="281" t="s">
        <v>1063</v>
      </c>
      <c r="F120" s="855">
        <v>45748</v>
      </c>
      <c r="G120" s="855">
        <v>45901</v>
      </c>
      <c r="H120" s="626">
        <v>70000</v>
      </c>
      <c r="I120" s="1169">
        <v>0</v>
      </c>
      <c r="J120" s="628">
        <v>70000</v>
      </c>
      <c r="K120" s="628">
        <v>2009</v>
      </c>
      <c r="L120" s="628">
        <v>5025.38</v>
      </c>
      <c r="M120" s="1149">
        <v>2128</v>
      </c>
      <c r="N120" s="628">
        <v>1740.46</v>
      </c>
      <c r="O120" s="628">
        <f t="shared" si="27"/>
        <v>10902.84</v>
      </c>
      <c r="P120" s="628">
        <f t="shared" si="29"/>
        <v>59097.16</v>
      </c>
    </row>
    <row r="121" spans="2:16" ht="28.5" customHeight="1" x14ac:dyDescent="0.25">
      <c r="B121" s="153" t="s">
        <v>1621</v>
      </c>
      <c r="C121" s="281" t="s">
        <v>806</v>
      </c>
      <c r="D121" s="280" t="s">
        <v>417</v>
      </c>
      <c r="E121" s="281" t="s">
        <v>1063</v>
      </c>
      <c r="F121" s="855">
        <v>45748</v>
      </c>
      <c r="G121" s="855">
        <v>45901</v>
      </c>
      <c r="H121" s="626">
        <v>70000</v>
      </c>
      <c r="I121" s="1169">
        <v>0</v>
      </c>
      <c r="J121" s="628">
        <v>70000</v>
      </c>
      <c r="K121" s="628">
        <v>2009</v>
      </c>
      <c r="L121" s="628">
        <v>5368.48</v>
      </c>
      <c r="M121" s="1149">
        <v>2128</v>
      </c>
      <c r="N121" s="628">
        <v>25</v>
      </c>
      <c r="O121" s="628">
        <f t="shared" si="27"/>
        <v>9530.48</v>
      </c>
      <c r="P121" s="628">
        <f t="shared" si="29"/>
        <v>60469.520000000004</v>
      </c>
    </row>
    <row r="122" spans="2:16" ht="28.5" customHeight="1" x14ac:dyDescent="0.25">
      <c r="B122" s="153" t="s">
        <v>1627</v>
      </c>
      <c r="C122" s="281" t="s">
        <v>806</v>
      </c>
      <c r="D122" s="282" t="s">
        <v>105</v>
      </c>
      <c r="E122" s="281" t="s">
        <v>1063</v>
      </c>
      <c r="F122" s="855">
        <v>45689</v>
      </c>
      <c r="G122" s="855">
        <v>45839</v>
      </c>
      <c r="H122" s="626">
        <v>25000</v>
      </c>
      <c r="I122" s="1169">
        <v>0</v>
      </c>
      <c r="J122" s="628">
        <v>25000</v>
      </c>
      <c r="K122" s="628">
        <v>717.5</v>
      </c>
      <c r="L122" s="627">
        <v>0</v>
      </c>
      <c r="M122" s="1149">
        <v>760</v>
      </c>
      <c r="N122" s="628">
        <v>25</v>
      </c>
      <c r="O122" s="628">
        <f t="shared" si="27"/>
        <v>1502.5</v>
      </c>
      <c r="P122" s="628">
        <f>+J122-O122</f>
        <v>23497.5</v>
      </c>
    </row>
    <row r="123" spans="2:16" ht="21" customHeight="1" x14ac:dyDescent="0.25">
      <c r="B123" s="466" t="s">
        <v>813</v>
      </c>
      <c r="C123" s="569"/>
      <c r="D123" s="492">
        <v>8</v>
      </c>
      <c r="E123" s="465"/>
      <c r="F123" s="1016"/>
      <c r="G123" s="860"/>
      <c r="H123" s="695">
        <f>SUM(H115:H122)</f>
        <v>488500</v>
      </c>
      <c r="I123" s="695">
        <f t="shared" ref="I123:P123" si="30">SUM(I115:I122)</f>
        <v>0</v>
      </c>
      <c r="J123" s="695">
        <f t="shared" si="30"/>
        <v>488500</v>
      </c>
      <c r="K123" s="695">
        <f t="shared" si="30"/>
        <v>14019.95</v>
      </c>
      <c r="L123" s="695">
        <f t="shared" si="30"/>
        <v>32804.399999999994</v>
      </c>
      <c r="M123" s="695">
        <f t="shared" si="30"/>
        <v>14850.4</v>
      </c>
      <c r="N123" s="695">
        <f t="shared" si="30"/>
        <v>1915.46</v>
      </c>
      <c r="O123" s="695">
        <f t="shared" si="30"/>
        <v>63590.209999999992</v>
      </c>
      <c r="P123" s="695">
        <f t="shared" si="30"/>
        <v>424909.79000000004</v>
      </c>
    </row>
    <row r="124" spans="2:16" ht="28.5" customHeight="1" x14ac:dyDescent="0.25">
      <c r="B124" s="466"/>
      <c r="C124" s="569"/>
      <c r="D124" s="49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697"/>
    </row>
    <row r="125" spans="2:16" ht="28.5" customHeight="1" x14ac:dyDescent="0.25">
      <c r="B125" s="466" t="s">
        <v>1738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8.5" customHeight="1" x14ac:dyDescent="0.25">
      <c r="B126" s="153" t="s">
        <v>1601</v>
      </c>
      <c r="C126" s="281" t="s">
        <v>806</v>
      </c>
      <c r="D126" s="282" t="s">
        <v>489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5025.38</v>
      </c>
      <c r="M126" s="1149">
        <v>2128</v>
      </c>
      <c r="N126" s="468">
        <v>1740.46</v>
      </c>
      <c r="O126" s="468">
        <f>+K126+L126+M126+N126</f>
        <v>10902.84</v>
      </c>
      <c r="P126" s="468">
        <f>+J126-O126</f>
        <v>59097.16</v>
      </c>
    </row>
    <row r="127" spans="2:16" ht="28.5" customHeight="1" x14ac:dyDescent="0.25">
      <c r="B127" s="153" t="s">
        <v>1607</v>
      </c>
      <c r="C127" s="281" t="s">
        <v>807</v>
      </c>
      <c r="D127" s="282" t="s">
        <v>78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 t="shared" ref="O127:O131" si="31">+K127+L127+M127+N127</f>
        <v>9530.48</v>
      </c>
      <c r="P127" s="468">
        <f t="shared" ref="P127:P131" si="32">+J127-O127</f>
        <v>60469.520000000004</v>
      </c>
    </row>
    <row r="128" spans="2:16" ht="28.5" customHeight="1" x14ac:dyDescent="0.25">
      <c r="B128" s="153" t="s">
        <v>1608</v>
      </c>
      <c r="C128" s="281" t="s">
        <v>807</v>
      </c>
      <c r="D128" s="282" t="s">
        <v>117</v>
      </c>
      <c r="E128" s="281" t="s">
        <v>1063</v>
      </c>
      <c r="F128" s="855">
        <v>45748</v>
      </c>
      <c r="G128" s="855">
        <v>45901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 t="shared" si="31"/>
        <v>9530.48</v>
      </c>
      <c r="P128" s="468">
        <f t="shared" si="32"/>
        <v>60469.520000000004</v>
      </c>
    </row>
    <row r="129" spans="2:16" ht="28.5" customHeight="1" x14ac:dyDescent="0.25">
      <c r="B129" s="153" t="s">
        <v>1614</v>
      </c>
      <c r="C129" s="281" t="s">
        <v>806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5368.48</v>
      </c>
      <c r="M129" s="1149">
        <v>2128</v>
      </c>
      <c r="N129" s="468">
        <v>25</v>
      </c>
      <c r="O129" s="468">
        <f t="shared" si="31"/>
        <v>9530.48</v>
      </c>
      <c r="P129" s="468">
        <f t="shared" si="32"/>
        <v>60469.520000000004</v>
      </c>
    </row>
    <row r="130" spans="2:16" ht="28.5" customHeight="1" x14ac:dyDescent="0.25">
      <c r="B130" s="153" t="s">
        <v>1617</v>
      </c>
      <c r="C130" s="281" t="s">
        <v>807</v>
      </c>
      <c r="D130" s="282" t="s">
        <v>918</v>
      </c>
      <c r="E130" s="281" t="s">
        <v>1063</v>
      </c>
      <c r="F130" s="855">
        <v>45717</v>
      </c>
      <c r="G130" s="855">
        <v>45870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31"/>
        <v>9530.48</v>
      </c>
      <c r="P130" s="468">
        <f t="shared" si="32"/>
        <v>60469.520000000004</v>
      </c>
    </row>
    <row r="131" spans="2:16" ht="28.5" customHeight="1" x14ac:dyDescent="0.25">
      <c r="B131" s="153" t="s">
        <v>1363</v>
      </c>
      <c r="C131" s="281" t="s">
        <v>806</v>
      </c>
      <c r="D131" s="282" t="s">
        <v>918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31"/>
        <v>9530.48</v>
      </c>
      <c r="P131" s="468">
        <f t="shared" si="32"/>
        <v>60469.520000000004</v>
      </c>
    </row>
    <row r="132" spans="2:16" ht="28.5" customHeight="1" x14ac:dyDescent="0.25">
      <c r="B132" s="153" t="s">
        <v>1620</v>
      </c>
      <c r="C132" s="281" t="s">
        <v>807</v>
      </c>
      <c r="D132" s="280" t="s">
        <v>417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ref="O132" si="33">+K132+L132+M132+N132</f>
        <v>9530.48</v>
      </c>
      <c r="P132" s="468">
        <f t="shared" ref="P132" si="34">+J132-O132</f>
        <v>60469.520000000004</v>
      </c>
    </row>
    <row r="133" spans="2:16" ht="28.5" customHeight="1" x14ac:dyDescent="0.25">
      <c r="B133" s="286" t="s">
        <v>1299</v>
      </c>
      <c r="C133" s="281" t="s">
        <v>1296</v>
      </c>
      <c r="D133" s="282" t="s">
        <v>1636</v>
      </c>
      <c r="E133" s="281" t="s">
        <v>1063</v>
      </c>
      <c r="F133" s="855">
        <v>45748</v>
      </c>
      <c r="G133" s="855">
        <v>45901</v>
      </c>
      <c r="H133" s="626">
        <v>43500</v>
      </c>
      <c r="I133" s="1169">
        <v>0</v>
      </c>
      <c r="J133" s="468">
        <v>43500</v>
      </c>
      <c r="K133" s="468">
        <v>1248.45</v>
      </c>
      <c r="L133" s="468">
        <v>936.62</v>
      </c>
      <c r="M133" s="1149">
        <v>1322.4</v>
      </c>
      <c r="N133" s="468">
        <v>25</v>
      </c>
      <c r="O133" s="468">
        <f>+K133+L133+M133+N133</f>
        <v>3532.4700000000003</v>
      </c>
      <c r="P133" s="468">
        <f>+J133-O133</f>
        <v>39967.53</v>
      </c>
    </row>
    <row r="134" spans="2:16" ht="28.5" customHeight="1" x14ac:dyDescent="0.25">
      <c r="B134" s="153" t="s">
        <v>1623</v>
      </c>
      <c r="C134" s="281" t="s">
        <v>806</v>
      </c>
      <c r="D134" s="282" t="s">
        <v>529</v>
      </c>
      <c r="E134" s="281" t="s">
        <v>1063</v>
      </c>
      <c r="F134" s="855">
        <v>45748</v>
      </c>
      <c r="G134" s="855">
        <v>45901</v>
      </c>
      <c r="H134" s="626">
        <v>55000</v>
      </c>
      <c r="I134" s="1169">
        <v>0</v>
      </c>
      <c r="J134" s="468">
        <v>55000</v>
      </c>
      <c r="K134" s="468">
        <v>1578.5</v>
      </c>
      <c r="L134" s="468">
        <v>2559.6799999999998</v>
      </c>
      <c r="M134" s="1149">
        <v>1672</v>
      </c>
      <c r="N134" s="468">
        <v>25</v>
      </c>
      <c r="O134" s="468">
        <f>+K134+L134+M134+N134</f>
        <v>5835.18</v>
      </c>
      <c r="P134" s="468">
        <f>+J134-O134</f>
        <v>49164.82</v>
      </c>
    </row>
    <row r="135" spans="2:16" ht="21" customHeight="1" x14ac:dyDescent="0.25">
      <c r="B135" s="466" t="s">
        <v>813</v>
      </c>
      <c r="C135" s="569"/>
      <c r="D135" s="492">
        <v>9</v>
      </c>
      <c r="E135" s="465"/>
      <c r="F135" s="1016"/>
      <c r="G135" s="860"/>
      <c r="H135" s="695">
        <f>SUM(H126:H134)</f>
        <v>588500</v>
      </c>
      <c r="I135" s="695">
        <f t="shared" ref="I135:P135" si="35">SUM(I126:I134)</f>
        <v>0</v>
      </c>
      <c r="J135" s="695">
        <f t="shared" si="35"/>
        <v>588500</v>
      </c>
      <c r="K135" s="695">
        <f t="shared" si="35"/>
        <v>16889.95</v>
      </c>
      <c r="L135" s="695">
        <f t="shared" si="35"/>
        <v>40732.559999999998</v>
      </c>
      <c r="M135" s="695">
        <f t="shared" si="35"/>
        <v>17890.400000000001</v>
      </c>
      <c r="N135" s="695">
        <f t="shared" si="35"/>
        <v>1940.46</v>
      </c>
      <c r="O135" s="695">
        <f t="shared" si="35"/>
        <v>77453.37</v>
      </c>
      <c r="P135" s="695">
        <f t="shared" si="35"/>
        <v>511046.63000000006</v>
      </c>
    </row>
    <row r="136" spans="2:16" ht="28.5" customHeight="1" x14ac:dyDescent="0.25">
      <c r="B136" s="466"/>
      <c r="C136" s="569"/>
      <c r="D136" s="492"/>
      <c r="E136" s="465"/>
      <c r="F136" s="1272"/>
      <c r="G136" s="711"/>
      <c r="H136" s="695"/>
      <c r="I136" s="1144"/>
      <c r="J136" s="697"/>
      <c r="K136" s="697"/>
      <c r="L136" s="697"/>
      <c r="M136" s="1145"/>
      <c r="N136" s="697"/>
      <c r="O136" s="697"/>
      <c r="P136" s="697"/>
    </row>
    <row r="137" spans="2:16" ht="28.5" customHeight="1" x14ac:dyDescent="0.25">
      <c r="B137" s="466" t="s">
        <v>1737</v>
      </c>
      <c r="C137" s="569"/>
      <c r="D137" s="492"/>
      <c r="E137" s="465"/>
      <c r="F137" s="1272"/>
      <c r="G137" s="711"/>
      <c r="H137" s="695"/>
      <c r="I137" s="1144"/>
      <c r="J137" s="697"/>
      <c r="K137" s="697"/>
      <c r="L137" s="697"/>
      <c r="M137" s="1145"/>
      <c r="N137" s="697"/>
      <c r="O137" s="697"/>
      <c r="P137" s="697"/>
    </row>
    <row r="138" spans="2:16" ht="24" customHeight="1" x14ac:dyDescent="0.25">
      <c r="B138" s="153" t="s">
        <v>1600</v>
      </c>
      <c r="C138" s="281" t="s">
        <v>806</v>
      </c>
      <c r="D138" s="282" t="s">
        <v>1463</v>
      </c>
      <c r="E138" s="281" t="s">
        <v>1063</v>
      </c>
      <c r="F138" s="855">
        <v>45748</v>
      </c>
      <c r="G138" s="855">
        <v>45901</v>
      </c>
      <c r="H138" s="626">
        <v>120000</v>
      </c>
      <c r="I138" s="1169">
        <v>0</v>
      </c>
      <c r="J138" s="468">
        <v>120000</v>
      </c>
      <c r="K138" s="468">
        <v>3444</v>
      </c>
      <c r="L138" s="468">
        <v>16809.87</v>
      </c>
      <c r="M138" s="1149">
        <v>3648</v>
      </c>
      <c r="N138" s="468">
        <v>25</v>
      </c>
      <c r="O138" s="468">
        <f t="shared" ref="O138:O142" si="36">+K138+L138+M138+N138</f>
        <v>23926.87</v>
      </c>
      <c r="P138" s="468">
        <f t="shared" ref="P138:P140" si="37">+J138-O138</f>
        <v>96073.13</v>
      </c>
    </row>
    <row r="139" spans="2:16" ht="24" customHeight="1" x14ac:dyDescent="0.25">
      <c r="B139" s="153" t="s">
        <v>1604</v>
      </c>
      <c r="C139" s="685" t="s">
        <v>806</v>
      </c>
      <c r="D139" s="282" t="s">
        <v>117</v>
      </c>
      <c r="E139" s="281" t="s">
        <v>1063</v>
      </c>
      <c r="F139" s="855">
        <v>45748</v>
      </c>
      <c r="G139" s="855">
        <v>45901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5025.38</v>
      </c>
      <c r="M139" s="1149">
        <v>2128</v>
      </c>
      <c r="N139" s="468">
        <v>1740.46</v>
      </c>
      <c r="O139" s="468">
        <f t="shared" si="36"/>
        <v>10902.84</v>
      </c>
      <c r="P139" s="468">
        <f t="shared" si="37"/>
        <v>59097.16</v>
      </c>
    </row>
    <row r="140" spans="2:16" ht="24" customHeight="1" x14ac:dyDescent="0.25">
      <c r="B140" s="153" t="s">
        <v>1605</v>
      </c>
      <c r="C140" s="685" t="s">
        <v>806</v>
      </c>
      <c r="D140" s="282" t="s">
        <v>1044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4682.29</v>
      </c>
      <c r="M140" s="1149">
        <v>2128</v>
      </c>
      <c r="N140" s="468">
        <v>3455.92</v>
      </c>
      <c r="O140" s="468">
        <f t="shared" si="36"/>
        <v>12275.210000000001</v>
      </c>
      <c r="P140" s="468">
        <f t="shared" si="37"/>
        <v>57724.79</v>
      </c>
    </row>
    <row r="141" spans="2:16" ht="24" customHeight="1" x14ac:dyDescent="0.25">
      <c r="B141" s="153" t="s">
        <v>1611</v>
      </c>
      <c r="C141" s="685" t="s">
        <v>806</v>
      </c>
      <c r="D141" s="282" t="s">
        <v>417</v>
      </c>
      <c r="E141" s="281" t="s">
        <v>1063</v>
      </c>
      <c r="F141" s="855">
        <v>45717</v>
      </c>
      <c r="G141" s="855">
        <v>45870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36"/>
        <v>9530.48</v>
      </c>
      <c r="P141" s="468">
        <f t="shared" ref="P141:P142" si="38">+J141-O141</f>
        <v>60469.520000000004</v>
      </c>
    </row>
    <row r="142" spans="2:16" ht="24" customHeight="1" x14ac:dyDescent="0.25">
      <c r="B142" s="153" t="s">
        <v>1610</v>
      </c>
      <c r="C142" s="685" t="s">
        <v>806</v>
      </c>
      <c r="D142" s="282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5025.38</v>
      </c>
      <c r="M142" s="1149">
        <v>2128</v>
      </c>
      <c r="N142" s="468">
        <v>1740.46</v>
      </c>
      <c r="O142" s="468">
        <f t="shared" si="36"/>
        <v>10902.84</v>
      </c>
      <c r="P142" s="468">
        <f t="shared" si="38"/>
        <v>59097.16</v>
      </c>
    </row>
    <row r="143" spans="2:16" ht="24" customHeight="1" x14ac:dyDescent="0.25">
      <c r="B143" s="153" t="s">
        <v>1616</v>
      </c>
      <c r="C143" s="685" t="s">
        <v>806</v>
      </c>
      <c r="D143" s="282" t="s">
        <v>918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ref="O143:O144" si="39">+K143+L143+M143+N143</f>
        <v>9530.48</v>
      </c>
      <c r="P143" s="468">
        <f t="shared" ref="P143:P144" si="40">+J143-O143</f>
        <v>60469.520000000004</v>
      </c>
    </row>
    <row r="144" spans="2:16" ht="24" customHeight="1" x14ac:dyDescent="0.25">
      <c r="B144" s="153" t="s">
        <v>1615</v>
      </c>
      <c r="C144" s="685" t="s">
        <v>1296</v>
      </c>
      <c r="D144" s="282" t="s">
        <v>918</v>
      </c>
      <c r="E144" s="281" t="s">
        <v>1063</v>
      </c>
      <c r="F144" s="855">
        <v>45717</v>
      </c>
      <c r="G144" s="855">
        <v>45870</v>
      </c>
      <c r="H144" s="626">
        <v>70000</v>
      </c>
      <c r="I144" s="1169">
        <v>0</v>
      </c>
      <c r="J144" s="468">
        <v>70000</v>
      </c>
      <c r="K144" s="468">
        <v>2009</v>
      </c>
      <c r="L144" s="468">
        <v>5368.48</v>
      </c>
      <c r="M144" s="1149">
        <v>2128</v>
      </c>
      <c r="N144" s="468">
        <v>25</v>
      </c>
      <c r="O144" s="468">
        <f t="shared" si="39"/>
        <v>9530.48</v>
      </c>
      <c r="P144" s="468">
        <f t="shared" si="40"/>
        <v>60469.520000000004</v>
      </c>
    </row>
    <row r="145" spans="2:17" ht="24" customHeight="1" x14ac:dyDescent="0.25">
      <c r="B145" s="153" t="s">
        <v>1625</v>
      </c>
      <c r="C145" s="685" t="s">
        <v>1296</v>
      </c>
      <c r="D145" s="282" t="s">
        <v>1636</v>
      </c>
      <c r="E145" s="281" t="s">
        <v>1063</v>
      </c>
      <c r="F145" s="855">
        <v>45717</v>
      </c>
      <c r="G145" s="855">
        <v>45870</v>
      </c>
      <c r="H145" s="626">
        <v>43500</v>
      </c>
      <c r="I145" s="1169">
        <v>0</v>
      </c>
      <c r="J145" s="468">
        <v>43500</v>
      </c>
      <c r="K145" s="468">
        <v>1248.45</v>
      </c>
      <c r="L145" s="468">
        <v>936.62</v>
      </c>
      <c r="M145" s="1149">
        <v>1322.4</v>
      </c>
      <c r="N145" s="468">
        <v>25</v>
      </c>
      <c r="O145" s="468">
        <f>+K145+L145+M145+N145</f>
        <v>3532.4700000000003</v>
      </c>
      <c r="P145" s="468">
        <f>+J145-O145</f>
        <v>39967.53</v>
      </c>
    </row>
    <row r="146" spans="2:17" ht="21" customHeight="1" x14ac:dyDescent="0.25">
      <c r="B146" s="466" t="s">
        <v>813</v>
      </c>
      <c r="C146" s="569"/>
      <c r="D146" s="492">
        <v>8</v>
      </c>
      <c r="E146" s="465"/>
      <c r="F146" s="1016"/>
      <c r="G146" s="860"/>
      <c r="H146" s="695">
        <f>SUM(H138:H145)</f>
        <v>583500</v>
      </c>
      <c r="I146" s="695">
        <f t="shared" ref="I146:P146" si="41">SUM(I138:I145)</f>
        <v>0</v>
      </c>
      <c r="J146" s="695">
        <f t="shared" si="41"/>
        <v>583500</v>
      </c>
      <c r="K146" s="695">
        <f t="shared" si="41"/>
        <v>16746.45</v>
      </c>
      <c r="L146" s="695">
        <f t="shared" si="41"/>
        <v>48584.98</v>
      </c>
      <c r="M146" s="695">
        <f t="shared" si="41"/>
        <v>17738.400000000001</v>
      </c>
      <c r="N146" s="695">
        <f t="shared" si="41"/>
        <v>7061.84</v>
      </c>
      <c r="O146" s="695">
        <f t="shared" si="41"/>
        <v>90131.669999999984</v>
      </c>
      <c r="P146" s="695">
        <f t="shared" si="41"/>
        <v>493368.33000000007</v>
      </c>
    </row>
    <row r="147" spans="2:17" ht="21" customHeight="1" x14ac:dyDescent="0.25">
      <c r="B147" s="466"/>
      <c r="C147" s="569"/>
      <c r="D147" s="492"/>
      <c r="E147" s="465"/>
      <c r="F147" s="1016"/>
      <c r="G147" s="860"/>
      <c r="H147" s="695">
        <f>+H146+H135+H123+H112</f>
        <v>2330500</v>
      </c>
      <c r="I147" s="695">
        <f t="shared" ref="I147:P147" si="42">+I146+I135+I123+I112</f>
        <v>0</v>
      </c>
      <c r="J147" s="695">
        <f t="shared" si="42"/>
        <v>2330500</v>
      </c>
      <c r="K147" s="695">
        <f t="shared" si="42"/>
        <v>66885.350000000006</v>
      </c>
      <c r="L147" s="695">
        <f t="shared" si="42"/>
        <v>178960.36</v>
      </c>
      <c r="M147" s="695">
        <f t="shared" si="42"/>
        <v>70847.200000000012</v>
      </c>
      <c r="N147" s="695">
        <f t="shared" si="42"/>
        <v>18004.599999999999</v>
      </c>
      <c r="O147" s="695">
        <f t="shared" si="42"/>
        <v>334697.51</v>
      </c>
      <c r="P147" s="695">
        <f t="shared" si="42"/>
        <v>1995802.4900000002</v>
      </c>
    </row>
    <row r="148" spans="2:17" ht="21" customHeight="1" x14ac:dyDescent="0.25">
      <c r="B148" s="490"/>
      <c r="C148" s="1223"/>
      <c r="D148" s="492"/>
      <c r="E148" s="465"/>
      <c r="F148" s="710"/>
      <c r="G148" s="711"/>
      <c r="H148" s="695"/>
      <c r="I148" s="1112"/>
      <c r="J148" s="463"/>
      <c r="K148" s="463"/>
      <c r="L148" s="463"/>
      <c r="M148" s="1145"/>
      <c r="N148" s="697"/>
      <c r="O148" s="463"/>
      <c r="P148" s="463"/>
    </row>
    <row r="149" spans="2:17" ht="23.25" customHeight="1" x14ac:dyDescent="0.25">
      <c r="B149" s="1048" t="s">
        <v>865</v>
      </c>
      <c r="C149" s="1053"/>
      <c r="D149" s="1125">
        <f>+D146+D135+D123+D112+D16+D20+D25+D29+D33+D37+D41+D46+D50+D55+D65+D72+D76+D81+D85+D94+D99</f>
        <v>71</v>
      </c>
      <c r="E149" s="1125"/>
      <c r="F149" s="1125"/>
      <c r="G149" s="1125"/>
      <c r="H149" s="1126">
        <f>+H16+H20+H25+H29+H33+H37+H41+H46+H50+H55+H65+H72+H76+H81+H85+H94+H99+H147</f>
        <v>5935500</v>
      </c>
      <c r="I149" s="1126">
        <f t="shared" ref="I149:P149" si="43">+I16+I20+I25+I29+I33+I37+I41+I46+I50+I55+I65+I72+I76+I81+I85+I94+I99+I147</f>
        <v>0</v>
      </c>
      <c r="J149" s="1126">
        <f t="shared" si="43"/>
        <v>5935500</v>
      </c>
      <c r="K149" s="1126">
        <f t="shared" si="43"/>
        <v>170348.85</v>
      </c>
      <c r="L149" s="1126">
        <f t="shared" si="43"/>
        <v>614421.24999999988</v>
      </c>
      <c r="M149" s="1126">
        <f t="shared" si="43"/>
        <v>180439.2</v>
      </c>
      <c r="N149" s="1126">
        <f t="shared" si="43"/>
        <v>80522.490000000005</v>
      </c>
      <c r="O149" s="1126">
        <f t="shared" si="43"/>
        <v>1045731.7899999999</v>
      </c>
      <c r="P149" s="1126">
        <f t="shared" si="43"/>
        <v>4889768.21</v>
      </c>
    </row>
    <row r="150" spans="2:17" x14ac:dyDescent="0.25">
      <c r="B150" s="259"/>
      <c r="C150" s="1220"/>
      <c r="D150" s="259"/>
      <c r="E150" s="546"/>
      <c r="F150" s="546"/>
      <c r="G150" s="546"/>
      <c r="H150" s="862"/>
      <c r="I150" s="259"/>
      <c r="J150" s="259"/>
      <c r="K150" s="660"/>
      <c r="L150" s="660"/>
      <c r="M150" s="531"/>
      <c r="N150" s="1161"/>
      <c r="O150" s="660"/>
      <c r="P150" s="259"/>
      <c r="Q150" s="259"/>
    </row>
    <row r="151" spans="2:17" x14ac:dyDescent="0.25">
      <c r="B151" s="259"/>
      <c r="C151" s="1220"/>
      <c r="D151" s="259"/>
      <c r="E151" s="546"/>
      <c r="F151" s="546"/>
      <c r="G151" s="546"/>
      <c r="H151" s="1179"/>
      <c r="I151" s="259"/>
      <c r="J151" s="259"/>
      <c r="K151" s="660"/>
      <c r="L151" s="660"/>
      <c r="M151" s="531"/>
      <c r="N151" s="1161"/>
      <c r="O151" s="660"/>
      <c r="P151" s="259"/>
      <c r="Q151" s="259"/>
    </row>
    <row r="152" spans="2:17" x14ac:dyDescent="0.25">
      <c r="B152" s="259"/>
      <c r="C152" s="1220"/>
      <c r="D152" s="259"/>
      <c r="E152" s="546"/>
      <c r="F152" s="546"/>
      <c r="G152" s="546"/>
      <c r="H152" s="1179"/>
      <c r="I152" s="259"/>
      <c r="J152" s="259"/>
      <c r="K152" s="660"/>
      <c r="L152" s="660"/>
      <c r="M152" s="531"/>
      <c r="N152" s="1161"/>
      <c r="O152" s="660"/>
      <c r="P152" s="259"/>
      <c r="Q152" s="259"/>
    </row>
    <row r="153" spans="2:17" x14ac:dyDescent="0.25">
      <c r="B153" s="259"/>
      <c r="C153" s="1220"/>
      <c r="D153" s="259"/>
      <c r="E153" s="546"/>
      <c r="F153" s="546"/>
      <c r="G153" s="546"/>
      <c r="H153" s="1179"/>
      <c r="I153" s="259"/>
      <c r="J153" s="259"/>
      <c r="K153" s="660"/>
      <c r="L153" s="660"/>
      <c r="M153" s="531"/>
      <c r="N153" s="1161"/>
      <c r="O153" s="660"/>
      <c r="P153" s="259"/>
      <c r="Q153" s="259"/>
    </row>
    <row r="154" spans="2:17" x14ac:dyDescent="0.25">
      <c r="B154" s="259"/>
      <c r="C154" s="1220"/>
      <c r="D154" s="259"/>
      <c r="E154" s="546"/>
      <c r="F154" s="546"/>
      <c r="G154" s="546"/>
      <c r="H154" s="1179"/>
      <c r="I154" s="259"/>
      <c r="J154" s="259"/>
      <c r="K154" s="660"/>
      <c r="L154" s="660"/>
      <c r="M154" s="531"/>
      <c r="N154" s="1161"/>
      <c r="O154" s="660"/>
      <c r="P154" s="259"/>
      <c r="Q154" s="259"/>
    </row>
    <row r="155" spans="2:17" x14ac:dyDescent="0.25">
      <c r="B155" s="259"/>
      <c r="C155" s="1220"/>
      <c r="D155" s="259"/>
      <c r="E155" s="259"/>
      <c r="F155" s="259"/>
      <c r="G155" s="259"/>
      <c r="H155" s="259"/>
      <c r="I155" s="259"/>
      <c r="J155" s="259"/>
      <c r="K155" s="660"/>
      <c r="L155" s="259"/>
      <c r="M155" s="1152"/>
      <c r="N155" s="1161"/>
      <c r="O155" s="660"/>
      <c r="P155" s="660"/>
      <c r="Q155" s="259"/>
    </row>
    <row r="156" spans="2:17" x14ac:dyDescent="0.25">
      <c r="B156" s="259"/>
      <c r="C156" s="1220"/>
      <c r="D156" s="259"/>
      <c r="E156" s="259"/>
      <c r="F156" s="259"/>
      <c r="G156" s="259"/>
      <c r="H156" s="259"/>
      <c r="I156" s="259"/>
      <c r="J156" s="259"/>
      <c r="K156" s="660"/>
      <c r="L156" s="259"/>
      <c r="M156" s="1152"/>
      <c r="N156" s="1161"/>
      <c r="O156" s="660"/>
      <c r="P156" s="660"/>
      <c r="Q156" s="259"/>
    </row>
    <row r="157" spans="2:17" ht="9.75" customHeight="1" x14ac:dyDescent="0.25">
      <c r="B157" s="259"/>
      <c r="C157" s="1220"/>
      <c r="D157" s="259"/>
      <c r="E157" s="259"/>
      <c r="F157" s="259"/>
      <c r="G157" s="259"/>
      <c r="H157" s="259"/>
      <c r="I157" s="259"/>
      <c r="J157" s="259"/>
      <c r="K157" s="660"/>
      <c r="L157" s="259"/>
      <c r="M157" s="1152"/>
      <c r="N157" s="1161"/>
      <c r="O157" s="660"/>
      <c r="P157" s="660"/>
      <c r="Q157" s="259"/>
    </row>
    <row r="158" spans="2:17" hidden="1" x14ac:dyDescent="0.25">
      <c r="B158" s="259"/>
      <c r="C158" s="1220"/>
      <c r="D158" s="259"/>
      <c r="E158" s="259"/>
      <c r="F158" s="259"/>
      <c r="G158" s="259"/>
      <c r="H158" s="259"/>
      <c r="I158" s="259"/>
      <c r="J158" s="259"/>
      <c r="K158" s="660"/>
      <c r="L158" s="259"/>
      <c r="M158" s="1152"/>
      <c r="N158" s="1161"/>
      <c r="O158" s="660"/>
      <c r="P158" s="660"/>
      <c r="Q158" s="259"/>
    </row>
    <row r="159" spans="2:17" x14ac:dyDescent="0.25">
      <c r="B159" s="259"/>
      <c r="C159" s="1220"/>
      <c r="D159" s="259"/>
      <c r="E159" s="259"/>
      <c r="F159" s="259"/>
      <c r="G159" s="259"/>
      <c r="H159" s="259"/>
      <c r="I159" s="259"/>
      <c r="J159" s="259"/>
      <c r="K159" s="660"/>
      <c r="L159" s="259"/>
      <c r="M159" s="1152"/>
      <c r="N159" s="1161"/>
      <c r="O159" s="660"/>
      <c r="P159" s="660"/>
      <c r="Q159" s="259"/>
    </row>
    <row r="160" spans="2:17" x14ac:dyDescent="0.25">
      <c r="B160" s="259"/>
      <c r="C160" s="1220"/>
      <c r="D160" s="259"/>
      <c r="E160" s="259"/>
      <c r="F160" s="259"/>
      <c r="G160" s="259"/>
      <c r="H160" s="259"/>
      <c r="I160" s="259"/>
      <c r="J160" s="259"/>
      <c r="K160" s="660"/>
      <c r="L160" s="259"/>
      <c r="M160" s="1152"/>
      <c r="N160" s="1161"/>
      <c r="O160" s="660"/>
      <c r="P160" s="660"/>
      <c r="Q160" s="259"/>
    </row>
    <row r="161" spans="2:17" x14ac:dyDescent="0.25">
      <c r="B161" s="259"/>
      <c r="C161" s="1220"/>
      <c r="D161" s="259"/>
      <c r="E161" s="259"/>
      <c r="F161" s="259"/>
      <c r="G161" s="259"/>
      <c r="H161" s="259"/>
      <c r="I161" s="259"/>
      <c r="J161" s="259"/>
      <c r="K161" s="660" t="s">
        <v>641</v>
      </c>
      <c r="L161" s="259"/>
      <c r="M161" s="1152"/>
      <c r="N161" s="1161"/>
      <c r="O161" s="660"/>
      <c r="P161" s="660"/>
      <c r="Q161" s="259"/>
    </row>
    <row r="162" spans="2:17" x14ac:dyDescent="0.25">
      <c r="B162" s="259"/>
      <c r="C162" s="1220"/>
      <c r="D162" s="259"/>
      <c r="E162" s="259"/>
      <c r="F162" s="259"/>
      <c r="G162" s="259"/>
      <c r="H162" s="259"/>
      <c r="I162" s="259"/>
      <c r="J162" s="259"/>
      <c r="K162" s="660"/>
      <c r="L162" s="259"/>
      <c r="M162" s="1152"/>
      <c r="N162" s="1161"/>
      <c r="O162" s="660"/>
      <c r="P162" s="660"/>
      <c r="Q162" s="259"/>
    </row>
    <row r="163" spans="2:17" x14ac:dyDescent="0.25">
      <c r="B163" s="259"/>
      <c r="C163" s="1220"/>
      <c r="D163" s="259"/>
      <c r="E163" s="259"/>
      <c r="F163" s="259"/>
      <c r="G163" s="259"/>
      <c r="H163" s="259"/>
      <c r="I163" s="259"/>
      <c r="J163" s="259"/>
      <c r="K163" s="660"/>
      <c r="L163" s="259"/>
      <c r="M163" s="1152"/>
      <c r="N163" s="1161"/>
      <c r="O163" s="660"/>
      <c r="P163" s="660"/>
      <c r="Q163" s="259"/>
    </row>
    <row r="164" spans="2:17" x14ac:dyDescent="0.25">
      <c r="B164" s="259"/>
      <c r="C164" s="1220"/>
      <c r="D164" s="259"/>
      <c r="E164" s="259"/>
      <c r="F164" s="259"/>
      <c r="G164" s="259"/>
      <c r="H164" s="259"/>
      <c r="I164" s="259"/>
      <c r="J164" s="259"/>
      <c r="K164" s="660"/>
      <c r="L164" s="259"/>
      <c r="M164" s="1152"/>
      <c r="N164" s="1161"/>
      <c r="O164" s="660"/>
      <c r="P164" s="660"/>
      <c r="Q164" s="259"/>
    </row>
    <row r="165" spans="2:17" x14ac:dyDescent="0.25">
      <c r="B165" s="537"/>
      <c r="C165" s="1062"/>
      <c r="D165" s="537"/>
      <c r="E165" s="692"/>
      <c r="F165" s="692"/>
      <c r="G165" s="692"/>
      <c r="H165" s="537"/>
      <c r="I165" s="537"/>
      <c r="J165" s="537"/>
      <c r="K165" s="537"/>
      <c r="L165" s="537"/>
      <c r="M165" s="542"/>
      <c r="N165" s="467"/>
      <c r="O165" s="537"/>
      <c r="P165" s="537"/>
      <c r="Q165" s="537"/>
    </row>
    <row r="166" spans="2:17" x14ac:dyDescent="0.25">
      <c r="B166" s="537"/>
      <c r="C166" s="1062"/>
      <c r="D166" s="537"/>
      <c r="E166" s="692"/>
      <c r="F166" s="692"/>
      <c r="G166" s="692"/>
      <c r="H166" s="537"/>
      <c r="I166" s="537"/>
      <c r="J166" s="537"/>
      <c r="K166" s="537"/>
      <c r="L166" s="537"/>
      <c r="M166" s="542"/>
      <c r="N166" s="467"/>
      <c r="O166" s="537"/>
      <c r="P166" s="537"/>
      <c r="Q166" s="537"/>
    </row>
    <row r="167" spans="2:17" x14ac:dyDescent="0.25">
      <c r="B167" s="537"/>
      <c r="C167" s="1062"/>
      <c r="D167" s="537"/>
      <c r="E167" s="537"/>
      <c r="F167" s="537"/>
      <c r="G167" s="537"/>
      <c r="H167" s="537"/>
      <c r="I167" s="537"/>
      <c r="J167" s="537"/>
      <c r="K167" s="537"/>
      <c r="L167" s="537"/>
      <c r="M167" s="542"/>
      <c r="N167" s="467"/>
      <c r="O167" s="537"/>
      <c r="P167" s="537"/>
      <c r="Q167" s="537"/>
    </row>
    <row r="168" spans="2:17" x14ac:dyDescent="0.25">
      <c r="B168" s="542" t="s">
        <v>1449</v>
      </c>
      <c r="C168" s="1202"/>
      <c r="D168" s="542"/>
      <c r="E168" s="691"/>
      <c r="F168" s="691"/>
      <c r="G168" s="691"/>
      <c r="H168" s="866"/>
      <c r="I168" s="674" t="s">
        <v>1377</v>
      </c>
      <c r="K168" s="674"/>
      <c r="L168" s="674"/>
      <c r="M168" s="1153"/>
      <c r="N168" s="1097"/>
      <c r="P168" s="674"/>
      <c r="Q168" s="544"/>
    </row>
    <row r="169" spans="2:17" ht="25.5" customHeight="1" x14ac:dyDescent="0.25">
      <c r="B169" s="546" t="s">
        <v>935</v>
      </c>
      <c r="C169" s="1203"/>
      <c r="D169" s="546"/>
      <c r="E169" s="538"/>
      <c r="F169" s="538"/>
      <c r="G169" s="538"/>
      <c r="H169" s="467"/>
      <c r="I169" s="537"/>
      <c r="J169" s="1708" t="s">
        <v>1375</v>
      </c>
      <c r="K169" s="1708"/>
      <c r="L169" s="1708"/>
      <c r="M169" s="1708"/>
      <c r="N169" s="1708"/>
      <c r="O169" s="1708"/>
      <c r="P169" s="1708"/>
      <c r="Q169" s="539"/>
    </row>
    <row r="170" spans="2:17" x14ac:dyDescent="0.25">
      <c r="B170" s="542" t="s">
        <v>1231</v>
      </c>
      <c r="C170" s="1202"/>
      <c r="D170" s="542"/>
      <c r="E170" s="537"/>
      <c r="G170" s="1062"/>
      <c r="H170" s="1062"/>
      <c r="I170" s="1062"/>
      <c r="J170" s="1692" t="s">
        <v>1554</v>
      </c>
      <c r="K170" s="1692"/>
      <c r="L170" s="1692"/>
      <c r="M170" s="1692"/>
      <c r="N170" s="1692"/>
      <c r="O170" s="1692"/>
      <c r="P170" s="1692"/>
      <c r="Q170" s="537"/>
    </row>
    <row r="171" spans="2:17" x14ac:dyDescent="0.25">
      <c r="B171" s="546"/>
      <c r="C171" s="1203"/>
      <c r="D171" s="546"/>
      <c r="E171" s="547"/>
      <c r="F171" s="547"/>
      <c r="G171" s="547"/>
      <c r="H171" s="546"/>
      <c r="I171" s="541"/>
      <c r="J171" s="540"/>
      <c r="K171" s="537"/>
      <c r="L171" s="673" t="s">
        <v>1374</v>
      </c>
      <c r="M171" s="758"/>
      <c r="N171" s="513"/>
      <c r="O171" s="673"/>
      <c r="P171" s="673"/>
      <c r="Q171" s="673"/>
    </row>
    <row r="172" spans="2:17" ht="15.75" x14ac:dyDescent="0.25">
      <c r="B172" s="267"/>
      <c r="C172" s="1228"/>
      <c r="D172" s="267"/>
      <c r="E172" s="268"/>
      <c r="F172" s="268"/>
      <c r="G172" s="268"/>
      <c r="H172" s="268"/>
      <c r="I172" s="269"/>
      <c r="J172" s="268"/>
      <c r="K172" s="268"/>
      <c r="L172" s="268"/>
      <c r="M172" s="267"/>
      <c r="N172" s="205"/>
      <c r="O172" s="271"/>
      <c r="P172" s="271"/>
      <c r="Q172" s="259"/>
    </row>
    <row r="173" spans="2:17" s="259" customFormat="1" ht="138" customHeight="1" x14ac:dyDescent="0.25">
      <c r="C173" s="1220"/>
      <c r="E173" s="668"/>
      <c r="F173" s="668"/>
      <c r="G173" s="668"/>
      <c r="M173" s="531"/>
      <c r="N173"/>
    </row>
    <row r="174" spans="2:17" x14ac:dyDescent="0.25">
      <c r="L174" s="259"/>
      <c r="M174" s="531"/>
    </row>
  </sheetData>
  <mergeCells count="21">
    <mergeCell ref="N11:N12"/>
    <mergeCell ref="O11:O12"/>
    <mergeCell ref="P11:P12"/>
    <mergeCell ref="J169:P169"/>
    <mergeCell ref="J170:P170"/>
    <mergeCell ref="M11:M12"/>
    <mergeCell ref="G11:G12"/>
    <mergeCell ref="I11:I12"/>
    <mergeCell ref="J11:J12"/>
    <mergeCell ref="K11:K12"/>
    <mergeCell ref="L11:L12"/>
    <mergeCell ref="B6:P6"/>
    <mergeCell ref="B7:P7"/>
    <mergeCell ref="B8:P8"/>
    <mergeCell ref="B9:P9"/>
    <mergeCell ref="B5:P5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6" min="1" max="15" man="1"/>
    <brk id="100" min="1" max="15" man="1"/>
    <brk id="136" min="1" max="15" man="1"/>
  </rowBreaks>
  <drawing r:id="rId2"/>
</worksheet>
</file>

<file path=xl/worksheets/sheet3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58B3-3F8C-4FDD-8F20-A6C8965953B7}">
  <sheetPr>
    <pageSetUpPr fitToPage="1"/>
  </sheetPr>
  <dimension ref="A1:M67"/>
  <sheetViews>
    <sheetView view="pageBreakPreview" topLeftCell="A12" zoomScale="60" zoomScaleNormal="100" workbookViewId="0">
      <selection activeCell="F23" sqref="F23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7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1:13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1:13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1:13" x14ac:dyDescent="0.25">
      <c r="A10" s="1551" t="s">
        <v>1628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</row>
    <row r="11" spans="1:13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713" t="s">
        <v>7</v>
      </c>
      <c r="B13" s="1713" t="s">
        <v>937</v>
      </c>
      <c r="C13" s="1713" t="s">
        <v>10</v>
      </c>
      <c r="D13" s="1713" t="s">
        <v>11</v>
      </c>
      <c r="E13" s="1047" t="s">
        <v>12</v>
      </c>
      <c r="F13" s="1713" t="s">
        <v>13</v>
      </c>
      <c r="G13" s="1713" t="s">
        <v>14</v>
      </c>
      <c r="H13" s="1713" t="s">
        <v>15</v>
      </c>
      <c r="I13" s="1713" t="s">
        <v>16</v>
      </c>
      <c r="J13" s="1713" t="s">
        <v>17</v>
      </c>
      <c r="K13" s="1713" t="s">
        <v>18</v>
      </c>
      <c r="L13" s="1713" t="s">
        <v>19</v>
      </c>
      <c r="M13" s="1713" t="s">
        <v>20</v>
      </c>
    </row>
    <row r="14" spans="1:13" x14ac:dyDescent="0.25">
      <c r="A14" s="1713"/>
      <c r="B14" s="1713"/>
      <c r="C14" s="1713"/>
      <c r="D14" s="1713"/>
      <c r="E14" s="1047" t="s">
        <v>21</v>
      </c>
      <c r="F14" s="1713"/>
      <c r="G14" s="1713"/>
      <c r="H14" s="1713"/>
      <c r="I14" s="1713"/>
      <c r="J14" s="1713"/>
      <c r="K14" s="1713"/>
      <c r="L14" s="1713"/>
      <c r="M14" s="1713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4.75" customHeight="1" x14ac:dyDescent="0.25">
      <c r="A32" s="724"/>
      <c r="B32" s="602"/>
      <c r="C32" s="725">
        <v>16</v>
      </c>
      <c r="D32" s="283"/>
      <c r="E32" s="273">
        <f>SUM(E16:E31)</f>
        <v>242000</v>
      </c>
      <c r="F32" s="285">
        <v>0</v>
      </c>
      <c r="G32" s="273">
        <f>SUM(G16:G31)</f>
        <v>242000</v>
      </c>
      <c r="H32" s="273">
        <f t="shared" ref="H32:L32" si="1">SUM(H16:H31)</f>
        <v>0</v>
      </c>
      <c r="I32" s="273">
        <f t="shared" si="1"/>
        <v>4195.88</v>
      </c>
      <c r="J32" s="273">
        <f t="shared" si="1"/>
        <v>0</v>
      </c>
      <c r="K32" s="273">
        <f t="shared" si="1"/>
        <v>0</v>
      </c>
      <c r="L32" s="273">
        <f t="shared" si="1"/>
        <v>4195.88</v>
      </c>
      <c r="M32" s="273">
        <f>SUM(M16:M31)</f>
        <v>237804.12</v>
      </c>
    </row>
    <row r="33" spans="1:13" ht="37.5" customHeight="1" x14ac:dyDescent="0.25">
      <c r="A33" s="1180" t="s">
        <v>865</v>
      </c>
      <c r="B33" s="1180"/>
      <c r="C33" s="1181">
        <v>16</v>
      </c>
      <c r="D33" s="1181"/>
      <c r="E33" s="1182">
        <f t="shared" ref="E33:M33" si="2">+E32</f>
        <v>242000</v>
      </c>
      <c r="F33" s="1182">
        <f t="shared" si="2"/>
        <v>0</v>
      </c>
      <c r="G33" s="1182">
        <f t="shared" si="2"/>
        <v>242000</v>
      </c>
      <c r="H33" s="1182">
        <f t="shared" si="2"/>
        <v>0</v>
      </c>
      <c r="I33" s="1182">
        <f t="shared" si="2"/>
        <v>4195.88</v>
      </c>
      <c r="J33" s="1182">
        <f t="shared" si="2"/>
        <v>0</v>
      </c>
      <c r="K33" s="1182">
        <f t="shared" si="2"/>
        <v>0</v>
      </c>
      <c r="L33" s="1182">
        <f t="shared" si="2"/>
        <v>4195.88</v>
      </c>
      <c r="M33" s="1182">
        <f t="shared" si="2"/>
        <v>237804.12</v>
      </c>
    </row>
    <row r="34" spans="1:13" s="259" customFormat="1" ht="19.5" customHeight="1" x14ac:dyDescent="0.25">
      <c r="A34" s="752"/>
      <c r="B34" s="752"/>
      <c r="C34" s="753"/>
      <c r="D34" s="753"/>
      <c r="E34" s="754"/>
      <c r="F34" s="755"/>
      <c r="G34" s="754"/>
      <c r="H34" s="755"/>
      <c r="I34" s="754"/>
      <c r="J34" s="755"/>
      <c r="K34" s="755"/>
      <c r="L34" s="754"/>
      <c r="M34" s="756"/>
    </row>
    <row r="35" spans="1:13" s="259" customFormat="1" ht="19.5" customHeight="1" x14ac:dyDescent="0.25">
      <c r="A35" s="752"/>
      <c r="B35" s="752"/>
      <c r="C35" s="753"/>
      <c r="D35" s="753"/>
      <c r="E35" s="754"/>
      <c r="F35" s="755"/>
      <c r="G35" s="754"/>
      <c r="H35" s="755"/>
      <c r="I35" s="754"/>
      <c r="J35" s="755"/>
      <c r="K35" s="755"/>
      <c r="L35" s="754"/>
      <c r="M35" s="756"/>
    </row>
    <row r="36" spans="1:13" s="259" customFormat="1" ht="19.5" customHeight="1" x14ac:dyDescent="0.25">
      <c r="A36" s="752"/>
      <c r="B36" s="752"/>
      <c r="C36" s="753"/>
      <c r="D36" s="753"/>
      <c r="E36" s="754"/>
      <c r="F36" s="755"/>
      <c r="G36" s="754"/>
      <c r="H36" s="755"/>
      <c r="I36" s="754"/>
      <c r="J36" s="755"/>
      <c r="K36" s="755"/>
      <c r="L36" s="754"/>
      <c r="M36" s="756"/>
    </row>
    <row r="37" spans="1:13" s="259" customFormat="1" ht="0.75" customHeight="1" x14ac:dyDescent="0.25">
      <c r="A37" s="752"/>
      <c r="B37" s="752"/>
      <c r="C37" s="753"/>
      <c r="D37" s="753"/>
      <c r="E37" s="754"/>
      <c r="F37" s="755"/>
      <c r="G37" s="754"/>
      <c r="H37" s="755"/>
      <c r="I37" s="754"/>
      <c r="J37" s="755"/>
      <c r="K37" s="755"/>
      <c r="L37" s="754"/>
      <c r="M37" s="756"/>
    </row>
    <row r="38" spans="1:13" s="259" customFormat="1" ht="19.5" hidden="1" customHeight="1" x14ac:dyDescent="0.25">
      <c r="A38" s="752"/>
      <c r="B38" s="752"/>
      <c r="C38" s="753"/>
      <c r="D38" s="753"/>
      <c r="E38" s="754"/>
      <c r="F38" s="755"/>
      <c r="G38" s="754"/>
      <c r="H38" s="755"/>
      <c r="I38" s="754"/>
      <c r="J38" s="755"/>
      <c r="K38" s="755"/>
      <c r="L38" s="754"/>
      <c r="M38" s="756"/>
    </row>
    <row r="39" spans="1:13" s="259" customFormat="1" ht="14.25" customHeight="1" x14ac:dyDescent="0.25">
      <c r="A39" s="752"/>
      <c r="B39" s="752"/>
      <c r="C39" s="753"/>
      <c r="D39" s="753"/>
      <c r="E39" s="754"/>
      <c r="F39" s="755"/>
      <c r="G39" s="754"/>
      <c r="H39" s="755"/>
      <c r="I39" s="754"/>
      <c r="J39" s="755"/>
      <c r="K39" s="755"/>
      <c r="L39" s="754"/>
      <c r="M39" s="756"/>
    </row>
    <row r="40" spans="1:13" s="259" customFormat="1" ht="19.5" hidden="1" customHeight="1" x14ac:dyDescent="0.25">
      <c r="A40" s="752"/>
      <c r="B40" s="752"/>
      <c r="C40" s="753"/>
      <c r="D40" s="753"/>
      <c r="E40" s="754"/>
      <c r="F40" s="755"/>
      <c r="G40" s="754"/>
      <c r="H40" s="755"/>
      <c r="I40" s="754"/>
      <c r="J40" s="755"/>
      <c r="K40" s="755"/>
      <c r="L40" s="754"/>
      <c r="M40" s="756"/>
    </row>
    <row r="41" spans="1:13" s="259" customFormat="1" ht="17.25" hidden="1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hidden="1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6.7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5.7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542"/>
      <c r="B50" s="542"/>
      <c r="C50" s="753"/>
      <c r="D50" s="753"/>
      <c r="E50" s="754"/>
      <c r="F50" s="755"/>
      <c r="G50" s="674"/>
      <c r="H50" s="674"/>
      <c r="I50" s="674"/>
      <c r="J50" s="674"/>
      <c r="K50" s="674"/>
      <c r="L50" s="674"/>
      <c r="M50" s="756"/>
    </row>
    <row r="51" spans="1:13" s="259" customFormat="1" ht="19.5" customHeight="1" x14ac:dyDescent="0.25">
      <c r="A51" s="1690" t="s">
        <v>1269</v>
      </c>
      <c r="B51" s="1690"/>
      <c r="C51" s="753"/>
      <c r="D51" s="753"/>
      <c r="E51" s="754"/>
      <c r="F51" s="755"/>
      <c r="H51" s="1691" t="s">
        <v>852</v>
      </c>
      <c r="I51" s="1691"/>
      <c r="J51" s="1691"/>
      <c r="K51" s="1691"/>
      <c r="L51" s="1691"/>
      <c r="M51" s="1691"/>
    </row>
    <row r="52" spans="1:13" s="259" customFormat="1" ht="19.5" customHeight="1" x14ac:dyDescent="0.25">
      <c r="A52" s="1628" t="s">
        <v>1270</v>
      </c>
      <c r="B52" s="1628"/>
      <c r="C52" s="753"/>
      <c r="D52" s="753"/>
      <c r="E52" s="754"/>
      <c r="F52" s="755"/>
      <c r="H52" s="1692" t="s">
        <v>1505</v>
      </c>
      <c r="I52" s="1692"/>
      <c r="J52" s="1692"/>
      <c r="K52" s="1692"/>
      <c r="L52" s="1692"/>
      <c r="M52" s="1692"/>
    </row>
    <row r="53" spans="1:13" ht="16.5" customHeight="1" x14ac:dyDescent="0.25">
      <c r="A53" s="546"/>
      <c r="B53" s="546"/>
      <c r="C53" s="259"/>
      <c r="D53" s="259"/>
      <c r="E53" s="259"/>
      <c r="F53" s="259"/>
      <c r="G53" s="259"/>
      <c r="H53" s="259"/>
      <c r="I53" s="259"/>
      <c r="J53" s="259"/>
      <c r="K53" s="259"/>
      <c r="L53" s="259"/>
      <c r="M53" s="667"/>
    </row>
    <row r="54" spans="1:13" ht="16.5" customHeight="1" x14ac:dyDescent="0.25">
      <c r="A54" s="546"/>
      <c r="B54" s="546"/>
      <c r="C54" s="259"/>
      <c r="D54" s="259"/>
      <c r="E54" s="259"/>
      <c r="F54" s="259"/>
      <c r="G54" s="259"/>
      <c r="H54" s="259"/>
      <c r="I54" s="259"/>
      <c r="J54" s="259"/>
      <c r="K54" s="259"/>
      <c r="L54" s="259"/>
      <c r="M54" s="667"/>
    </row>
    <row r="55" spans="1:13" ht="16.5" customHeight="1" x14ac:dyDescent="0.25">
      <c r="A55" s="546"/>
      <c r="B55" s="546"/>
      <c r="C55" s="259"/>
      <c r="D55" s="259"/>
      <c r="E55" s="259"/>
      <c r="F55" s="259"/>
      <c r="G55" s="259"/>
      <c r="H55" s="259"/>
      <c r="I55" s="259"/>
      <c r="J55" s="259"/>
      <c r="K55" s="259"/>
      <c r="L55" s="259"/>
      <c r="M55" s="667"/>
    </row>
    <row r="56" spans="1:13" ht="16.5" customHeight="1" x14ac:dyDescent="0.25">
      <c r="A56" s="546"/>
      <c r="B56" s="546"/>
      <c r="C56" s="259"/>
      <c r="D56" s="259"/>
      <c r="E56" s="259"/>
      <c r="F56" s="259"/>
      <c r="G56" s="259"/>
      <c r="H56" s="259"/>
      <c r="I56" s="259"/>
      <c r="J56" s="259"/>
      <c r="K56" s="259"/>
      <c r="L56" s="259"/>
      <c r="M56" s="667"/>
    </row>
    <row r="57" spans="1:13" ht="158.25" customHeight="1" x14ac:dyDescent="0.25">
      <c r="A57" s="546"/>
      <c r="B57" s="546"/>
      <c r="C57" s="259"/>
      <c r="D57" s="259"/>
      <c r="E57" s="259"/>
      <c r="F57" s="259"/>
      <c r="G57" s="259"/>
      <c r="H57" s="259"/>
      <c r="I57" s="259"/>
      <c r="J57" s="259"/>
      <c r="K57" s="259"/>
      <c r="L57" s="259"/>
      <c r="M57" s="667"/>
    </row>
    <row r="58" spans="1:13" ht="16.5" customHeight="1" x14ac:dyDescent="0.25">
      <c r="A58" s="546"/>
      <c r="B58" s="546"/>
      <c r="C58" s="259"/>
      <c r="D58" s="259"/>
      <c r="E58" s="259"/>
      <c r="F58" s="259"/>
      <c r="G58" s="259"/>
      <c r="H58" s="259"/>
      <c r="I58" s="259"/>
      <c r="J58" s="259"/>
      <c r="K58" s="259"/>
      <c r="L58" s="259"/>
      <c r="M58" s="667"/>
    </row>
    <row r="59" spans="1:13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</row>
    <row r="60" spans="1:13" ht="19.5" customHeight="1" x14ac:dyDescent="0.25">
      <c r="A60" s="537"/>
      <c r="B60" s="542"/>
      <c r="C60" s="537"/>
      <c r="D60" s="537"/>
      <c r="E60" s="537"/>
      <c r="F60" s="537"/>
      <c r="G60" s="537"/>
      <c r="H60" s="537"/>
      <c r="I60" s="537"/>
      <c r="J60" s="537"/>
      <c r="K60" s="537"/>
      <c r="L60" s="537"/>
      <c r="M60" s="537"/>
    </row>
    <row r="61" spans="1:13" x14ac:dyDescent="0.25">
      <c r="C61" s="543"/>
      <c r="D61" s="543"/>
      <c r="E61" s="544"/>
      <c r="F61" s="545"/>
      <c r="M61" s="544"/>
    </row>
    <row r="62" spans="1:13" x14ac:dyDescent="0.25">
      <c r="C62" s="538"/>
      <c r="D62" s="537"/>
      <c r="E62" s="537"/>
      <c r="F62" s="537"/>
      <c r="M62" s="539"/>
    </row>
    <row r="63" spans="1:13" x14ac:dyDescent="0.25">
      <c r="C63" s="537"/>
      <c r="D63" s="537"/>
      <c r="E63" s="537"/>
      <c r="F63" s="540"/>
      <c r="M63" s="537"/>
    </row>
    <row r="64" spans="1:13" x14ac:dyDescent="0.25">
      <c r="C64" s="547"/>
      <c r="D64" s="546"/>
      <c r="E64" s="541"/>
      <c r="F64" s="540"/>
      <c r="G64" s="537"/>
      <c r="H64" s="1629"/>
      <c r="I64" s="1629"/>
      <c r="J64" s="1629"/>
      <c r="K64" s="1629"/>
      <c r="L64" s="1629"/>
      <c r="M64" s="1629"/>
    </row>
    <row r="65" spans="1:13" ht="15.75" x14ac:dyDescent="0.25">
      <c r="A65" s="267"/>
      <c r="B65" s="267"/>
      <c r="C65" s="268"/>
      <c r="D65" s="268"/>
      <c r="E65" s="269"/>
      <c r="F65" s="1549"/>
      <c r="G65" s="1549"/>
      <c r="H65" s="1549"/>
      <c r="I65" s="1549"/>
      <c r="J65" s="1549"/>
      <c r="K65" s="271"/>
      <c r="L65" s="271"/>
      <c r="M65" s="259"/>
    </row>
    <row r="66" spans="1:13" x14ac:dyDescent="0.25"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</row>
    <row r="67" spans="1:13" x14ac:dyDescent="0.25">
      <c r="A67" s="259"/>
      <c r="B67" s="531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259"/>
    </row>
  </sheetData>
  <mergeCells count="23">
    <mergeCell ref="H64:M64"/>
    <mergeCell ref="F65:J65"/>
    <mergeCell ref="L13:L14"/>
    <mergeCell ref="M13:M14"/>
    <mergeCell ref="A51:B51"/>
    <mergeCell ref="H51:M51"/>
    <mergeCell ref="A52:B52"/>
    <mergeCell ref="H52:M52"/>
    <mergeCell ref="F13:F14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A7:M7"/>
    <mergeCell ref="A8:M8"/>
    <mergeCell ref="A9:M9"/>
    <mergeCell ref="A10:M10"/>
    <mergeCell ref="A11:M11"/>
  </mergeCells>
  <pageMargins left="1.65" right="0.39370078740157483" top="0.21" bottom="0.15748031496062992" header="7.874015748031496E-2" footer="0.31496062992125984"/>
  <pageSetup paperSize="5" scale="56" orientation="landscape" r:id="rId1"/>
  <drawing r:id="rId2"/>
</worksheet>
</file>

<file path=xl/worksheets/sheet3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078C22-3379-44CB-BDAF-879C50DC74E9}">
  <sheetPr>
    <pageSetUpPr fitToPage="1"/>
  </sheetPr>
  <dimension ref="B5:N92"/>
  <sheetViews>
    <sheetView showGridLines="0" view="pageBreakPreview" topLeftCell="B1" zoomScaleNormal="136" zoomScaleSheetLayoutView="100" workbookViewId="0">
      <selection activeCell="B69" sqref="A69:XFD69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93" t="s">
        <v>0</v>
      </c>
      <c r="C5" s="1693"/>
      <c r="D5" s="1693"/>
      <c r="E5" s="1693"/>
      <c r="F5" s="1693"/>
      <c r="G5" s="1693"/>
      <c r="H5" s="1693"/>
      <c r="I5" s="1693"/>
      <c r="J5" s="1693"/>
      <c r="K5" s="1693"/>
      <c r="L5" s="1693"/>
      <c r="M5" s="1693"/>
    </row>
    <row r="6" spans="2:14" ht="13.5" customHeight="1" x14ac:dyDescent="0.25">
      <c r="B6" s="1693" t="s">
        <v>1</v>
      </c>
      <c r="C6" s="1693"/>
      <c r="D6" s="1693"/>
      <c r="E6" s="1693"/>
      <c r="F6" s="1693"/>
      <c r="G6" s="1693"/>
      <c r="H6" s="1693"/>
      <c r="I6" s="1693"/>
      <c r="J6" s="1693"/>
      <c r="K6" s="1693"/>
      <c r="L6" s="1693"/>
      <c r="M6" s="1693"/>
    </row>
    <row r="7" spans="2:14" ht="12" customHeight="1" x14ac:dyDescent="0.25">
      <c r="B7" s="1693" t="s">
        <v>3</v>
      </c>
      <c r="C7" s="1693"/>
      <c r="D7" s="1693"/>
      <c r="E7" s="1693"/>
      <c r="F7" s="1693"/>
      <c r="G7" s="1693"/>
      <c r="H7" s="1693"/>
      <c r="I7" s="1693"/>
      <c r="J7" s="1693"/>
      <c r="K7" s="1693"/>
      <c r="L7" s="1693"/>
      <c r="M7" s="1693"/>
    </row>
    <row r="8" spans="2:14" x14ac:dyDescent="0.25">
      <c r="B8" s="1693" t="s">
        <v>1638</v>
      </c>
      <c r="C8" s="1693"/>
      <c r="D8" s="1693"/>
      <c r="E8" s="1693"/>
      <c r="F8" s="1693"/>
      <c r="G8" s="1693"/>
      <c r="H8" s="1693"/>
      <c r="I8" s="1693"/>
      <c r="J8" s="1693"/>
      <c r="K8" s="1693"/>
      <c r="L8" s="1693"/>
      <c r="M8" s="1693"/>
    </row>
    <row r="9" spans="2:14" x14ac:dyDescent="0.25">
      <c r="B9" s="1694" t="s">
        <v>886</v>
      </c>
      <c r="C9" s="1694"/>
      <c r="D9" s="1694"/>
      <c r="E9" s="1694"/>
      <c r="F9" s="1694"/>
      <c r="G9" s="1694"/>
      <c r="H9" s="1694"/>
      <c r="I9" s="1694"/>
      <c r="J9" s="1694"/>
      <c r="K9" s="1694"/>
      <c r="L9" s="1694"/>
      <c r="M9" s="1694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726" t="s">
        <v>7</v>
      </c>
      <c r="C11" s="1726" t="s">
        <v>802</v>
      </c>
      <c r="D11" s="1728" t="s">
        <v>9</v>
      </c>
      <c r="E11" s="1046" t="s">
        <v>12</v>
      </c>
      <c r="F11" s="1730" t="s">
        <v>13</v>
      </c>
      <c r="G11" s="1724" t="s">
        <v>14</v>
      </c>
      <c r="H11" s="1724" t="s">
        <v>15</v>
      </c>
      <c r="I11" s="1724" t="s">
        <v>16</v>
      </c>
      <c r="J11" s="1724" t="s">
        <v>17</v>
      </c>
      <c r="K11" s="1724" t="s">
        <v>18</v>
      </c>
      <c r="L11" s="1724" t="s">
        <v>19</v>
      </c>
      <c r="M11" s="1724" t="s">
        <v>20</v>
      </c>
    </row>
    <row r="12" spans="2:14" ht="16.5" customHeight="1" x14ac:dyDescent="0.25">
      <c r="B12" s="1727"/>
      <c r="C12" s="1727"/>
      <c r="D12" s="1729"/>
      <c r="E12" s="1046" t="s">
        <v>21</v>
      </c>
      <c r="F12" s="1731"/>
      <c r="G12" s="1725"/>
      <c r="H12" s="1725"/>
      <c r="I12" s="1725"/>
      <c r="J12" s="1725"/>
      <c r="K12" s="1725"/>
      <c r="L12" s="1725"/>
      <c r="M12" s="1725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 t="shared" ref="G27:I27" si="1">+G26</f>
        <v>46500</v>
      </c>
      <c r="H27" s="905">
        <f t="shared" si="1"/>
        <v>1334.55</v>
      </c>
      <c r="I27" s="905">
        <f t="shared" si="1"/>
        <v>8816.5</v>
      </c>
      <c r="J27" s="905">
        <f>+J26</f>
        <v>1413.6</v>
      </c>
      <c r="K27" s="937">
        <v>0</v>
      </c>
      <c r="L27" s="905">
        <f t="shared" ref="L27" si="2"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 t="s">
        <v>1127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531</v>
      </c>
      <c r="C30" s="903" t="s">
        <v>807</v>
      </c>
      <c r="D30" s="938" t="s">
        <v>1498</v>
      </c>
      <c r="E30" s="904">
        <v>26500</v>
      </c>
      <c r="F30" s="932">
        <v>0</v>
      </c>
      <c r="G30" s="904">
        <v>26500</v>
      </c>
      <c r="H30" s="904">
        <v>760.55</v>
      </c>
      <c r="I30" s="933">
        <v>4431.8599999999997</v>
      </c>
      <c r="J30" s="933">
        <v>805.6</v>
      </c>
      <c r="K30" s="932">
        <v>0</v>
      </c>
      <c r="L30" s="1086">
        <f>+H30+I30+J30+K30</f>
        <v>5998.01</v>
      </c>
      <c r="M30" s="904">
        <v>20501.990000000002</v>
      </c>
    </row>
    <row r="31" spans="2:14" s="5" customFormat="1" ht="12" customHeight="1" x14ac:dyDescent="0.25">
      <c r="B31" s="889" t="s">
        <v>847</v>
      </c>
      <c r="C31" s="889"/>
      <c r="D31" s="889">
        <v>1</v>
      </c>
      <c r="E31" s="905">
        <f t="shared" ref="E31:L31" si="3">+E30</f>
        <v>26500</v>
      </c>
      <c r="F31" s="937">
        <v>0</v>
      </c>
      <c r="G31" s="905">
        <f t="shared" si="3"/>
        <v>26500</v>
      </c>
      <c r="H31" s="905">
        <f t="shared" si="3"/>
        <v>760.55</v>
      </c>
      <c r="I31" s="905">
        <f t="shared" si="3"/>
        <v>4431.8599999999997</v>
      </c>
      <c r="J31" s="905">
        <f t="shared" si="3"/>
        <v>805.6</v>
      </c>
      <c r="K31" s="937">
        <v>0</v>
      </c>
      <c r="L31" s="905">
        <f t="shared" si="3"/>
        <v>5998.01</v>
      </c>
      <c r="M31" s="905">
        <f>+G31-L31</f>
        <v>20501.989999999998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1126</v>
      </c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s="5" customFormat="1" ht="12" customHeight="1" x14ac:dyDescent="0.25">
      <c r="B34" s="890" t="s">
        <v>728</v>
      </c>
      <c r="C34" s="903" t="s">
        <v>807</v>
      </c>
      <c r="D34" s="890" t="s">
        <v>607</v>
      </c>
      <c r="E34" s="933">
        <v>22500</v>
      </c>
      <c r="F34" s="932">
        <v>0</v>
      </c>
      <c r="G34" s="933">
        <v>22500</v>
      </c>
      <c r="H34" s="933">
        <v>645.75</v>
      </c>
      <c r="I34" s="933">
        <v>3143.58</v>
      </c>
      <c r="J34" s="933">
        <v>684</v>
      </c>
      <c r="K34" s="932">
        <v>0</v>
      </c>
      <c r="L34" s="1086">
        <v>4473.33</v>
      </c>
      <c r="M34" s="904">
        <v>18026.669999999998</v>
      </c>
    </row>
    <row r="35" spans="2:13" s="5" customFormat="1" ht="12" customHeight="1" x14ac:dyDescent="0.25">
      <c r="B35" s="889" t="s">
        <v>749</v>
      </c>
      <c r="C35" s="889"/>
      <c r="D35" s="889">
        <v>1</v>
      </c>
      <c r="E35" s="936">
        <v>22500</v>
      </c>
      <c r="F35" s="937">
        <v>0</v>
      </c>
      <c r="G35" s="936">
        <v>22500</v>
      </c>
      <c r="H35" s="936">
        <v>645.75</v>
      </c>
      <c r="I35" s="936">
        <v>3143.58</v>
      </c>
      <c r="J35" s="936">
        <v>684</v>
      </c>
      <c r="K35" s="937">
        <v>0</v>
      </c>
      <c r="L35" s="1164">
        <v>4473.33</v>
      </c>
      <c r="M35" s="905">
        <v>18026.669999999998</v>
      </c>
    </row>
    <row r="36" spans="2:13" s="5" customFormat="1" ht="12" customHeight="1" x14ac:dyDescent="0.25">
      <c r="B36" s="889"/>
      <c r="C36" s="889"/>
      <c r="D36" s="889"/>
      <c r="E36" s="905"/>
      <c r="F36" s="937"/>
      <c r="G36" s="936"/>
      <c r="H36" s="936"/>
      <c r="I36" s="936"/>
      <c r="J36" s="936"/>
      <c r="K36" s="937"/>
      <c r="L36" s="1164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4">+E38</f>
        <v>6500</v>
      </c>
      <c r="F39" s="937">
        <v>0</v>
      </c>
      <c r="G39" s="905">
        <f t="shared" si="4"/>
        <v>6500</v>
      </c>
      <c r="H39" s="905">
        <f t="shared" si="4"/>
        <v>186.55</v>
      </c>
      <c r="I39" s="905">
        <f t="shared" si="4"/>
        <v>917.38</v>
      </c>
      <c r="J39" s="905">
        <f t="shared" si="4"/>
        <v>197.6</v>
      </c>
      <c r="K39" s="937">
        <v>0</v>
      </c>
      <c r="L39" s="905">
        <f t="shared" si="4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5">+E42</f>
        <v>5000</v>
      </c>
      <c r="F43" s="937">
        <v>0</v>
      </c>
      <c r="G43" s="905">
        <f t="shared" si="5"/>
        <v>5000</v>
      </c>
      <c r="H43" s="905">
        <f t="shared" si="5"/>
        <v>143.5</v>
      </c>
      <c r="I43" s="905">
        <f t="shared" si="5"/>
        <v>705.68</v>
      </c>
      <c r="J43" s="905">
        <f t="shared" si="5"/>
        <v>152</v>
      </c>
      <c r="K43" s="937">
        <v>0</v>
      </c>
      <c r="L43" s="905">
        <f t="shared" si="5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6">+E46</f>
        <v>11500</v>
      </c>
      <c r="F47" s="937">
        <v>0</v>
      </c>
      <c r="G47" s="905">
        <f t="shared" ref="G47:J47" si="7">+G46</f>
        <v>11500</v>
      </c>
      <c r="H47" s="905">
        <f t="shared" si="7"/>
        <v>330.05</v>
      </c>
      <c r="I47" s="905">
        <f t="shared" si="7"/>
        <v>1623.06</v>
      </c>
      <c r="J47" s="905">
        <f t="shared" si="7"/>
        <v>349.6</v>
      </c>
      <c r="K47" s="937">
        <v>0</v>
      </c>
      <c r="L47" s="905">
        <f t="shared" ref="L47" si="8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22.5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9">SUM(G50:G51)</f>
        <v>51500</v>
      </c>
      <c r="H52" s="905">
        <f t="shared" si="9"/>
        <v>1478.05</v>
      </c>
      <c r="I52" s="905">
        <f t="shared" si="9"/>
        <v>11032.06</v>
      </c>
      <c r="J52" s="905">
        <f t="shared" si="9"/>
        <v>1565.6</v>
      </c>
      <c r="K52" s="937">
        <v>0</v>
      </c>
      <c r="L52" s="905">
        <f t="shared" si="9"/>
        <v>14075.71</v>
      </c>
      <c r="M52" s="905">
        <f t="shared" si="9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10">+G55</f>
        <v>11500</v>
      </c>
      <c r="H56" s="905">
        <f t="shared" si="10"/>
        <v>330.05</v>
      </c>
      <c r="I56" s="905">
        <f t="shared" si="10"/>
        <v>1623.06</v>
      </c>
      <c r="J56" s="905">
        <f t="shared" si="10"/>
        <v>349.6</v>
      </c>
      <c r="K56" s="937">
        <v>0</v>
      </c>
      <c r="L56" s="905">
        <f t="shared" ref="L56" si="11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2">+E59</f>
        <v>40000</v>
      </c>
      <c r="F60" s="937">
        <v>0</v>
      </c>
      <c r="G60" s="905">
        <f t="shared" si="12"/>
        <v>40000</v>
      </c>
      <c r="H60" s="905">
        <f t="shared" si="12"/>
        <v>1148</v>
      </c>
      <c r="I60" s="905">
        <f t="shared" si="12"/>
        <v>9409</v>
      </c>
      <c r="J60" s="905">
        <f t="shared" si="12"/>
        <v>1216</v>
      </c>
      <c r="K60" s="937">
        <v>0</v>
      </c>
      <c r="L60" s="905">
        <f t="shared" si="12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29" t="s">
        <v>865</v>
      </c>
      <c r="C62" s="1139"/>
      <c r="D62" s="1129">
        <v>13</v>
      </c>
      <c r="E62" s="1140">
        <f>+E60+E56+E52+E47+E43+E39+E35+E31+E23+E27+E19+E15</f>
        <v>296000</v>
      </c>
      <c r="F62" s="1045">
        <v>0</v>
      </c>
      <c r="G62" s="1140">
        <f t="shared" ref="G62:M62" si="13">+G60+G56+G52+G47+G43+G39+G35+G31+G23+G27+G19+G15</f>
        <v>296000</v>
      </c>
      <c r="H62" s="1140">
        <f t="shared" si="13"/>
        <v>8495.2000000000007</v>
      </c>
      <c r="I62" s="1140">
        <f t="shared" si="13"/>
        <v>54691.799999999996</v>
      </c>
      <c r="J62" s="1140">
        <f t="shared" si="13"/>
        <v>8998.4000000000015</v>
      </c>
      <c r="K62" s="1045">
        <v>0</v>
      </c>
      <c r="L62" s="1140">
        <f t="shared" si="13"/>
        <v>72185.400000000009</v>
      </c>
      <c r="M62" s="1140">
        <f t="shared" si="13"/>
        <v>223814.60000000003</v>
      </c>
    </row>
    <row r="70" spans="2:12" ht="15" hidden="1" customHeight="1" x14ac:dyDescent="0.25"/>
    <row r="71" spans="2:12" ht="15" hidden="1" customHeight="1" x14ac:dyDescent="0.25"/>
    <row r="73" spans="2:12" ht="14.25" customHeight="1" x14ac:dyDescent="0.25"/>
    <row r="74" spans="2:12" ht="15" hidden="1" customHeight="1" x14ac:dyDescent="0.25"/>
    <row r="78" spans="2:12" ht="0.75" customHeight="1" x14ac:dyDescent="0.25"/>
    <row r="80" spans="2:12" ht="38.25" customHeight="1" x14ac:dyDescent="0.25">
      <c r="B80" s="916"/>
      <c r="C80" s="916"/>
      <c r="D80" s="917"/>
      <c r="E80" s="918"/>
      <c r="F80" s="919"/>
      <c r="G80" s="1696" t="s">
        <v>1372</v>
      </c>
      <c r="H80" s="1696"/>
      <c r="I80" s="1696"/>
      <c r="J80" s="1696"/>
      <c r="K80" s="1696"/>
      <c r="L80" s="1696"/>
    </row>
    <row r="81" spans="2:13" x14ac:dyDescent="0.25">
      <c r="B81" s="1083" t="s">
        <v>1238</v>
      </c>
      <c r="C81" s="1083"/>
      <c r="D81" s="921"/>
      <c r="E81" s="915"/>
      <c r="F81" s="915"/>
      <c r="G81" s="1702" t="s">
        <v>1222</v>
      </c>
      <c r="H81" s="1702"/>
      <c r="I81" s="1702"/>
      <c r="J81" s="1702"/>
      <c r="K81" s="1702"/>
      <c r="L81" s="1702"/>
    </row>
    <row r="82" spans="2:13" x14ac:dyDescent="0.25">
      <c r="B82" s="916" t="s">
        <v>1239</v>
      </c>
      <c r="C82" s="916"/>
      <c r="D82" s="915"/>
      <c r="E82" s="915"/>
      <c r="F82" s="923"/>
      <c r="G82" s="1701" t="s">
        <v>1224</v>
      </c>
      <c r="H82" s="1701"/>
      <c r="I82" s="1701"/>
      <c r="J82" s="1701"/>
      <c r="K82" s="1701"/>
      <c r="L82" s="1701"/>
    </row>
    <row r="86" spans="2:13" ht="30" customHeight="1" x14ac:dyDescent="0.25"/>
    <row r="90" spans="2:13" x14ac:dyDescent="0.25">
      <c r="E90" s="924"/>
      <c r="F90" s="923"/>
      <c r="G90" s="915"/>
      <c r="H90" s="1698"/>
      <c r="I90" s="1698"/>
      <c r="J90" s="1698"/>
      <c r="K90" s="1698"/>
      <c r="L90" s="1698"/>
      <c r="M90" s="1698"/>
    </row>
    <row r="91" spans="2:13" x14ac:dyDescent="0.25">
      <c r="E91" s="925"/>
      <c r="F91" s="1694"/>
      <c r="G91" s="1694"/>
      <c r="H91" s="1694"/>
      <c r="I91" s="1694"/>
      <c r="J91" s="1694"/>
      <c r="K91" s="926"/>
      <c r="L91" s="926"/>
      <c r="M91" s="886"/>
    </row>
    <row r="92" spans="2:13" ht="32.25" customHeight="1" x14ac:dyDescent="0.25">
      <c r="E92" s="927" t="s">
        <v>641</v>
      </c>
      <c r="F92" s="927"/>
      <c r="G92" s="927"/>
      <c r="H92" s="927"/>
      <c r="I92" s="927"/>
      <c r="J92" s="927"/>
      <c r="K92" s="927"/>
      <c r="L92" s="927"/>
      <c r="M92" s="927"/>
    </row>
  </sheetData>
  <mergeCells count="21">
    <mergeCell ref="G80:L80"/>
    <mergeCell ref="G81:L81"/>
    <mergeCell ref="G82:L82"/>
    <mergeCell ref="H90:M90"/>
    <mergeCell ref="F91:J91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47" orientation="landscape" r:id="rId1"/>
  <drawing r:id="rId2"/>
</worksheet>
</file>

<file path=xl/worksheets/sheet3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402CF0-16F6-46B7-A5B3-0625EFFD337F}">
  <sheetPr>
    <pageSetUpPr fitToPage="1"/>
  </sheetPr>
  <dimension ref="A6:M67"/>
  <sheetViews>
    <sheetView showGridLines="0" topLeftCell="B2" zoomScale="118" zoomScaleNormal="118" workbookViewId="0">
      <selection activeCell="B48" sqref="B48"/>
    </sheetView>
  </sheetViews>
  <sheetFormatPr baseColWidth="10" defaultRowHeight="15" x14ac:dyDescent="0.25"/>
  <cols>
    <col min="1" max="1" width="1.42578125" hidden="1" customWidth="1"/>
    <col min="2" max="2" width="64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51" t="s">
        <v>0</v>
      </c>
      <c r="C6" s="1551"/>
      <c r="D6" s="1551"/>
      <c r="E6" s="1551"/>
      <c r="F6" s="1551"/>
      <c r="G6" s="1551"/>
      <c r="H6" s="1551"/>
      <c r="I6" s="1551"/>
      <c r="J6" s="1551"/>
      <c r="K6" s="1551"/>
      <c r="L6" s="1551"/>
      <c r="M6" s="1551"/>
    </row>
    <row r="7" spans="2:13" x14ac:dyDescent="0.25">
      <c r="B7" s="1551" t="s">
        <v>1</v>
      </c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2:13" x14ac:dyDescent="0.25">
      <c r="B8" s="1551" t="s">
        <v>3</v>
      </c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2:13" x14ac:dyDescent="0.25">
      <c r="B9" s="1551" t="s">
        <v>1639</v>
      </c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2:13" x14ac:dyDescent="0.25">
      <c r="B10" s="1552" t="s">
        <v>1197</v>
      </c>
      <c r="C10" s="1552"/>
      <c r="D10" s="1552"/>
      <c r="E10" s="1552"/>
      <c r="F10" s="1552"/>
      <c r="G10" s="1552"/>
      <c r="H10" s="1552"/>
      <c r="I10" s="1552"/>
      <c r="J10" s="1552"/>
      <c r="K10" s="1552"/>
      <c r="L10" s="1552"/>
      <c r="M10" s="1552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712" t="s">
        <v>7</v>
      </c>
      <c r="C12" s="1709" t="s">
        <v>802</v>
      </c>
      <c r="D12" s="1709" t="s">
        <v>9</v>
      </c>
      <c r="E12" s="1067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2:13" ht="15" customHeight="1" x14ac:dyDescent="0.25">
      <c r="B13" s="1712"/>
      <c r="C13" s="1709"/>
      <c r="D13" s="1709"/>
      <c r="E13" s="1067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2:13" s="259" customFormat="1" ht="24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 t="shared" ref="H24:K24" si="2">SUM(H23)</f>
        <v>430.5</v>
      </c>
      <c r="I24" s="697">
        <f t="shared" si="2"/>
        <v>3528.37</v>
      </c>
      <c r="J24" s="697">
        <f t="shared" si="2"/>
        <v>456</v>
      </c>
      <c r="K24" s="697">
        <f t="shared" si="2"/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3">+G16+G20+G24+G28+G32+G36+G39</f>
        <v>196500</v>
      </c>
      <c r="H41" s="1065">
        <f t="shared" si="3"/>
        <v>5639.55</v>
      </c>
      <c r="I41" s="1065">
        <f t="shared" si="3"/>
        <v>43060.81</v>
      </c>
      <c r="J41" s="1065">
        <f t="shared" si="3"/>
        <v>5973.6</v>
      </c>
      <c r="K41" s="1114">
        <v>0</v>
      </c>
      <c r="L41" s="1065">
        <f t="shared" si="3"/>
        <v>54673.96</v>
      </c>
      <c r="M41" s="1065">
        <f>+M16+M20+M24+M28+M32+M36+M39</f>
        <v>141826.04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682" t="s">
        <v>1250</v>
      </c>
      <c r="H53" s="1682"/>
      <c r="I53" s="1682"/>
      <c r="J53" s="1682"/>
      <c r="K53" s="1682"/>
      <c r="L53" s="1682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627" t="s">
        <v>852</v>
      </c>
      <c r="H54" s="1627"/>
      <c r="I54" s="1627"/>
      <c r="J54" s="1627"/>
      <c r="K54" s="1627"/>
      <c r="L54" s="1627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628" t="s">
        <v>1506</v>
      </c>
      <c r="H55" s="1628"/>
      <c r="I55" s="1628"/>
      <c r="J55" s="1628"/>
      <c r="K55" s="1628"/>
      <c r="L55" s="1628"/>
      <c r="M55" s="537"/>
    </row>
    <row r="56" spans="2:13" x14ac:dyDescent="0.25">
      <c r="B56" s="546"/>
      <c r="C56" s="546"/>
      <c r="D56" s="547"/>
      <c r="E56" s="541"/>
      <c r="F56" s="540"/>
      <c r="G56" s="537"/>
      <c r="H56" s="1629"/>
      <c r="I56" s="1629"/>
      <c r="J56" s="1629"/>
      <c r="K56" s="1629"/>
      <c r="L56" s="1629"/>
      <c r="M56" s="1629"/>
    </row>
    <row r="57" spans="2:13" x14ac:dyDescent="0.25">
      <c r="B57" s="531"/>
      <c r="C57" s="531"/>
      <c r="D57" s="259"/>
      <c r="E57" s="1174"/>
      <c r="F57" s="1552"/>
      <c r="G57" s="1552"/>
      <c r="H57" s="1552"/>
      <c r="I57" s="1552"/>
      <c r="J57" s="1552"/>
      <c r="K57" s="1175"/>
      <c r="L57" s="1175"/>
      <c r="M57" s="259"/>
    </row>
    <row r="58" spans="2:13" ht="63.7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G53:L53"/>
    <mergeCell ref="G54:L54"/>
    <mergeCell ref="G55:L55"/>
    <mergeCell ref="H56:M56"/>
    <mergeCell ref="F57:J57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88" right="0.12" top="0.74803149606299213" bottom="0.74803149606299213" header="0.31496062992125984" footer="0.31496062992125984"/>
  <pageSetup scale="51" fitToHeight="0" orientation="landscape" r:id="rId1"/>
  <drawing r:id="rId2"/>
</worksheet>
</file>

<file path=xl/worksheets/sheet3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4EF6C-AD81-4754-9F98-53F76EE6DED5}">
  <sheetPr>
    <pageSetUpPr fitToPage="1"/>
  </sheetPr>
  <dimension ref="A6:L34"/>
  <sheetViews>
    <sheetView showGridLines="0" topLeftCell="D1" zoomScale="118" zoomScaleNormal="118" workbookViewId="0">
      <selection activeCell="L11" sqref="L11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1733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1197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734" t="s">
        <v>7</v>
      </c>
      <c r="B12" s="1736" t="s">
        <v>802</v>
      </c>
      <c r="C12" s="1736" t="s">
        <v>10</v>
      </c>
      <c r="D12" s="1067" t="s">
        <v>12</v>
      </c>
      <c r="E12" s="1738" t="s">
        <v>13</v>
      </c>
      <c r="F12" s="1732" t="s">
        <v>14</v>
      </c>
      <c r="G12" s="1732" t="s">
        <v>15</v>
      </c>
      <c r="H12" s="1732" t="s">
        <v>16</v>
      </c>
      <c r="I12" s="1732" t="s">
        <v>17</v>
      </c>
      <c r="J12" s="1732" t="s">
        <v>18</v>
      </c>
      <c r="K12" s="1732" t="s">
        <v>19</v>
      </c>
      <c r="L12" s="1732" t="s">
        <v>20</v>
      </c>
    </row>
    <row r="13" spans="1:12" ht="15" customHeight="1" x14ac:dyDescent="0.25">
      <c r="A13" s="1735"/>
      <c r="B13" s="1737"/>
      <c r="C13" s="1737"/>
      <c r="D13" s="1067" t="s">
        <v>21</v>
      </c>
      <c r="E13" s="1739"/>
      <c r="F13" s="1733"/>
      <c r="G13" s="1733"/>
      <c r="H13" s="1733"/>
      <c r="I13" s="1733"/>
      <c r="J13" s="1733"/>
      <c r="K13" s="1733"/>
      <c r="L13" s="1733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682" t="s">
        <v>1255</v>
      </c>
      <c r="G28" s="1682"/>
      <c r="H28" s="1682"/>
      <c r="I28" s="1682"/>
      <c r="J28" s="1682"/>
      <c r="K28" s="1682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627" t="s">
        <v>852</v>
      </c>
      <c r="G29" s="1627"/>
      <c r="H29" s="1627"/>
      <c r="I29" s="1627"/>
      <c r="J29" s="1627"/>
      <c r="K29" s="1627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628" t="s">
        <v>1506</v>
      </c>
      <c r="G30" s="1628"/>
      <c r="H30" s="1628"/>
      <c r="I30" s="1628"/>
      <c r="J30" s="1628"/>
      <c r="K30" s="1628"/>
      <c r="L30" s="537"/>
    </row>
    <row r="31" spans="1:12" x14ac:dyDescent="0.25">
      <c r="A31" s="546"/>
      <c r="B31" s="546"/>
      <c r="C31" s="547"/>
      <c r="D31" s="541"/>
      <c r="E31" s="540"/>
      <c r="F31" s="537"/>
      <c r="G31" s="1629"/>
      <c r="H31" s="1629"/>
      <c r="I31" s="1629"/>
      <c r="J31" s="1629"/>
      <c r="K31" s="1629"/>
      <c r="L31" s="1629"/>
    </row>
    <row r="32" spans="1:12" ht="15.75" x14ac:dyDescent="0.25">
      <c r="A32" s="267"/>
      <c r="B32" s="267"/>
      <c r="C32" s="268"/>
      <c r="D32" s="269"/>
      <c r="E32" s="1549"/>
      <c r="F32" s="1549"/>
      <c r="G32" s="1549"/>
      <c r="H32" s="1549"/>
      <c r="I32" s="1549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F28:K28"/>
    <mergeCell ref="F29:K29"/>
    <mergeCell ref="F30:K30"/>
    <mergeCell ref="G31:L31"/>
    <mergeCell ref="E32:I3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4AD13-F5C2-4EA6-88AA-0D3FD08A6211}">
  <sheetPr>
    <pageSetUpPr fitToPage="1"/>
  </sheetPr>
  <dimension ref="A1:N280"/>
  <sheetViews>
    <sheetView showGridLines="0" topLeftCell="A5" zoomScale="84" zoomScaleNormal="84" workbookViewId="0">
      <pane ySplit="17" topLeftCell="A208" activePane="bottomLeft" state="frozen"/>
      <selection activeCell="A5" sqref="A5"/>
      <selection pane="bottomLeft" activeCell="A214" sqref="A214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867"/>
      <c r="I5" s="867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867"/>
      <c r="I6" s="867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867"/>
      <c r="I7" s="867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867"/>
      <c r="I8" s="867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867"/>
      <c r="I9" s="867"/>
      <c r="J9" s="1089"/>
      <c r="K9" s="1089"/>
      <c r="L9" s="1089"/>
      <c r="M9" s="867"/>
    </row>
    <row r="10" spans="1:14" ht="15.75" x14ac:dyDescent="0.25">
      <c r="A10" s="869"/>
      <c r="B10" s="851"/>
      <c r="C10" s="853"/>
      <c r="D10" s="853"/>
      <c r="E10" s="867"/>
      <c r="F10" s="868"/>
      <c r="G10" s="867"/>
      <c r="H10" s="867"/>
      <c r="I10" s="867"/>
      <c r="J10" s="1089"/>
      <c r="K10" s="1089"/>
      <c r="L10" s="1089"/>
      <c r="M10" s="867"/>
    </row>
    <row r="11" spans="1:14" ht="15.75" x14ac:dyDescent="0.25">
      <c r="A11" s="869"/>
      <c r="B11" s="851"/>
      <c r="C11" s="853"/>
      <c r="D11" s="853"/>
      <c r="E11" s="867"/>
      <c r="F11" s="868"/>
      <c r="G11" s="867"/>
      <c r="H11" s="867"/>
      <c r="I11" s="867"/>
      <c r="J11" s="1089"/>
      <c r="K11" s="1089"/>
      <c r="L11" s="1089"/>
      <c r="M11" s="867"/>
    </row>
    <row r="12" spans="1:14" ht="15.75" x14ac:dyDescent="0.25">
      <c r="A12" s="869"/>
      <c r="B12" s="851"/>
      <c r="C12" s="853"/>
      <c r="D12" s="853"/>
      <c r="E12" s="867"/>
      <c r="F12" s="868"/>
      <c r="G12" s="867"/>
      <c r="H12" s="867"/>
      <c r="I12" s="867"/>
      <c r="J12" s="1089"/>
      <c r="K12" s="1089"/>
      <c r="L12" s="1089"/>
      <c r="M12" s="867"/>
    </row>
    <row r="13" spans="1:14" ht="27" customHeight="1" x14ac:dyDescent="0.25">
      <c r="A13" s="853" t="s">
        <v>641</v>
      </c>
      <c r="B13" s="851"/>
      <c r="C13" s="853"/>
      <c r="D13" s="853"/>
      <c r="E13" s="867"/>
      <c r="F13" s="868"/>
      <c r="G13" s="867"/>
      <c r="H13" s="867" t="s">
        <v>1539</v>
      </c>
      <c r="I13" s="867"/>
      <c r="J13" s="1089"/>
      <c r="K13" s="1089"/>
      <c r="L13" s="1089"/>
      <c r="M13" s="867"/>
    </row>
    <row r="14" spans="1:14" ht="15.75" x14ac:dyDescent="0.25">
      <c r="A14" s="1685" t="s">
        <v>1502</v>
      </c>
      <c r="B14" s="1685"/>
      <c r="C14" s="1685"/>
      <c r="D14" s="1685"/>
      <c r="E14" s="1685"/>
      <c r="F14" s="1685"/>
      <c r="G14" s="1685"/>
      <c r="H14" s="1685"/>
      <c r="I14" s="1685"/>
      <c r="J14" s="1685"/>
      <c r="K14" s="1685"/>
      <c r="L14" s="1685"/>
      <c r="M14" s="1685"/>
    </row>
    <row r="15" spans="1:14" ht="0.75" customHeight="1" x14ac:dyDescent="0.25">
      <c r="A15" s="1685"/>
      <c r="B15" s="1685"/>
      <c r="C15" s="1685"/>
      <c r="D15" s="1685"/>
      <c r="E15" s="1685"/>
      <c r="F15" s="1685"/>
      <c r="G15" s="1685"/>
      <c r="H15" s="1685"/>
      <c r="I15" s="1685"/>
      <c r="J15" s="1685"/>
      <c r="K15" s="1685"/>
      <c r="L15" s="1685"/>
      <c r="M15" s="1685"/>
      <c r="N15" s="1685"/>
    </row>
    <row r="16" spans="1:14" ht="15.75" x14ac:dyDescent="0.25">
      <c r="A16" s="1685" t="s">
        <v>1460</v>
      </c>
      <c r="B16" s="1685"/>
      <c r="C16" s="1685"/>
      <c r="D16" s="1685"/>
      <c r="E16" s="1685"/>
      <c r="F16" s="1685"/>
      <c r="G16" s="1685"/>
      <c r="H16" s="1685"/>
      <c r="I16" s="1685"/>
      <c r="J16" s="1685"/>
      <c r="K16" s="1685"/>
      <c r="L16" s="1685"/>
      <c r="M16" s="1685"/>
    </row>
    <row r="17" spans="1:13" ht="15.75" x14ac:dyDescent="0.25">
      <c r="A17" s="1685" t="s">
        <v>1746</v>
      </c>
      <c r="B17" s="1685"/>
      <c r="C17" s="1685"/>
      <c r="D17" s="1685"/>
      <c r="E17" s="1685"/>
      <c r="F17" s="1685"/>
      <c r="G17" s="1685"/>
      <c r="H17" s="1685"/>
      <c r="I17" s="1685"/>
      <c r="J17" s="1685"/>
      <c r="K17" s="1685"/>
      <c r="L17" s="1685"/>
      <c r="M17" s="1685"/>
    </row>
    <row r="18" spans="1:13" ht="15.75" x14ac:dyDescent="0.25">
      <c r="A18" s="1706" t="s">
        <v>404</v>
      </c>
      <c r="B18" s="1706"/>
      <c r="C18" s="1706"/>
      <c r="D18" s="1706"/>
      <c r="E18" s="1706"/>
      <c r="F18" s="1706"/>
      <c r="G18" s="1706"/>
      <c r="H18" s="1706"/>
      <c r="I18" s="1706"/>
      <c r="J18" s="1706"/>
      <c r="K18" s="1706"/>
      <c r="L18" s="1706"/>
      <c r="M18" s="1706"/>
    </row>
    <row r="19" spans="1:13" ht="15.75" x14ac:dyDescent="0.25">
      <c r="A19" s="851"/>
      <c r="B19" s="851"/>
      <c r="C19" s="851"/>
      <c r="D19" s="851"/>
      <c r="E19" s="851"/>
      <c r="F19" s="851"/>
      <c r="G19" s="851"/>
      <c r="H19" s="851"/>
      <c r="I19" s="851"/>
      <c r="J19" s="1090"/>
      <c r="K19" s="1090"/>
      <c r="L19" s="1090"/>
      <c r="M19" s="851"/>
    </row>
    <row r="20" spans="1:13" ht="15.75" x14ac:dyDescent="0.25">
      <c r="A20" s="1707" t="s">
        <v>7</v>
      </c>
      <c r="B20" s="1707" t="s">
        <v>802</v>
      </c>
      <c r="C20" s="1707" t="s">
        <v>9</v>
      </c>
      <c r="D20" s="1707" t="s">
        <v>11</v>
      </c>
      <c r="E20" s="1057" t="s">
        <v>12</v>
      </c>
      <c r="F20" s="1704" t="s">
        <v>13</v>
      </c>
      <c r="G20" s="1705" t="s">
        <v>14</v>
      </c>
      <c r="H20" s="1705" t="s">
        <v>15</v>
      </c>
      <c r="I20" s="1723" t="s">
        <v>16</v>
      </c>
      <c r="J20" s="1723" t="s">
        <v>17</v>
      </c>
      <c r="K20" s="1723" t="s">
        <v>18</v>
      </c>
      <c r="L20" s="1723" t="s">
        <v>19</v>
      </c>
      <c r="M20" s="1705" t="s">
        <v>20</v>
      </c>
    </row>
    <row r="21" spans="1:13" ht="15.75" x14ac:dyDescent="0.25">
      <c r="A21" s="1707"/>
      <c r="B21" s="1707"/>
      <c r="C21" s="1707"/>
      <c r="D21" s="1707"/>
      <c r="E21" s="1057" t="s">
        <v>21</v>
      </c>
      <c r="F21" s="1704"/>
      <c r="G21" s="1705"/>
      <c r="H21" s="1705"/>
      <c r="I21" s="1723"/>
      <c r="J21" s="1723"/>
      <c r="K21" s="1723"/>
      <c r="L21" s="1723"/>
      <c r="M21" s="1705"/>
    </row>
    <row r="22" spans="1:13" ht="18.75" x14ac:dyDescent="0.3">
      <c r="A22" s="949" t="s">
        <v>1140</v>
      </c>
      <c r="B22" s="950"/>
      <c r="C22" s="949"/>
      <c r="D22" s="949"/>
      <c r="E22" s="951"/>
      <c r="F22" s="952"/>
      <c r="G22" s="953"/>
      <c r="H22" s="953"/>
      <c r="I22" s="954"/>
      <c r="J22" s="951"/>
      <c r="K22" s="951"/>
      <c r="L22" s="951"/>
      <c r="M22" s="953"/>
    </row>
    <row r="23" spans="1:13" ht="18.75" x14ac:dyDescent="0.3">
      <c r="A23" s="955" t="s">
        <v>1645</v>
      </c>
      <c r="B23" s="950" t="s">
        <v>806</v>
      </c>
      <c r="C23" s="955" t="s">
        <v>142</v>
      </c>
      <c r="D23" s="955" t="s">
        <v>1065</v>
      </c>
      <c r="E23" s="956">
        <v>260000</v>
      </c>
      <c r="F23" s="952">
        <v>0</v>
      </c>
      <c r="G23" s="957">
        <v>260000</v>
      </c>
      <c r="H23" s="953">
        <v>7462</v>
      </c>
      <c r="I23" s="954">
        <v>50070.080000000002</v>
      </c>
      <c r="J23" s="951">
        <v>6589.14</v>
      </c>
      <c r="K23" s="951">
        <v>4169.3999999999996</v>
      </c>
      <c r="L23" s="951">
        <f>+H23+I23+J23+K23</f>
        <v>68290.62</v>
      </c>
      <c r="M23" s="953">
        <f>+G23-L23</f>
        <v>191709.38</v>
      </c>
    </row>
    <row r="24" spans="1:13" ht="18.75" x14ac:dyDescent="0.3">
      <c r="A24" s="958" t="s">
        <v>1646</v>
      </c>
      <c r="B24" s="950" t="s">
        <v>806</v>
      </c>
      <c r="C24" s="959" t="s">
        <v>30</v>
      </c>
      <c r="D24" s="955" t="s">
        <v>1065</v>
      </c>
      <c r="E24" s="951">
        <v>210000</v>
      </c>
      <c r="F24" s="952">
        <v>0</v>
      </c>
      <c r="G24" s="953">
        <v>210000</v>
      </c>
      <c r="H24" s="953">
        <v>6027</v>
      </c>
      <c r="I24" s="954">
        <v>37980.120000000003</v>
      </c>
      <c r="J24" s="951">
        <v>6384</v>
      </c>
      <c r="K24" s="951">
        <v>4169.3999999999996</v>
      </c>
      <c r="L24" s="951">
        <f>+H24+I24+J24+K24</f>
        <v>54560.520000000004</v>
      </c>
      <c r="M24" s="953">
        <f>+G24-L24</f>
        <v>155439.47999999998</v>
      </c>
    </row>
    <row r="25" spans="1:13" ht="18.75" x14ac:dyDescent="0.3">
      <c r="A25" s="958" t="s">
        <v>1647</v>
      </c>
      <c r="B25" s="950" t="s">
        <v>807</v>
      </c>
      <c r="C25" s="960" t="s">
        <v>693</v>
      </c>
      <c r="D25" s="960" t="s">
        <v>1066</v>
      </c>
      <c r="E25" s="951">
        <v>130000</v>
      </c>
      <c r="F25" s="952">
        <v>0</v>
      </c>
      <c r="G25" s="953">
        <v>130000</v>
      </c>
      <c r="H25" s="953">
        <v>3731</v>
      </c>
      <c r="I25" s="954">
        <v>18304.39</v>
      </c>
      <c r="J25" s="951">
        <v>3952</v>
      </c>
      <c r="K25" s="951">
        <v>5948.66</v>
      </c>
      <c r="L25" s="951">
        <f>SUM(H25:K25)</f>
        <v>31936.05</v>
      </c>
      <c r="M25" s="953">
        <f>+G25-L25</f>
        <v>98063.95</v>
      </c>
    </row>
    <row r="26" spans="1:13" ht="18.75" x14ac:dyDescent="0.3">
      <c r="A26" s="955" t="s">
        <v>1648</v>
      </c>
      <c r="B26" s="950" t="s">
        <v>806</v>
      </c>
      <c r="C26" s="960" t="s">
        <v>92</v>
      </c>
      <c r="D26" s="960" t="s">
        <v>1067</v>
      </c>
      <c r="E26" s="951">
        <v>60000</v>
      </c>
      <c r="F26" s="974">
        <v>0</v>
      </c>
      <c r="G26" s="951">
        <v>60000</v>
      </c>
      <c r="H26" s="951">
        <v>1722</v>
      </c>
      <c r="I26" s="954">
        <v>3486.68</v>
      </c>
      <c r="J26" s="951">
        <v>1824</v>
      </c>
      <c r="K26" s="951">
        <v>25</v>
      </c>
      <c r="L26" s="951">
        <f>+H26+I26+J26+K26</f>
        <v>7057.68</v>
      </c>
      <c r="M26" s="951">
        <f>+E26-L26</f>
        <v>52942.32</v>
      </c>
    </row>
    <row r="27" spans="1:13" ht="18.75" x14ac:dyDescent="0.3">
      <c r="A27" s="961" t="s">
        <v>752</v>
      </c>
      <c r="B27" s="950"/>
      <c r="C27" s="962">
        <v>4</v>
      </c>
      <c r="D27" s="962"/>
      <c r="E27" s="963">
        <f>SUM(E23:E26)</f>
        <v>660000</v>
      </c>
      <c r="F27" s="964">
        <f t="shared" ref="F27:K27" si="0">SUM(F23:F26)</f>
        <v>0</v>
      </c>
      <c r="G27" s="965">
        <f t="shared" si="0"/>
        <v>660000</v>
      </c>
      <c r="H27" s="966">
        <f t="shared" si="0"/>
        <v>18942</v>
      </c>
      <c r="I27" s="966">
        <f>SUM(I23:I26)</f>
        <v>109841.27</v>
      </c>
      <c r="J27" s="963">
        <f t="shared" si="0"/>
        <v>18749.14</v>
      </c>
      <c r="K27" s="963">
        <f t="shared" si="0"/>
        <v>14312.46</v>
      </c>
      <c r="L27" s="963">
        <f>SUM(L23:L26)</f>
        <v>161844.87</v>
      </c>
      <c r="M27" s="965">
        <f>SUM(M23:M26)</f>
        <v>498155.13</v>
      </c>
    </row>
    <row r="28" spans="1:13" ht="18.75" x14ac:dyDescent="0.3">
      <c r="A28" s="961"/>
      <c r="B28" s="950"/>
      <c r="C28" s="962"/>
      <c r="D28" s="962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61" t="s">
        <v>1732</v>
      </c>
      <c r="B29" s="950"/>
      <c r="C29" s="967"/>
      <c r="D29" s="967"/>
      <c r="E29" s="951"/>
      <c r="F29" s="952"/>
      <c r="G29" s="953"/>
      <c r="H29" s="953"/>
      <c r="I29" s="954"/>
      <c r="J29" s="951"/>
      <c r="K29" s="951"/>
      <c r="L29" s="951"/>
      <c r="M29" s="953"/>
    </row>
    <row r="30" spans="1:13" ht="35.25" customHeight="1" x14ac:dyDescent="0.3">
      <c r="A30" s="958" t="s">
        <v>1649</v>
      </c>
      <c r="B30" s="950" t="s">
        <v>806</v>
      </c>
      <c r="C30" s="980" t="s">
        <v>1403</v>
      </c>
      <c r="D30" s="960" t="s">
        <v>1069</v>
      </c>
      <c r="E30" s="951">
        <v>95000</v>
      </c>
      <c r="F30" s="952">
        <v>0</v>
      </c>
      <c r="G30" s="951">
        <v>95000</v>
      </c>
      <c r="H30" s="953">
        <v>2726.5</v>
      </c>
      <c r="I30" s="954">
        <v>10500.38</v>
      </c>
      <c r="J30" s="951">
        <v>2888</v>
      </c>
      <c r="K30" s="951">
        <v>12510.37</v>
      </c>
      <c r="L30" s="951">
        <f>+H30+I30+J30+K30</f>
        <v>28625.25</v>
      </c>
      <c r="M30" s="953">
        <f>+G30-L30</f>
        <v>66374.75</v>
      </c>
    </row>
    <row r="31" spans="1:13" ht="18.75" x14ac:dyDescent="0.3">
      <c r="A31" s="955" t="s">
        <v>1650</v>
      </c>
      <c r="B31" s="968" t="s">
        <v>807</v>
      </c>
      <c r="C31" s="960" t="s">
        <v>276</v>
      </c>
      <c r="D31" s="960" t="s">
        <v>307</v>
      </c>
      <c r="E31" s="951">
        <v>43500</v>
      </c>
      <c r="F31" s="974">
        <v>0</v>
      </c>
      <c r="G31" s="951">
        <v>43500</v>
      </c>
      <c r="H31" s="951">
        <v>1248.45</v>
      </c>
      <c r="I31" s="1191">
        <v>936.62</v>
      </c>
      <c r="J31" s="951">
        <v>1322.4</v>
      </c>
      <c r="K31" s="951">
        <v>1025</v>
      </c>
      <c r="L31" s="951">
        <f>+H31+I31+J31+K31</f>
        <v>4532.47</v>
      </c>
      <c r="M31" s="953">
        <f>+G31-L31</f>
        <v>38967.53</v>
      </c>
    </row>
    <row r="32" spans="1:13" ht="18.75" x14ac:dyDescent="0.3">
      <c r="A32" s="955" t="s">
        <v>1643</v>
      </c>
      <c r="B32" s="968" t="s">
        <v>807</v>
      </c>
      <c r="C32" s="960" t="s">
        <v>276</v>
      </c>
      <c r="D32" s="960" t="s">
        <v>1069</v>
      </c>
      <c r="E32" s="951">
        <v>43500</v>
      </c>
      <c r="F32" s="974">
        <v>0</v>
      </c>
      <c r="G32" s="951">
        <v>43500</v>
      </c>
      <c r="H32" s="951">
        <v>1248.45</v>
      </c>
      <c r="I32" s="1191">
        <v>936.62</v>
      </c>
      <c r="J32" s="951">
        <v>1322.4</v>
      </c>
      <c r="K32" s="951">
        <v>25</v>
      </c>
      <c r="L32" s="951">
        <f>+H32+I32+J32+K32</f>
        <v>3532.4700000000003</v>
      </c>
      <c r="M32" s="953">
        <f>+G32-L32</f>
        <v>39967.53</v>
      </c>
    </row>
    <row r="33" spans="1:13" ht="18.75" x14ac:dyDescent="0.3">
      <c r="A33" s="955" t="s">
        <v>1651</v>
      </c>
      <c r="B33" s="968" t="s">
        <v>806</v>
      </c>
      <c r="C33" s="960" t="s">
        <v>276</v>
      </c>
      <c r="D33" s="960" t="s">
        <v>307</v>
      </c>
      <c r="E33" s="951">
        <v>37500</v>
      </c>
      <c r="F33" s="974">
        <v>0</v>
      </c>
      <c r="G33" s="951">
        <v>37500</v>
      </c>
      <c r="H33" s="951">
        <v>1076.25</v>
      </c>
      <c r="I33" s="1191">
        <v>89.81</v>
      </c>
      <c r="J33" s="951">
        <v>1140</v>
      </c>
      <c r="K33" s="951">
        <v>25</v>
      </c>
      <c r="L33" s="951">
        <f t="shared" ref="L33" si="1">+H33+I33+J33+K33</f>
        <v>2331.06</v>
      </c>
      <c r="M33" s="953">
        <f>+G33-L33</f>
        <v>35168.94</v>
      </c>
    </row>
    <row r="34" spans="1:13" ht="18.75" x14ac:dyDescent="0.3">
      <c r="A34" s="961" t="s">
        <v>752</v>
      </c>
      <c r="B34" s="950"/>
      <c r="C34" s="962">
        <v>4</v>
      </c>
      <c r="D34" s="962"/>
      <c r="E34" s="963">
        <f>SUM(E30:E33)</f>
        <v>219500</v>
      </c>
      <c r="F34" s="1071">
        <v>0</v>
      </c>
      <c r="G34" s="963">
        <f t="shared" ref="G34:L34" si="2">SUM(G30:G33)</f>
        <v>219500</v>
      </c>
      <c r="H34" s="966">
        <f>SUM(H30:H33)</f>
        <v>6299.65</v>
      </c>
      <c r="I34" s="966">
        <f t="shared" si="2"/>
        <v>12463.43</v>
      </c>
      <c r="J34" s="963">
        <f t="shared" si="2"/>
        <v>6672.7999999999993</v>
      </c>
      <c r="K34" s="963">
        <f t="shared" si="2"/>
        <v>13585.37</v>
      </c>
      <c r="L34" s="963">
        <f t="shared" si="2"/>
        <v>39021.25</v>
      </c>
      <c r="M34" s="963">
        <f>SUM(M30:M33)</f>
        <v>180478.75</v>
      </c>
    </row>
    <row r="35" spans="1:13" ht="18.75" x14ac:dyDescent="0.3">
      <c r="A35" s="961"/>
      <c r="B35" s="950"/>
      <c r="C35" s="967"/>
      <c r="D35" s="967"/>
      <c r="E35" s="963"/>
      <c r="F35" s="952"/>
      <c r="G35" s="965"/>
      <c r="H35" s="965"/>
      <c r="I35" s="966"/>
      <c r="J35" s="963"/>
      <c r="K35" s="963"/>
      <c r="L35" s="963"/>
      <c r="M35" s="965"/>
    </row>
    <row r="36" spans="1:13" ht="18.75" x14ac:dyDescent="0.3">
      <c r="A36" s="961" t="s">
        <v>1555</v>
      </c>
      <c r="B36" s="950"/>
      <c r="C36" s="960"/>
      <c r="D36" s="960"/>
      <c r="E36" s="951"/>
      <c r="F36" s="952"/>
      <c r="G36" s="953"/>
      <c r="H36" s="953"/>
      <c r="I36" s="954"/>
      <c r="J36" s="951"/>
      <c r="K36" s="951"/>
      <c r="L36" s="951"/>
      <c r="M36" s="953"/>
    </row>
    <row r="37" spans="1:13" ht="18.75" x14ac:dyDescent="0.3">
      <c r="A37" s="958" t="s">
        <v>1652</v>
      </c>
      <c r="B37" s="950" t="s">
        <v>806</v>
      </c>
      <c r="C37" s="960" t="s">
        <v>248</v>
      </c>
      <c r="D37" s="960" t="s">
        <v>307</v>
      </c>
      <c r="E37" s="951">
        <v>43500</v>
      </c>
      <c r="F37" s="952">
        <v>0</v>
      </c>
      <c r="G37" s="953">
        <v>43500</v>
      </c>
      <c r="H37" s="953">
        <v>1248.45</v>
      </c>
      <c r="I37" s="1191">
        <v>936.62</v>
      </c>
      <c r="J37" s="951">
        <v>1322.4</v>
      </c>
      <c r="K37" s="951">
        <v>1296.7</v>
      </c>
      <c r="L37" s="951">
        <f>+H37+I37+J37+K37</f>
        <v>4804.17</v>
      </c>
      <c r="M37" s="953">
        <f>+G37-L37</f>
        <v>38695.83</v>
      </c>
    </row>
    <row r="38" spans="1:13" ht="18.75" x14ac:dyDescent="0.3">
      <c r="A38" s="961" t="s">
        <v>749</v>
      </c>
      <c r="B38" s="950"/>
      <c r="C38" s="962">
        <v>1</v>
      </c>
      <c r="D38" s="962"/>
      <c r="E38" s="963">
        <f>SUM(E37:E37)</f>
        <v>43500</v>
      </c>
      <c r="F38" s="964">
        <f t="shared" ref="F38:L38" si="3">SUM(F37:F37)</f>
        <v>0</v>
      </c>
      <c r="G38" s="965">
        <f t="shared" si="3"/>
        <v>43500</v>
      </c>
      <c r="H38" s="1177">
        <f t="shared" si="3"/>
        <v>1248.45</v>
      </c>
      <c r="I38" s="966">
        <f t="shared" si="3"/>
        <v>936.62</v>
      </c>
      <c r="J38" s="963">
        <f t="shared" si="3"/>
        <v>1322.4</v>
      </c>
      <c r="K38" s="963">
        <f t="shared" si="3"/>
        <v>1296.7</v>
      </c>
      <c r="L38" s="963">
        <f t="shared" si="3"/>
        <v>4804.17</v>
      </c>
      <c r="M38" s="965">
        <f>SUM(M37:M37)</f>
        <v>38695.83</v>
      </c>
    </row>
    <row r="39" spans="1:13" ht="18.75" x14ac:dyDescent="0.3">
      <c r="A39" s="958"/>
      <c r="B39" s="950"/>
      <c r="C39" s="960"/>
      <c r="D39" s="960"/>
      <c r="E39" s="951"/>
      <c r="F39" s="952"/>
      <c r="G39" s="953"/>
      <c r="H39" s="953"/>
      <c r="I39" s="954"/>
      <c r="J39" s="951"/>
      <c r="K39" s="951"/>
      <c r="L39" s="951"/>
      <c r="M39" s="953"/>
    </row>
    <row r="40" spans="1:13" ht="18.75" x14ac:dyDescent="0.3">
      <c r="A40" s="961" t="s">
        <v>838</v>
      </c>
      <c r="B40" s="950"/>
      <c r="C40" s="967"/>
      <c r="D40" s="967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58" t="s">
        <v>1653</v>
      </c>
      <c r="B41" s="950" t="s">
        <v>807</v>
      </c>
      <c r="C41" s="960" t="s">
        <v>1218</v>
      </c>
      <c r="D41" s="960" t="s">
        <v>1066</v>
      </c>
      <c r="E41" s="951">
        <v>185000</v>
      </c>
      <c r="F41" s="952">
        <v>0</v>
      </c>
      <c r="G41" s="953">
        <v>185000</v>
      </c>
      <c r="H41" s="953">
        <v>5309.5</v>
      </c>
      <c r="I41" s="954">
        <v>30812.9</v>
      </c>
      <c r="J41" s="951">
        <v>5624</v>
      </c>
      <c r="K41" s="951">
        <v>5171.38</v>
      </c>
      <c r="L41" s="951">
        <f t="shared" ref="L41:L46" si="4">+H41+I41+J41+K41</f>
        <v>46917.78</v>
      </c>
      <c r="M41" s="953">
        <f>+G41-L41</f>
        <v>138082.22</v>
      </c>
    </row>
    <row r="42" spans="1:13" ht="18.75" x14ac:dyDescent="0.3">
      <c r="A42" s="958" t="s">
        <v>1054</v>
      </c>
      <c r="B42" s="950" t="s">
        <v>807</v>
      </c>
      <c r="C42" s="960" t="s">
        <v>276</v>
      </c>
      <c r="D42" s="960" t="s">
        <v>307</v>
      </c>
      <c r="E42" s="951">
        <v>43500</v>
      </c>
      <c r="F42" s="952">
        <v>0</v>
      </c>
      <c r="G42" s="953">
        <v>43500</v>
      </c>
      <c r="H42" s="953">
        <v>1248.45</v>
      </c>
      <c r="I42" s="1191">
        <v>679.3</v>
      </c>
      <c r="J42" s="951">
        <v>1322.4</v>
      </c>
      <c r="K42" s="951">
        <v>1740.46</v>
      </c>
      <c r="L42" s="951">
        <f t="shared" si="4"/>
        <v>4990.6100000000006</v>
      </c>
      <c r="M42" s="953">
        <f t="shared" ref="M42:M46" si="5">+G42-L42</f>
        <v>38509.39</v>
      </c>
    </row>
    <row r="43" spans="1:13" ht="18.75" x14ac:dyDescent="0.3">
      <c r="A43" s="958" t="s">
        <v>1314</v>
      </c>
      <c r="B43" s="950" t="s">
        <v>807</v>
      </c>
      <c r="C43" s="960" t="s">
        <v>276</v>
      </c>
      <c r="D43" s="960" t="s">
        <v>321</v>
      </c>
      <c r="E43" s="951">
        <v>43500</v>
      </c>
      <c r="F43" s="952">
        <v>0</v>
      </c>
      <c r="G43" s="953">
        <v>43500</v>
      </c>
      <c r="H43" s="953">
        <v>1248.45</v>
      </c>
      <c r="I43" s="1191">
        <v>936.62</v>
      </c>
      <c r="J43" s="951">
        <v>1322.4</v>
      </c>
      <c r="K43" s="951">
        <v>125</v>
      </c>
      <c r="L43" s="951">
        <f t="shared" si="4"/>
        <v>3632.4700000000003</v>
      </c>
      <c r="M43" s="953">
        <f t="shared" si="5"/>
        <v>39867.53</v>
      </c>
    </row>
    <row r="44" spans="1:13" ht="18.75" x14ac:dyDescent="0.3">
      <c r="A44" s="958" t="s">
        <v>1654</v>
      </c>
      <c r="B44" s="950" t="s">
        <v>807</v>
      </c>
      <c r="C44" s="960" t="s">
        <v>276</v>
      </c>
      <c r="D44" s="960" t="s">
        <v>307</v>
      </c>
      <c r="E44" s="951">
        <v>43500</v>
      </c>
      <c r="F44" s="952">
        <v>0</v>
      </c>
      <c r="G44" s="953">
        <v>43500</v>
      </c>
      <c r="H44" s="953">
        <v>1248.45</v>
      </c>
      <c r="I44" s="1191">
        <v>936.62</v>
      </c>
      <c r="J44" s="951">
        <v>1322.4</v>
      </c>
      <c r="K44" s="951">
        <v>25</v>
      </c>
      <c r="L44" s="951">
        <f t="shared" si="4"/>
        <v>3532.4700000000003</v>
      </c>
      <c r="M44" s="953">
        <f t="shared" si="5"/>
        <v>39967.53</v>
      </c>
    </row>
    <row r="45" spans="1:13" ht="18.75" x14ac:dyDescent="0.3">
      <c r="A45" s="955" t="s">
        <v>1437</v>
      </c>
      <c r="B45" s="950" t="s">
        <v>807</v>
      </c>
      <c r="C45" s="960" t="s">
        <v>276</v>
      </c>
      <c r="D45" s="960" t="s">
        <v>307</v>
      </c>
      <c r="E45" s="951">
        <v>43500</v>
      </c>
      <c r="F45" s="974">
        <v>0</v>
      </c>
      <c r="G45" s="951">
        <v>43500</v>
      </c>
      <c r="H45" s="951">
        <v>1248.45</v>
      </c>
      <c r="I45" s="1191">
        <v>936.62</v>
      </c>
      <c r="J45" s="951">
        <v>1322.4</v>
      </c>
      <c r="K45" s="951">
        <v>25</v>
      </c>
      <c r="L45" s="951">
        <f t="shared" si="4"/>
        <v>3532.4700000000003</v>
      </c>
      <c r="M45" s="953">
        <f t="shared" si="5"/>
        <v>39967.53</v>
      </c>
    </row>
    <row r="46" spans="1:13" ht="18.75" x14ac:dyDescent="0.3">
      <c r="A46" s="955" t="s">
        <v>1323</v>
      </c>
      <c r="B46" s="950" t="s">
        <v>807</v>
      </c>
      <c r="C46" s="960" t="s">
        <v>337</v>
      </c>
      <c r="D46" s="960" t="s">
        <v>321</v>
      </c>
      <c r="E46" s="951">
        <v>55000</v>
      </c>
      <c r="F46" s="974">
        <v>0</v>
      </c>
      <c r="G46" s="951">
        <v>55000</v>
      </c>
      <c r="H46" s="951">
        <v>1578.5</v>
      </c>
      <c r="I46" s="954">
        <v>2559.6799999999998</v>
      </c>
      <c r="J46" s="951">
        <v>1672</v>
      </c>
      <c r="K46" s="951">
        <v>25</v>
      </c>
      <c r="L46" s="951">
        <f t="shared" si="4"/>
        <v>5835.18</v>
      </c>
      <c r="M46" s="953">
        <f t="shared" si="5"/>
        <v>49164.82</v>
      </c>
    </row>
    <row r="47" spans="1:13" ht="18.75" x14ac:dyDescent="0.3">
      <c r="A47" s="961" t="s">
        <v>749</v>
      </c>
      <c r="B47" s="950"/>
      <c r="C47" s="962">
        <v>6</v>
      </c>
      <c r="D47" s="962"/>
      <c r="E47" s="963">
        <f>SUM(E41:E46)</f>
        <v>414000</v>
      </c>
      <c r="F47" s="1071">
        <v>0</v>
      </c>
      <c r="G47" s="963">
        <f t="shared" ref="G47:M47" si="6">SUM(G41:G46)</f>
        <v>414000</v>
      </c>
      <c r="H47" s="966">
        <f t="shared" si="6"/>
        <v>11881.800000000001</v>
      </c>
      <c r="I47" s="966">
        <f t="shared" si="6"/>
        <v>36861.740000000005</v>
      </c>
      <c r="J47" s="963">
        <f t="shared" si="6"/>
        <v>12585.599999999999</v>
      </c>
      <c r="K47" s="963">
        <f t="shared" si="6"/>
        <v>7111.84</v>
      </c>
      <c r="L47" s="963">
        <f t="shared" si="6"/>
        <v>68440.98000000001</v>
      </c>
      <c r="M47" s="963">
        <f t="shared" si="6"/>
        <v>345559.01999999996</v>
      </c>
    </row>
    <row r="48" spans="1:13" ht="18.75" x14ac:dyDescent="0.3">
      <c r="A48" s="961"/>
      <c r="B48" s="950"/>
      <c r="C48" s="962"/>
      <c r="D48" s="962"/>
      <c r="E48" s="963"/>
      <c r="F48" s="964"/>
      <c r="G48" s="965"/>
      <c r="H48" s="965"/>
      <c r="I48" s="966"/>
      <c r="J48" s="963"/>
      <c r="K48" s="963"/>
      <c r="L48" s="963"/>
      <c r="M48" s="965"/>
    </row>
    <row r="49" spans="1:13" ht="18.75" x14ac:dyDescent="0.3">
      <c r="A49" s="961" t="s">
        <v>1144</v>
      </c>
      <c r="B49" s="950"/>
      <c r="C49" s="962"/>
      <c r="D49" s="962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customHeight="1" x14ac:dyDescent="0.3">
      <c r="A50" s="955" t="s">
        <v>1655</v>
      </c>
      <c r="B50" s="969" t="s">
        <v>807</v>
      </c>
      <c r="C50" s="970" t="s">
        <v>925</v>
      </c>
      <c r="D50" s="960" t="s">
        <v>1069</v>
      </c>
      <c r="E50" s="951">
        <v>75000</v>
      </c>
      <c r="F50" s="971">
        <v>0</v>
      </c>
      <c r="G50" s="972">
        <v>75000</v>
      </c>
      <c r="H50" s="972">
        <v>2152.5</v>
      </c>
      <c r="I50" s="954">
        <v>6309.38</v>
      </c>
      <c r="J50" s="951">
        <v>2280</v>
      </c>
      <c r="K50" s="951">
        <v>25</v>
      </c>
      <c r="L50" s="951">
        <f>+H50+I50+J50+K50</f>
        <v>10766.880000000001</v>
      </c>
      <c r="M50" s="953">
        <f>+G50-L50</f>
        <v>64233.119999999995</v>
      </c>
    </row>
    <row r="51" spans="1:13" ht="18.75" x14ac:dyDescent="0.3">
      <c r="A51" s="961" t="s">
        <v>749</v>
      </c>
      <c r="B51" s="950"/>
      <c r="C51" s="962">
        <v>1</v>
      </c>
      <c r="D51" s="962"/>
      <c r="E51" s="963">
        <f>SUM(E50)</f>
        <v>75000</v>
      </c>
      <c r="F51" s="964">
        <f>SUM(F50)</f>
        <v>0</v>
      </c>
      <c r="G51" s="965">
        <v>75000</v>
      </c>
      <c r="H51" s="966">
        <f t="shared" ref="H51:L51" si="7">SUM(H50)</f>
        <v>2152.5</v>
      </c>
      <c r="I51" s="966">
        <f t="shared" si="7"/>
        <v>6309.38</v>
      </c>
      <c r="J51" s="963">
        <f t="shared" si="7"/>
        <v>2280</v>
      </c>
      <c r="K51" s="963">
        <f t="shared" si="7"/>
        <v>25</v>
      </c>
      <c r="L51" s="963">
        <f t="shared" si="7"/>
        <v>10766.880000000001</v>
      </c>
      <c r="M51" s="965">
        <f>SUM(M50)</f>
        <v>64233.119999999995</v>
      </c>
    </row>
    <row r="52" spans="1:13" ht="18.75" x14ac:dyDescent="0.3">
      <c r="A52" s="961"/>
      <c r="B52" s="950"/>
      <c r="C52" s="962"/>
      <c r="D52" s="962"/>
      <c r="E52" s="963"/>
      <c r="F52" s="964"/>
      <c r="G52" s="965"/>
      <c r="H52" s="965"/>
      <c r="I52" s="966"/>
      <c r="J52" s="963"/>
      <c r="K52" s="963"/>
      <c r="L52" s="963"/>
      <c r="M52" s="965"/>
    </row>
    <row r="53" spans="1:13" ht="18.75" x14ac:dyDescent="0.3">
      <c r="A53" s="961" t="s">
        <v>1530</v>
      </c>
      <c r="B53" s="950"/>
      <c r="C53" s="967"/>
      <c r="D53" s="967"/>
      <c r="E53" s="963"/>
      <c r="F53" s="952"/>
      <c r="G53" s="965"/>
      <c r="H53" s="965"/>
      <c r="I53" s="966"/>
      <c r="J53" s="963"/>
      <c r="K53" s="963"/>
      <c r="L53" s="963"/>
      <c r="M53" s="965"/>
    </row>
    <row r="54" spans="1:13" ht="18.75" x14ac:dyDescent="0.3">
      <c r="A54" s="958" t="s">
        <v>1656</v>
      </c>
      <c r="B54" s="950" t="s">
        <v>806</v>
      </c>
      <c r="C54" s="960" t="s">
        <v>120</v>
      </c>
      <c r="D54" s="960" t="s">
        <v>1067</v>
      </c>
      <c r="E54" s="951">
        <v>30000</v>
      </c>
      <c r="F54" s="952">
        <v>0</v>
      </c>
      <c r="G54" s="953">
        <v>30000</v>
      </c>
      <c r="H54" s="953">
        <v>861</v>
      </c>
      <c r="I54" s="1191">
        <v>0</v>
      </c>
      <c r="J54" s="951">
        <v>912</v>
      </c>
      <c r="K54" s="951">
        <v>1740.46</v>
      </c>
      <c r="L54" s="951">
        <f>+H54+I54+J54+K54</f>
        <v>3513.46</v>
      </c>
      <c r="M54" s="953">
        <f>+G54-L54</f>
        <v>26486.54</v>
      </c>
    </row>
    <row r="55" spans="1:13" ht="18.75" x14ac:dyDescent="0.3">
      <c r="A55" s="955" t="s">
        <v>1657</v>
      </c>
      <c r="B55" s="950" t="s">
        <v>807</v>
      </c>
      <c r="C55" s="960" t="s">
        <v>125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1191">
        <v>936.62</v>
      </c>
      <c r="J55" s="951">
        <v>1322.4</v>
      </c>
      <c r="K55" s="951">
        <v>25</v>
      </c>
      <c r="L55" s="951">
        <f>+H55+I55+J55+K55</f>
        <v>3532.4700000000003</v>
      </c>
      <c r="M55" s="953">
        <f>+G55-L55</f>
        <v>39967.53</v>
      </c>
    </row>
    <row r="56" spans="1:13" ht="18.75" x14ac:dyDescent="0.3">
      <c r="A56" s="961" t="s">
        <v>749</v>
      </c>
      <c r="B56" s="950"/>
      <c r="C56" s="962">
        <v>2</v>
      </c>
      <c r="D56" s="962"/>
      <c r="E56" s="963">
        <f>SUM(E54:E55)</f>
        <v>73500</v>
      </c>
      <c r="F56" s="964">
        <f t="shared" ref="F56:L56" si="8">SUM(F54:F55)</f>
        <v>0</v>
      </c>
      <c r="G56" s="965">
        <f t="shared" si="8"/>
        <v>73500</v>
      </c>
      <c r="H56" s="966">
        <f t="shared" si="8"/>
        <v>2109.4499999999998</v>
      </c>
      <c r="I56" s="1192">
        <f t="shared" si="8"/>
        <v>936.62</v>
      </c>
      <c r="J56" s="963">
        <f t="shared" si="8"/>
        <v>2234.4</v>
      </c>
      <c r="K56" s="963">
        <f t="shared" si="8"/>
        <v>1765.46</v>
      </c>
      <c r="L56" s="963">
        <f t="shared" si="8"/>
        <v>7045.93</v>
      </c>
      <c r="M56" s="965">
        <f>SUM(M54:M55)</f>
        <v>66454.070000000007</v>
      </c>
    </row>
    <row r="57" spans="1:13" ht="18.75" x14ac:dyDescent="0.3">
      <c r="A57" s="961"/>
      <c r="B57" s="950"/>
      <c r="C57" s="967"/>
      <c r="D57" s="967"/>
      <c r="E57" s="963"/>
      <c r="F57" s="964"/>
      <c r="G57" s="965"/>
      <c r="H57" s="965"/>
      <c r="I57" s="966"/>
      <c r="J57" s="963"/>
      <c r="K57" s="963"/>
      <c r="L57" s="963"/>
      <c r="M57" s="965"/>
    </row>
    <row r="58" spans="1:13" ht="18.75" x14ac:dyDescent="0.3">
      <c r="A58" s="961" t="s">
        <v>1531</v>
      </c>
      <c r="B58" s="950"/>
      <c r="C58" s="967"/>
      <c r="D58" s="967"/>
      <c r="E58" s="963"/>
      <c r="F58" s="964"/>
      <c r="G58" s="965"/>
      <c r="H58" s="965"/>
      <c r="I58" s="966"/>
      <c r="J58" s="963"/>
      <c r="K58" s="963"/>
      <c r="L58" s="963"/>
      <c r="M58" s="965"/>
    </row>
    <row r="59" spans="1:13" s="259" customFormat="1" ht="18.75" x14ac:dyDescent="0.3">
      <c r="A59" s="1258" t="s">
        <v>169</v>
      </c>
      <c r="B59" s="1256" t="s">
        <v>807</v>
      </c>
      <c r="C59" s="1257" t="s">
        <v>309</v>
      </c>
      <c r="D59" s="1257" t="s">
        <v>307</v>
      </c>
      <c r="E59" s="954">
        <v>43500</v>
      </c>
      <c r="F59" s="1191">
        <v>0</v>
      </c>
      <c r="G59" s="954">
        <v>43500</v>
      </c>
      <c r="H59" s="954">
        <v>1248.45</v>
      </c>
      <c r="I59" s="1191">
        <v>936.62</v>
      </c>
      <c r="J59" s="954">
        <v>1322.4</v>
      </c>
      <c r="K59" s="954">
        <v>1296.7</v>
      </c>
      <c r="L59" s="954">
        <f>+H59+I59+J59+K59</f>
        <v>4804.17</v>
      </c>
      <c r="M59" s="954">
        <f>+G59-L59</f>
        <v>38695.83</v>
      </c>
    </row>
    <row r="60" spans="1:13" ht="18.75" x14ac:dyDescent="0.3">
      <c r="A60" s="958" t="s">
        <v>226</v>
      </c>
      <c r="B60" s="950" t="s">
        <v>806</v>
      </c>
      <c r="C60" s="959" t="s">
        <v>1461</v>
      </c>
      <c r="D60" s="960" t="s">
        <v>307</v>
      </c>
      <c r="E60" s="951">
        <v>35000</v>
      </c>
      <c r="F60" s="952">
        <v>0</v>
      </c>
      <c r="G60" s="953">
        <v>35000</v>
      </c>
      <c r="H60" s="953">
        <v>1004.5</v>
      </c>
      <c r="I60" s="1191">
        <v>0</v>
      </c>
      <c r="J60" s="951">
        <v>1064</v>
      </c>
      <c r="K60" s="951">
        <v>25</v>
      </c>
      <c r="L60" s="951">
        <f>+H60+I60+J60+K60</f>
        <v>2093.5</v>
      </c>
      <c r="M60" s="953">
        <f>+G60-L60</f>
        <v>32906.5</v>
      </c>
    </row>
    <row r="61" spans="1:13" ht="18.75" x14ac:dyDescent="0.3">
      <c r="A61" s="1230" t="s">
        <v>749</v>
      </c>
      <c r="B61" s="1231"/>
      <c r="C61" s="1232">
        <v>2</v>
      </c>
      <c r="D61" s="1232"/>
      <c r="E61" s="1233">
        <f>SUM(E59:E60)</f>
        <v>78500</v>
      </c>
      <c r="F61" s="964">
        <v>0</v>
      </c>
      <c r="G61" s="1233">
        <f t="shared" ref="G61:M61" si="9">SUM(G59:G60)</f>
        <v>78500</v>
      </c>
      <c r="H61" s="1233">
        <f t="shared" si="9"/>
        <v>2252.9499999999998</v>
      </c>
      <c r="I61" s="1233">
        <f t="shared" si="9"/>
        <v>936.62</v>
      </c>
      <c r="J61" s="1233">
        <f t="shared" si="9"/>
        <v>2386.4</v>
      </c>
      <c r="K61" s="1233">
        <f t="shared" si="9"/>
        <v>1321.7</v>
      </c>
      <c r="L61" s="1233">
        <f t="shared" si="9"/>
        <v>6897.67</v>
      </c>
      <c r="M61" s="1233">
        <f t="shared" si="9"/>
        <v>71602.33</v>
      </c>
    </row>
    <row r="62" spans="1:13" ht="23.25" customHeight="1" x14ac:dyDescent="0.25">
      <c r="A62" s="153"/>
      <c r="B62" s="153"/>
      <c r="C62" s="153"/>
      <c r="D62" s="153"/>
      <c r="E62" s="153"/>
      <c r="F62" s="153"/>
      <c r="G62" s="153"/>
      <c r="H62" s="153"/>
      <c r="I62" s="1234"/>
      <c r="J62" s="153"/>
      <c r="K62" s="153"/>
      <c r="L62" s="153"/>
      <c r="M62" s="153"/>
    </row>
    <row r="63" spans="1:13" ht="18.75" x14ac:dyDescent="0.3">
      <c r="A63" s="1235" t="s">
        <v>1145</v>
      </c>
      <c r="B63" s="1236"/>
      <c r="C63" s="1237"/>
      <c r="D63" s="1237"/>
      <c r="E63" s="1238"/>
      <c r="F63" s="1239"/>
      <c r="G63" s="1240"/>
      <c r="H63" s="1240"/>
      <c r="I63" s="1241"/>
      <c r="J63" s="1238"/>
      <c r="K63" s="1238"/>
      <c r="L63" s="1238"/>
      <c r="M63" s="1240"/>
    </row>
    <row r="64" spans="1:13" s="259" customFormat="1" ht="18.75" x14ac:dyDescent="0.3">
      <c r="A64" s="1258" t="s">
        <v>1143</v>
      </c>
      <c r="B64" s="1256" t="s">
        <v>807</v>
      </c>
      <c r="C64" s="1257" t="s">
        <v>276</v>
      </c>
      <c r="D64" s="1257" t="s">
        <v>307</v>
      </c>
      <c r="E64" s="954">
        <v>43500</v>
      </c>
      <c r="F64" s="1191">
        <v>0</v>
      </c>
      <c r="G64" s="954">
        <v>43500</v>
      </c>
      <c r="H64" s="954">
        <v>1248.45</v>
      </c>
      <c r="I64" s="1191">
        <v>936.62</v>
      </c>
      <c r="J64" s="954">
        <v>1322.4</v>
      </c>
      <c r="K64" s="954">
        <v>25</v>
      </c>
      <c r="L64" s="954">
        <f>+H64+I64+J64+K64</f>
        <v>3532.4700000000003</v>
      </c>
      <c r="M64" s="954">
        <f>+G64-L64</f>
        <v>39967.53</v>
      </c>
    </row>
    <row r="65" spans="1:13" ht="18.75" x14ac:dyDescent="0.3">
      <c r="A65" s="955" t="s">
        <v>346</v>
      </c>
      <c r="B65" s="950" t="s">
        <v>806</v>
      </c>
      <c r="C65" s="960" t="s">
        <v>309</v>
      </c>
      <c r="D65" s="960" t="s">
        <v>307</v>
      </c>
      <c r="E65" s="951">
        <v>37500</v>
      </c>
      <c r="F65" s="974">
        <v>0</v>
      </c>
      <c r="G65" s="951">
        <v>37500</v>
      </c>
      <c r="H65" s="951">
        <v>1076.25</v>
      </c>
      <c r="I65" s="1191">
        <v>89.81</v>
      </c>
      <c r="J65" s="951">
        <v>1140</v>
      </c>
      <c r="K65" s="951">
        <v>525</v>
      </c>
      <c r="L65" s="951">
        <f>+H65+I65+J65+K65</f>
        <v>2831.06</v>
      </c>
      <c r="M65" s="951">
        <f t="shared" ref="M65:M66" si="10">+G65-L65</f>
        <v>34668.94</v>
      </c>
    </row>
    <row r="66" spans="1:13" ht="18.75" x14ac:dyDescent="0.3">
      <c r="A66" s="955" t="s">
        <v>1658</v>
      </c>
      <c r="B66" s="950" t="s">
        <v>806</v>
      </c>
      <c r="C66" s="960" t="s">
        <v>309</v>
      </c>
      <c r="D66" s="960" t="s">
        <v>307</v>
      </c>
      <c r="E66" s="951">
        <v>37500</v>
      </c>
      <c r="F66" s="974">
        <v>0</v>
      </c>
      <c r="G66" s="951">
        <v>37500</v>
      </c>
      <c r="H66" s="951">
        <v>1076.25</v>
      </c>
      <c r="I66" s="1191">
        <v>89.81</v>
      </c>
      <c r="J66" s="951">
        <v>1140</v>
      </c>
      <c r="K66" s="951">
        <v>454.5</v>
      </c>
      <c r="L66" s="951">
        <v>2760.56</v>
      </c>
      <c r="M66" s="951">
        <f t="shared" si="10"/>
        <v>34739.440000000002</v>
      </c>
    </row>
    <row r="67" spans="1:13" ht="18.75" x14ac:dyDescent="0.3">
      <c r="A67" s="961" t="s">
        <v>749</v>
      </c>
      <c r="B67" s="950"/>
      <c r="C67" s="962">
        <v>3</v>
      </c>
      <c r="D67" s="962"/>
      <c r="E67" s="963">
        <f>SUM(E64:E66)</f>
        <v>118500</v>
      </c>
      <c r="F67" s="1071">
        <v>0</v>
      </c>
      <c r="G67" s="963">
        <f t="shared" ref="G67:M67" si="11">SUM(G64:G66)</f>
        <v>118500</v>
      </c>
      <c r="H67" s="963">
        <f t="shared" si="11"/>
        <v>3400.95</v>
      </c>
      <c r="I67" s="963">
        <f t="shared" si="11"/>
        <v>1116.24</v>
      </c>
      <c r="J67" s="963">
        <f t="shared" si="11"/>
        <v>3602.4</v>
      </c>
      <c r="K67" s="963">
        <f t="shared" si="11"/>
        <v>1004.5</v>
      </c>
      <c r="L67" s="963">
        <f t="shared" si="11"/>
        <v>9124.09</v>
      </c>
      <c r="M67" s="963">
        <f t="shared" si="11"/>
        <v>109375.91</v>
      </c>
    </row>
    <row r="68" spans="1:13" ht="18.75" x14ac:dyDescent="0.3">
      <c r="A68" s="961"/>
      <c r="B68" s="950"/>
      <c r="C68" s="967"/>
      <c r="D68" s="967"/>
      <c r="E68" s="963"/>
      <c r="F68" s="964"/>
      <c r="G68" s="965"/>
      <c r="H68" s="965"/>
      <c r="I68" s="966"/>
      <c r="J68" s="1071"/>
      <c r="K68" s="963"/>
      <c r="L68" s="963"/>
      <c r="M68" s="965"/>
    </row>
    <row r="69" spans="1:13" ht="18.75" x14ac:dyDescent="0.3">
      <c r="A69" s="961" t="s">
        <v>1135</v>
      </c>
      <c r="B69" s="950"/>
      <c r="C69" s="967"/>
      <c r="D69" s="967"/>
      <c r="E69" s="963"/>
      <c r="F69" s="964"/>
      <c r="G69" s="965"/>
      <c r="H69" s="965"/>
      <c r="I69" s="966"/>
      <c r="J69" s="963"/>
      <c r="K69" s="963"/>
      <c r="L69" s="963"/>
      <c r="M69" s="965"/>
    </row>
    <row r="70" spans="1:13" ht="18.75" x14ac:dyDescent="0.3">
      <c r="A70" s="955" t="s">
        <v>545</v>
      </c>
      <c r="B70" s="950" t="s">
        <v>806</v>
      </c>
      <c r="C70" s="960" t="s">
        <v>1139</v>
      </c>
      <c r="D70" s="960" t="s">
        <v>307</v>
      </c>
      <c r="E70" s="951">
        <v>43500</v>
      </c>
      <c r="F70" s="952">
        <v>0</v>
      </c>
      <c r="G70" s="953">
        <v>43500</v>
      </c>
      <c r="H70" s="953">
        <v>1248.45</v>
      </c>
      <c r="I70" s="954">
        <v>936.62</v>
      </c>
      <c r="J70" s="951">
        <v>1322.4</v>
      </c>
      <c r="K70" s="951">
        <v>25</v>
      </c>
      <c r="L70" s="951">
        <f t="shared" ref="L70:L81" si="12">+H70+I70+J70+K70</f>
        <v>3532.4700000000003</v>
      </c>
      <c r="M70" s="953">
        <f>+G70-L70</f>
        <v>39967.53</v>
      </c>
    </row>
    <row r="71" spans="1:13" ht="18.75" x14ac:dyDescent="0.3">
      <c r="A71" s="958" t="s">
        <v>1347</v>
      </c>
      <c r="B71" s="950" t="s">
        <v>807</v>
      </c>
      <c r="C71" s="977" t="s">
        <v>327</v>
      </c>
      <c r="D71" s="960" t="s">
        <v>321</v>
      </c>
      <c r="E71" s="951">
        <v>43500</v>
      </c>
      <c r="F71" s="952">
        <v>0</v>
      </c>
      <c r="G71" s="953">
        <v>43500</v>
      </c>
      <c r="H71" s="953">
        <v>1248.45</v>
      </c>
      <c r="I71" s="1191">
        <v>936.62</v>
      </c>
      <c r="J71" s="951">
        <v>1322.4</v>
      </c>
      <c r="K71" s="951">
        <v>25</v>
      </c>
      <c r="L71" s="951">
        <f>+H71+I71+J71+K71</f>
        <v>3532.4700000000003</v>
      </c>
      <c r="M71" s="953">
        <f>+G71-L71</f>
        <v>39967.53</v>
      </c>
    </row>
    <row r="72" spans="1:13" s="259" customFormat="1" ht="18.75" x14ac:dyDescent="0.3">
      <c r="A72" s="1255" t="s">
        <v>1659</v>
      </c>
      <c r="B72" s="1256" t="s">
        <v>806</v>
      </c>
      <c r="C72" s="1257" t="s">
        <v>1461</v>
      </c>
      <c r="D72" s="1257" t="s">
        <v>1067</v>
      </c>
      <c r="E72" s="954">
        <v>30000</v>
      </c>
      <c r="F72" s="1191">
        <v>0</v>
      </c>
      <c r="G72" s="954">
        <v>30000</v>
      </c>
      <c r="H72" s="954">
        <v>861</v>
      </c>
      <c r="I72" s="1191">
        <v>0</v>
      </c>
      <c r="J72" s="954">
        <v>912</v>
      </c>
      <c r="K72" s="954">
        <v>6341.6</v>
      </c>
      <c r="L72" s="954">
        <f t="shared" si="12"/>
        <v>8114.6</v>
      </c>
      <c r="M72" s="954">
        <f t="shared" ref="M72:M81" si="13">+G72-L72</f>
        <v>21885.4</v>
      </c>
    </row>
    <row r="73" spans="1:13" ht="18.75" x14ac:dyDescent="0.3">
      <c r="A73" s="958" t="s">
        <v>1660</v>
      </c>
      <c r="B73" s="950" t="s">
        <v>806</v>
      </c>
      <c r="C73" s="960" t="s">
        <v>1461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>+H73+I73+J73+K73</f>
        <v>1798</v>
      </c>
      <c r="M73" s="953">
        <f>+G73-L73</f>
        <v>28202</v>
      </c>
    </row>
    <row r="74" spans="1:13" ht="18.75" x14ac:dyDescent="0.3">
      <c r="A74" s="958" t="s">
        <v>99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52">
        <v>0</v>
      </c>
      <c r="G74" s="953">
        <v>30000</v>
      </c>
      <c r="H74" s="953">
        <v>861</v>
      </c>
      <c r="I74" s="1191">
        <v>0</v>
      </c>
      <c r="J74" s="951">
        <v>912</v>
      </c>
      <c r="K74" s="951">
        <v>125</v>
      </c>
      <c r="L74" s="951">
        <f>+H74+I74+J74+K74</f>
        <v>1898</v>
      </c>
      <c r="M74" s="953">
        <f>+G74-L74</f>
        <v>28102</v>
      </c>
    </row>
    <row r="75" spans="1:13" ht="18.75" x14ac:dyDescent="0.3">
      <c r="A75" s="958" t="s">
        <v>1661</v>
      </c>
      <c r="B75" s="950" t="s">
        <v>806</v>
      </c>
      <c r="C75" s="960" t="s">
        <v>92</v>
      </c>
      <c r="D75" s="960" t="s">
        <v>1067</v>
      </c>
      <c r="E75" s="951">
        <v>30000</v>
      </c>
      <c r="F75" s="952">
        <v>0</v>
      </c>
      <c r="G75" s="953">
        <v>30000</v>
      </c>
      <c r="H75" s="953">
        <v>861</v>
      </c>
      <c r="I75" s="1191">
        <v>0</v>
      </c>
      <c r="J75" s="951">
        <v>912</v>
      </c>
      <c r="K75" s="951">
        <v>25</v>
      </c>
      <c r="L75" s="951">
        <f t="shared" si="12"/>
        <v>1798</v>
      </c>
      <c r="M75" s="953">
        <f t="shared" si="13"/>
        <v>28202</v>
      </c>
    </row>
    <row r="76" spans="1:13" ht="18.75" x14ac:dyDescent="0.3">
      <c r="A76" s="955" t="s">
        <v>1662</v>
      </c>
      <c r="B76" s="950" t="s">
        <v>806</v>
      </c>
      <c r="C76" s="960" t="s">
        <v>92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1191">
        <v>0</v>
      </c>
      <c r="J76" s="951">
        <v>912</v>
      </c>
      <c r="K76" s="951">
        <v>25</v>
      </c>
      <c r="L76" s="951">
        <f t="shared" si="12"/>
        <v>1798</v>
      </c>
      <c r="M76" s="953">
        <f t="shared" si="13"/>
        <v>28202</v>
      </c>
    </row>
    <row r="77" spans="1:13" ht="18.75" x14ac:dyDescent="0.3">
      <c r="A77" s="958" t="s">
        <v>1663</v>
      </c>
      <c r="B77" s="950" t="s">
        <v>806</v>
      </c>
      <c r="C77" s="960" t="s">
        <v>92</v>
      </c>
      <c r="D77" s="960" t="s">
        <v>1067</v>
      </c>
      <c r="E77" s="951">
        <v>30000</v>
      </c>
      <c r="F77" s="974">
        <v>0</v>
      </c>
      <c r="G77" s="951">
        <v>30000</v>
      </c>
      <c r="H77" s="953">
        <v>861</v>
      </c>
      <c r="I77" s="1191">
        <v>0</v>
      </c>
      <c r="J77" s="951">
        <v>912</v>
      </c>
      <c r="K77" s="951">
        <v>2568.4</v>
      </c>
      <c r="L77" s="951">
        <f t="shared" si="12"/>
        <v>4341.3999999999996</v>
      </c>
      <c r="M77" s="953">
        <f t="shared" si="13"/>
        <v>25658.6</v>
      </c>
    </row>
    <row r="78" spans="1:13" ht="18.75" x14ac:dyDescent="0.3">
      <c r="A78" s="958" t="s">
        <v>1146</v>
      </c>
      <c r="B78" s="950" t="s">
        <v>806</v>
      </c>
      <c r="C78" s="960" t="s">
        <v>92</v>
      </c>
      <c r="D78" s="960" t="s">
        <v>1067</v>
      </c>
      <c r="E78" s="951">
        <v>30000</v>
      </c>
      <c r="F78" s="974">
        <v>0</v>
      </c>
      <c r="G78" s="951">
        <v>30000</v>
      </c>
      <c r="H78" s="953">
        <v>861</v>
      </c>
      <c r="I78" s="1191">
        <v>0</v>
      </c>
      <c r="J78" s="951">
        <v>912</v>
      </c>
      <c r="K78" s="951">
        <v>25</v>
      </c>
      <c r="L78" s="951">
        <f t="shared" si="12"/>
        <v>1798</v>
      </c>
      <c r="M78" s="953">
        <f t="shared" si="13"/>
        <v>28202</v>
      </c>
    </row>
    <row r="79" spans="1:13" ht="18.75" x14ac:dyDescent="0.3">
      <c r="A79" s="958" t="s">
        <v>1317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3">
        <v>861</v>
      </c>
      <c r="I79" s="1191">
        <v>0</v>
      </c>
      <c r="J79" s="951">
        <v>912</v>
      </c>
      <c r="K79" s="951">
        <v>25</v>
      </c>
      <c r="L79" s="951">
        <f t="shared" si="12"/>
        <v>1798</v>
      </c>
      <c r="M79" s="953">
        <f t="shared" si="13"/>
        <v>28202</v>
      </c>
    </row>
    <row r="80" spans="1:13" ht="18.75" x14ac:dyDescent="0.3">
      <c r="A80" s="955" t="s">
        <v>1664</v>
      </c>
      <c r="B80" s="968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1191">
        <v>0</v>
      </c>
      <c r="J80" s="951">
        <v>912</v>
      </c>
      <c r="K80" s="951">
        <v>1740.46</v>
      </c>
      <c r="L80" s="951">
        <f t="shared" si="12"/>
        <v>3513.46</v>
      </c>
      <c r="M80" s="953">
        <f t="shared" si="13"/>
        <v>26486.54</v>
      </c>
    </row>
    <row r="81" spans="1:13" ht="18.75" x14ac:dyDescent="0.3">
      <c r="A81" s="958" t="s">
        <v>1439</v>
      </c>
      <c r="B81" s="950" t="s">
        <v>806</v>
      </c>
      <c r="C81" s="960" t="s">
        <v>268</v>
      </c>
      <c r="D81" s="960" t="s">
        <v>1067</v>
      </c>
      <c r="E81" s="951">
        <v>30000</v>
      </c>
      <c r="F81" s="974">
        <v>0</v>
      </c>
      <c r="G81" s="951">
        <v>30000</v>
      </c>
      <c r="H81" s="953">
        <v>861</v>
      </c>
      <c r="I81" s="1191">
        <v>0</v>
      </c>
      <c r="J81" s="951">
        <v>912</v>
      </c>
      <c r="K81" s="951">
        <v>25</v>
      </c>
      <c r="L81" s="951">
        <f t="shared" si="12"/>
        <v>1798</v>
      </c>
      <c r="M81" s="953">
        <f t="shared" si="13"/>
        <v>28202</v>
      </c>
    </row>
    <row r="82" spans="1:13" ht="18.75" x14ac:dyDescent="0.3">
      <c r="A82" s="958" t="s">
        <v>1747</v>
      </c>
      <c r="B82" s="950" t="s">
        <v>806</v>
      </c>
      <c r="C82" s="960" t="s">
        <v>268</v>
      </c>
      <c r="D82" s="960" t="s">
        <v>1067</v>
      </c>
      <c r="E82" s="951">
        <v>30000</v>
      </c>
      <c r="F82" s="974">
        <v>0</v>
      </c>
      <c r="G82" s="951">
        <v>30000</v>
      </c>
      <c r="H82" s="953">
        <v>861</v>
      </c>
      <c r="I82" s="1191">
        <v>0</v>
      </c>
      <c r="J82" s="951">
        <v>912</v>
      </c>
      <c r="K82" s="951">
        <v>25</v>
      </c>
      <c r="L82" s="951">
        <f t="shared" ref="L82" si="14">+H82+I82+J82+K82</f>
        <v>1798</v>
      </c>
      <c r="M82" s="953">
        <f t="shared" ref="M82" si="15">+G82-L82</f>
        <v>28202</v>
      </c>
    </row>
    <row r="83" spans="1:13" ht="18.75" x14ac:dyDescent="0.3">
      <c r="A83" s="961" t="s">
        <v>755</v>
      </c>
      <c r="B83" s="950"/>
      <c r="C83" s="962">
        <v>13</v>
      </c>
      <c r="D83" s="962"/>
      <c r="E83" s="963">
        <f>SUM(E70:E82)</f>
        <v>417000</v>
      </c>
      <c r="F83" s="1071">
        <v>0</v>
      </c>
      <c r="G83" s="963">
        <f t="shared" ref="G83:M83" si="16">SUM(G70:G82)</f>
        <v>417000</v>
      </c>
      <c r="H83" s="963">
        <f t="shared" si="16"/>
        <v>11967.9</v>
      </c>
      <c r="I83" s="963">
        <f t="shared" si="16"/>
        <v>1873.24</v>
      </c>
      <c r="J83" s="963">
        <f t="shared" si="16"/>
        <v>12676.8</v>
      </c>
      <c r="K83" s="963">
        <f>SUM(K70:K82)</f>
        <v>11000.46</v>
      </c>
      <c r="L83" s="963">
        <f t="shared" si="16"/>
        <v>37518.400000000001</v>
      </c>
      <c r="M83" s="963">
        <f t="shared" si="16"/>
        <v>379481.59999999998</v>
      </c>
    </row>
    <row r="84" spans="1:13" ht="18.75" x14ac:dyDescent="0.3">
      <c r="A84" s="958"/>
      <c r="B84" s="950"/>
      <c r="C84" s="960"/>
      <c r="D84" s="960"/>
      <c r="E84" s="951"/>
      <c r="F84" s="952"/>
      <c r="G84" s="953"/>
      <c r="H84" s="953"/>
      <c r="I84" s="954"/>
      <c r="J84" s="951"/>
      <c r="K84" s="951"/>
      <c r="L84" s="951"/>
      <c r="M84" s="953"/>
    </row>
    <row r="85" spans="1:13" ht="18.75" x14ac:dyDescent="0.3">
      <c r="A85" s="975" t="s">
        <v>1665</v>
      </c>
      <c r="B85" s="950"/>
      <c r="C85" s="967"/>
      <c r="D85" s="967"/>
      <c r="E85" s="963"/>
      <c r="F85" s="964"/>
      <c r="G85" s="965"/>
      <c r="H85" s="965"/>
      <c r="I85" s="966"/>
      <c r="J85" s="963"/>
      <c r="K85" s="963"/>
      <c r="L85" s="963"/>
      <c r="M85" s="965"/>
    </row>
    <row r="86" spans="1:13" ht="18.75" x14ac:dyDescent="0.3">
      <c r="A86" s="955" t="s">
        <v>1666</v>
      </c>
      <c r="B86" s="950" t="s">
        <v>807</v>
      </c>
      <c r="C86" s="960" t="s">
        <v>662</v>
      </c>
      <c r="D86" s="960" t="s">
        <v>307</v>
      </c>
      <c r="E86" s="951">
        <v>43500</v>
      </c>
      <c r="F86" s="952">
        <v>0</v>
      </c>
      <c r="G86" s="953">
        <v>43500</v>
      </c>
      <c r="H86" s="953">
        <v>1248.45</v>
      </c>
      <c r="I86" s="1191">
        <v>936.62</v>
      </c>
      <c r="J86" s="951">
        <v>1322.4</v>
      </c>
      <c r="K86" s="951">
        <v>1025</v>
      </c>
      <c r="L86" s="951">
        <f t="shared" ref="L86:L94" si="17">+H86+I86+J86+K86</f>
        <v>4532.47</v>
      </c>
      <c r="M86" s="953">
        <f>+G86-L86</f>
        <v>38967.53</v>
      </c>
    </row>
    <row r="87" spans="1:13" ht="18.75" x14ac:dyDescent="0.3">
      <c r="A87" s="955" t="s">
        <v>760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52">
        <v>0</v>
      </c>
      <c r="G87" s="953">
        <v>25000</v>
      </c>
      <c r="H87" s="953">
        <v>717.5</v>
      </c>
      <c r="I87" s="1191">
        <v>0</v>
      </c>
      <c r="J87" s="951">
        <v>760</v>
      </c>
      <c r="K87" s="951">
        <v>125</v>
      </c>
      <c r="L87" s="951">
        <f t="shared" si="17"/>
        <v>1602.5</v>
      </c>
      <c r="M87" s="953">
        <f t="shared" ref="M87:M97" si="18">+G87-L87</f>
        <v>23397.5</v>
      </c>
    </row>
    <row r="88" spans="1:13" ht="18.75" x14ac:dyDescent="0.3">
      <c r="A88" s="955" t="s">
        <v>860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1191">
        <v>0</v>
      </c>
      <c r="J88" s="951">
        <v>760</v>
      </c>
      <c r="K88" s="951">
        <v>728</v>
      </c>
      <c r="L88" s="951">
        <f t="shared" si="17"/>
        <v>2205.5</v>
      </c>
      <c r="M88" s="953">
        <f t="shared" si="18"/>
        <v>22794.5</v>
      </c>
    </row>
    <row r="89" spans="1:13" ht="18.75" x14ac:dyDescent="0.3">
      <c r="A89" s="955" t="s">
        <v>1667</v>
      </c>
      <c r="B89" s="950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1191">
        <v>0</v>
      </c>
      <c r="J89" s="951">
        <v>760</v>
      </c>
      <c r="K89" s="951">
        <v>1296.7</v>
      </c>
      <c r="L89" s="951">
        <f t="shared" si="17"/>
        <v>2774.2</v>
      </c>
      <c r="M89" s="953">
        <f t="shared" si="18"/>
        <v>22225.8</v>
      </c>
    </row>
    <row r="90" spans="1:13" ht="21" customHeight="1" x14ac:dyDescent="0.3">
      <c r="A90" s="955" t="s">
        <v>1668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1191">
        <v>0</v>
      </c>
      <c r="J90" s="951">
        <v>760</v>
      </c>
      <c r="K90" s="951">
        <v>25</v>
      </c>
      <c r="L90" s="951">
        <f t="shared" si="17"/>
        <v>1502.5</v>
      </c>
      <c r="M90" s="953">
        <f t="shared" si="18"/>
        <v>23497.5</v>
      </c>
    </row>
    <row r="91" spans="1:13" ht="18.75" x14ac:dyDescent="0.3">
      <c r="A91" s="955" t="s">
        <v>1669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1191">
        <v>0</v>
      </c>
      <c r="J91" s="951">
        <v>760</v>
      </c>
      <c r="K91" s="951">
        <v>25</v>
      </c>
      <c r="L91" s="951">
        <f t="shared" si="17"/>
        <v>1502.5</v>
      </c>
      <c r="M91" s="953">
        <f t="shared" si="18"/>
        <v>23497.5</v>
      </c>
    </row>
    <row r="92" spans="1:13" ht="18.75" x14ac:dyDescent="0.3">
      <c r="A92" s="955" t="s">
        <v>1670</v>
      </c>
      <c r="B92" s="968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1191">
        <v>0</v>
      </c>
      <c r="J92" s="951">
        <v>760</v>
      </c>
      <c r="K92" s="951">
        <v>25</v>
      </c>
      <c r="L92" s="951">
        <f t="shared" si="17"/>
        <v>1502.5</v>
      </c>
      <c r="M92" s="953">
        <f t="shared" si="18"/>
        <v>23497.5</v>
      </c>
    </row>
    <row r="93" spans="1:13" ht="18.75" x14ac:dyDescent="0.3">
      <c r="A93" s="955" t="s">
        <v>1671</v>
      </c>
      <c r="B93" s="968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1191">
        <v>0</v>
      </c>
      <c r="J93" s="951">
        <v>760</v>
      </c>
      <c r="K93" s="951">
        <v>25</v>
      </c>
      <c r="L93" s="951">
        <f t="shared" si="17"/>
        <v>1502.5</v>
      </c>
      <c r="M93" s="953">
        <f t="shared" si="18"/>
        <v>23497.5</v>
      </c>
    </row>
    <row r="94" spans="1:13" ht="18.75" x14ac:dyDescent="0.3">
      <c r="A94" s="955" t="s">
        <v>1672</v>
      </c>
      <c r="B94" s="950" t="s">
        <v>807</v>
      </c>
      <c r="C94" s="960" t="s">
        <v>105</v>
      </c>
      <c r="D94" s="960" t="s">
        <v>1067</v>
      </c>
      <c r="E94" s="951">
        <v>25000</v>
      </c>
      <c r="F94" s="974">
        <v>0</v>
      </c>
      <c r="G94" s="951">
        <v>25000</v>
      </c>
      <c r="H94" s="951">
        <v>717.5</v>
      </c>
      <c r="I94" s="1191">
        <v>0</v>
      </c>
      <c r="J94" s="951">
        <v>760</v>
      </c>
      <c r="K94" s="951">
        <v>25</v>
      </c>
      <c r="L94" s="951">
        <f t="shared" si="17"/>
        <v>1502.5</v>
      </c>
      <c r="M94" s="953">
        <f t="shared" si="18"/>
        <v>23497.5</v>
      </c>
    </row>
    <row r="95" spans="1:13" ht="19.5" customHeight="1" x14ac:dyDescent="0.3">
      <c r="A95" s="955" t="s">
        <v>1075</v>
      </c>
      <c r="B95" s="950" t="s">
        <v>807</v>
      </c>
      <c r="C95" s="960" t="s">
        <v>105</v>
      </c>
      <c r="D95" s="960" t="s">
        <v>1067</v>
      </c>
      <c r="E95" s="951">
        <v>25000</v>
      </c>
      <c r="F95" s="974">
        <v>0</v>
      </c>
      <c r="G95" s="951">
        <v>25000</v>
      </c>
      <c r="H95" s="951">
        <v>717.5</v>
      </c>
      <c r="I95" s="1191">
        <v>0</v>
      </c>
      <c r="J95" s="951">
        <v>760</v>
      </c>
      <c r="K95" s="951">
        <v>4353.66</v>
      </c>
      <c r="L95" s="951">
        <f>+H95+I95+J95+K95</f>
        <v>5831.16</v>
      </c>
      <c r="M95" s="953">
        <f t="shared" si="18"/>
        <v>19168.84</v>
      </c>
    </row>
    <row r="96" spans="1:13" ht="18.75" x14ac:dyDescent="0.3">
      <c r="A96" s="955" t="s">
        <v>119</v>
      </c>
      <c r="B96" s="968" t="s">
        <v>806</v>
      </c>
      <c r="C96" s="960" t="s">
        <v>912</v>
      </c>
      <c r="D96" s="960" t="s">
        <v>1067</v>
      </c>
      <c r="E96" s="951">
        <v>35000</v>
      </c>
      <c r="F96" s="974">
        <v>0</v>
      </c>
      <c r="G96" s="951">
        <v>35000</v>
      </c>
      <c r="H96" s="951">
        <v>1004.5</v>
      </c>
      <c r="I96" s="1191">
        <v>0</v>
      </c>
      <c r="J96" s="951">
        <v>1064</v>
      </c>
      <c r="K96" s="951">
        <v>9217.7800000000007</v>
      </c>
      <c r="L96" s="951">
        <f t="shared" ref="L96" si="19">+H96+I96+J96+K96</f>
        <v>11286.28</v>
      </c>
      <c r="M96" s="951">
        <f t="shared" si="18"/>
        <v>23713.72</v>
      </c>
    </row>
    <row r="97" spans="1:13" ht="18.75" x14ac:dyDescent="0.3">
      <c r="A97" s="955" t="s">
        <v>1335</v>
      </c>
      <c r="B97" s="950" t="s">
        <v>806</v>
      </c>
      <c r="C97" s="960" t="s">
        <v>912</v>
      </c>
      <c r="D97" s="960" t="s">
        <v>1067</v>
      </c>
      <c r="E97" s="951">
        <v>35000</v>
      </c>
      <c r="F97" s="974">
        <v>0</v>
      </c>
      <c r="G97" s="951">
        <v>35000</v>
      </c>
      <c r="H97" s="951">
        <v>1004.5</v>
      </c>
      <c r="I97" s="1191">
        <v>0</v>
      </c>
      <c r="J97" s="951">
        <v>1064</v>
      </c>
      <c r="K97" s="951">
        <v>25</v>
      </c>
      <c r="L97" s="951">
        <f>+H97+I97+J97+K97</f>
        <v>2093.5</v>
      </c>
      <c r="M97" s="951">
        <f t="shared" si="18"/>
        <v>32906.5</v>
      </c>
    </row>
    <row r="98" spans="1:13" ht="18.75" x14ac:dyDescent="0.3">
      <c r="A98" s="961" t="s">
        <v>763</v>
      </c>
      <c r="B98" s="950"/>
      <c r="C98" s="962">
        <v>12</v>
      </c>
      <c r="D98" s="962"/>
      <c r="E98" s="963">
        <f>SUM(E86:E97)</f>
        <v>338500</v>
      </c>
      <c r="F98" s="1071">
        <v>0</v>
      </c>
      <c r="G98" s="963">
        <f>SUM(G86:G97)</f>
        <v>338500</v>
      </c>
      <c r="H98" s="966">
        <f t="shared" ref="H98:L98" si="20">SUM(H86:H97)</f>
        <v>9714.9500000000007</v>
      </c>
      <c r="I98" s="966">
        <f t="shared" si="20"/>
        <v>936.62</v>
      </c>
      <c r="J98" s="963">
        <f t="shared" si="20"/>
        <v>10290.4</v>
      </c>
      <c r="K98" s="963">
        <f>SUM(K86:K97)</f>
        <v>16896.14</v>
      </c>
      <c r="L98" s="963">
        <f t="shared" si="20"/>
        <v>37838.11</v>
      </c>
      <c r="M98" s="963">
        <f>SUM(M86:M97)</f>
        <v>300661.89</v>
      </c>
    </row>
    <row r="99" spans="1:13" ht="18.75" x14ac:dyDescent="0.3">
      <c r="A99" s="958"/>
      <c r="B99" s="950"/>
      <c r="C99" s="967"/>
      <c r="D99" s="967"/>
      <c r="E99" s="951"/>
      <c r="F99" s="952"/>
      <c r="G99" s="953"/>
      <c r="H99" s="953"/>
      <c r="I99" s="954"/>
      <c r="J99" s="951"/>
      <c r="K99" s="951"/>
      <c r="L99" s="951"/>
      <c r="M99" s="953"/>
    </row>
    <row r="100" spans="1:13" ht="18.75" x14ac:dyDescent="0.3">
      <c r="A100" s="961" t="s">
        <v>1126</v>
      </c>
      <c r="B100" s="950"/>
      <c r="C100" s="960"/>
      <c r="D100" s="960"/>
      <c r="E100" s="951"/>
      <c r="F100" s="964"/>
      <c r="G100" s="953"/>
      <c r="H100" s="953"/>
      <c r="I100" s="954"/>
      <c r="J100" s="951"/>
      <c r="K100" s="951"/>
      <c r="L100" s="951"/>
      <c r="M100" s="953"/>
    </row>
    <row r="101" spans="1:13" ht="18.75" x14ac:dyDescent="0.3">
      <c r="A101" s="955" t="s">
        <v>1641</v>
      </c>
      <c r="B101" s="950" t="s">
        <v>807</v>
      </c>
      <c r="C101" s="960" t="s">
        <v>1673</v>
      </c>
      <c r="D101" s="960" t="s">
        <v>1069</v>
      </c>
      <c r="E101" s="951">
        <v>55000</v>
      </c>
      <c r="F101" s="952">
        <v>0</v>
      </c>
      <c r="G101" s="953">
        <v>55000</v>
      </c>
      <c r="H101" s="953">
        <v>1578.5</v>
      </c>
      <c r="I101" s="987">
        <v>2559.6799999999998</v>
      </c>
      <c r="J101" s="951">
        <v>1672</v>
      </c>
      <c r="K101" s="951">
        <v>25</v>
      </c>
      <c r="L101" s="951">
        <f>+H101+I101+J101+K101</f>
        <v>5835.18</v>
      </c>
      <c r="M101" s="953">
        <f>+G101-L101</f>
        <v>49164.82</v>
      </c>
    </row>
    <row r="102" spans="1:13" ht="18.75" x14ac:dyDescent="0.3">
      <c r="A102" s="960" t="s">
        <v>1674</v>
      </c>
      <c r="B102" s="976" t="s">
        <v>807</v>
      </c>
      <c r="C102" s="977" t="s">
        <v>166</v>
      </c>
      <c r="D102" s="977" t="s">
        <v>307</v>
      </c>
      <c r="E102" s="978">
        <v>37500</v>
      </c>
      <c r="F102" s="979">
        <v>0</v>
      </c>
      <c r="G102" s="953">
        <v>37500</v>
      </c>
      <c r="H102" s="953">
        <v>1076.25</v>
      </c>
      <c r="I102" s="1193">
        <v>0</v>
      </c>
      <c r="J102" s="951">
        <v>1140</v>
      </c>
      <c r="K102" s="951">
        <v>1740.46</v>
      </c>
      <c r="L102" s="951">
        <f>+H102+I102+J102+K102</f>
        <v>3956.71</v>
      </c>
      <c r="M102" s="953">
        <f>+G102-L102</f>
        <v>33543.29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92500</v>
      </c>
      <c r="F103" s="964">
        <f t="shared" ref="F103:I103" si="21">SUM(F101:F102)</f>
        <v>0</v>
      </c>
      <c r="G103" s="965">
        <f>SUM(G101:G102)</f>
        <v>92500</v>
      </c>
      <c r="H103" s="966">
        <f>SUM(H101:H102)</f>
        <v>2654.75</v>
      </c>
      <c r="I103" s="966">
        <f t="shared" si="21"/>
        <v>2559.6799999999998</v>
      </c>
      <c r="J103" s="963">
        <f>SUM(J101:J102)</f>
        <v>2812</v>
      </c>
      <c r="K103" s="963">
        <f>SUM(K101:K102)</f>
        <v>1765.46</v>
      </c>
      <c r="L103" s="963">
        <f>SUM(L101:L102)</f>
        <v>9791.89</v>
      </c>
      <c r="M103" s="965">
        <f>SUM(M101:M102)</f>
        <v>82708.11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3"/>
      <c r="I104" s="954"/>
      <c r="J104" s="951"/>
      <c r="K104" s="951"/>
      <c r="L104" s="951"/>
      <c r="M104" s="953"/>
    </row>
    <row r="105" spans="1:13" ht="18.75" x14ac:dyDescent="0.3">
      <c r="A105" s="961" t="s">
        <v>1127</v>
      </c>
      <c r="B105" s="950"/>
      <c r="C105" s="960"/>
      <c r="D105" s="960"/>
      <c r="E105" s="951"/>
      <c r="F105" s="952"/>
      <c r="G105" s="953"/>
      <c r="H105" s="953"/>
      <c r="I105" s="954"/>
      <c r="J105" s="951"/>
      <c r="K105" s="951"/>
      <c r="L105" s="951"/>
      <c r="M105" s="953"/>
    </row>
    <row r="106" spans="1:13" ht="18.75" x14ac:dyDescent="0.3">
      <c r="A106" s="955" t="s">
        <v>1642</v>
      </c>
      <c r="B106" s="950" t="s">
        <v>806</v>
      </c>
      <c r="C106" s="960" t="s">
        <v>1675</v>
      </c>
      <c r="D106" s="960" t="s">
        <v>1069</v>
      </c>
      <c r="E106" s="951">
        <v>55000</v>
      </c>
      <c r="F106" s="974">
        <v>0</v>
      </c>
      <c r="G106" s="951">
        <v>55000</v>
      </c>
      <c r="H106" s="951">
        <v>1578.5</v>
      </c>
      <c r="I106" s="954">
        <v>2559.6799999999998</v>
      </c>
      <c r="J106" s="951">
        <v>1672</v>
      </c>
      <c r="K106" s="951">
        <v>1296.7</v>
      </c>
      <c r="L106" s="951">
        <f>+H106+I106+J106+K106</f>
        <v>7106.88</v>
      </c>
      <c r="M106" s="953">
        <f>+G106-L106</f>
        <v>47893.120000000003</v>
      </c>
    </row>
    <row r="107" spans="1:13" ht="18.75" x14ac:dyDescent="0.3">
      <c r="A107" s="955" t="s">
        <v>1315</v>
      </c>
      <c r="B107" s="968" t="s">
        <v>806</v>
      </c>
      <c r="C107" s="960" t="s">
        <v>276</v>
      </c>
      <c r="D107" s="960" t="s">
        <v>321</v>
      </c>
      <c r="E107" s="951">
        <v>43500</v>
      </c>
      <c r="F107" s="974">
        <v>0</v>
      </c>
      <c r="G107" s="951">
        <v>43500</v>
      </c>
      <c r="H107" s="951">
        <v>1248.45</v>
      </c>
      <c r="I107" s="1191">
        <v>936.62</v>
      </c>
      <c r="J107" s="951">
        <v>1322.4</v>
      </c>
      <c r="K107" s="951">
        <v>1296.7</v>
      </c>
      <c r="L107" s="951">
        <f>+H107+I107+J107+K107</f>
        <v>4804.17</v>
      </c>
      <c r="M107" s="953">
        <f>+G107-L107</f>
        <v>38695.83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98500</v>
      </c>
      <c r="F108" s="952">
        <v>0</v>
      </c>
      <c r="G108" s="963">
        <f t="shared" ref="G108:M108" si="22">SUM(G106:G107)</f>
        <v>98500</v>
      </c>
      <c r="H108" s="966">
        <f t="shared" si="22"/>
        <v>2826.95</v>
      </c>
      <c r="I108" s="966">
        <f t="shared" si="22"/>
        <v>3496.2999999999997</v>
      </c>
      <c r="J108" s="963">
        <f t="shared" si="22"/>
        <v>2994.4</v>
      </c>
      <c r="K108" s="963">
        <f t="shared" si="22"/>
        <v>2593.4</v>
      </c>
      <c r="L108" s="963">
        <f t="shared" si="22"/>
        <v>11911.05</v>
      </c>
      <c r="M108" s="963">
        <f t="shared" si="22"/>
        <v>86588.950000000012</v>
      </c>
    </row>
    <row r="109" spans="1:13" ht="18.75" x14ac:dyDescent="0.3">
      <c r="A109" s="958"/>
      <c r="B109" s="950"/>
      <c r="C109" s="960"/>
      <c r="D109" s="960"/>
      <c r="E109" s="951"/>
      <c r="F109" s="952"/>
      <c r="G109" s="953"/>
      <c r="H109" s="953"/>
      <c r="I109" s="954"/>
      <c r="J109" s="951"/>
      <c r="K109" s="951"/>
      <c r="L109" s="951"/>
      <c r="M109" s="953"/>
    </row>
    <row r="110" spans="1:13" ht="18.75" x14ac:dyDescent="0.3">
      <c r="A110" s="961" t="s">
        <v>839</v>
      </c>
      <c r="B110" s="950"/>
      <c r="C110" s="967"/>
      <c r="D110" s="967"/>
      <c r="E110" s="963"/>
      <c r="F110" s="964"/>
      <c r="G110" s="965"/>
      <c r="H110" s="965"/>
      <c r="I110" s="966"/>
      <c r="J110" s="963"/>
      <c r="K110" s="963"/>
      <c r="L110" s="963"/>
      <c r="M110" s="965"/>
    </row>
    <row r="111" spans="1:13" ht="18.75" x14ac:dyDescent="0.3">
      <c r="A111" s="955" t="s">
        <v>1676</v>
      </c>
      <c r="B111" s="968" t="s">
        <v>807</v>
      </c>
      <c r="C111" s="960" t="s">
        <v>604</v>
      </c>
      <c r="D111" s="960" t="s">
        <v>1069</v>
      </c>
      <c r="E111" s="951">
        <v>70000</v>
      </c>
      <c r="F111" s="974">
        <v>0</v>
      </c>
      <c r="G111" s="951">
        <v>70000</v>
      </c>
      <c r="H111" s="951">
        <v>2009</v>
      </c>
      <c r="I111" s="951">
        <v>5368.48</v>
      </c>
      <c r="J111" s="951">
        <v>2128</v>
      </c>
      <c r="K111" s="951">
        <v>25</v>
      </c>
      <c r="L111" s="951">
        <f>+H111+I111+J111+K111</f>
        <v>9530.48</v>
      </c>
      <c r="M111" s="951">
        <f>+G111-L111</f>
        <v>60469.520000000004</v>
      </c>
    </row>
    <row r="112" spans="1:13" ht="18.75" x14ac:dyDescent="0.3">
      <c r="A112" s="955" t="s">
        <v>124</v>
      </c>
      <c r="B112" s="968" t="s">
        <v>807</v>
      </c>
      <c r="C112" s="960" t="s">
        <v>604</v>
      </c>
      <c r="D112" s="960" t="s">
        <v>1069</v>
      </c>
      <c r="E112" s="951">
        <v>70000</v>
      </c>
      <c r="F112" s="974">
        <v>0</v>
      </c>
      <c r="G112" s="951">
        <v>70000</v>
      </c>
      <c r="H112" s="951">
        <v>2009</v>
      </c>
      <c r="I112" s="951">
        <v>4682.29</v>
      </c>
      <c r="J112" s="951">
        <v>2128</v>
      </c>
      <c r="K112" s="951">
        <v>3555.92</v>
      </c>
      <c r="L112" s="951">
        <v>12375.21</v>
      </c>
      <c r="M112" s="951">
        <v>57624.79</v>
      </c>
    </row>
    <row r="113" spans="1:13" ht="18.75" x14ac:dyDescent="0.3">
      <c r="A113" s="961" t="s">
        <v>749</v>
      </c>
      <c r="B113" s="950"/>
      <c r="C113" s="962">
        <v>2</v>
      </c>
      <c r="D113" s="962"/>
      <c r="E113" s="963">
        <f>SUM(E111:E112)</f>
        <v>140000</v>
      </c>
      <c r="F113" s="1071">
        <v>0</v>
      </c>
      <c r="G113" s="963">
        <f t="shared" ref="G113:K113" si="23">SUM(G111:G112)</f>
        <v>140000</v>
      </c>
      <c r="H113" s="963">
        <f t="shared" si="23"/>
        <v>4018</v>
      </c>
      <c r="I113" s="963">
        <f>SUM(I111:I112)</f>
        <v>10050.77</v>
      </c>
      <c r="J113" s="963">
        <f t="shared" si="23"/>
        <v>4256</v>
      </c>
      <c r="K113" s="963">
        <f t="shared" si="23"/>
        <v>3580.92</v>
      </c>
      <c r="L113" s="963">
        <f>SUM(L111:L112)</f>
        <v>21905.69</v>
      </c>
      <c r="M113" s="963">
        <f>SUM(M111:M112)</f>
        <v>118094.31</v>
      </c>
    </row>
    <row r="114" spans="1:13" ht="18.75" x14ac:dyDescent="0.3">
      <c r="A114" s="961"/>
      <c r="B114" s="950"/>
      <c r="C114" s="962"/>
      <c r="D114" s="962"/>
      <c r="E114" s="963"/>
      <c r="F114" s="964"/>
      <c r="G114" s="965"/>
      <c r="H114" s="965"/>
      <c r="I114" s="966"/>
      <c r="J114" s="963"/>
      <c r="K114" s="963"/>
      <c r="L114" s="963"/>
      <c r="M114" s="965"/>
    </row>
    <row r="115" spans="1:13" ht="20.25" customHeight="1" x14ac:dyDescent="0.3">
      <c r="A115" s="981" t="s">
        <v>1167</v>
      </c>
      <c r="B115" s="950"/>
      <c r="C115" s="962"/>
      <c r="D115" s="962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s="259" customFormat="1" ht="18.75" x14ac:dyDescent="0.3">
      <c r="A116" s="1258" t="s">
        <v>1168</v>
      </c>
      <c r="B116" s="1256" t="s">
        <v>807</v>
      </c>
      <c r="C116" s="1257" t="s">
        <v>1564</v>
      </c>
      <c r="D116" s="1257" t="s">
        <v>1069</v>
      </c>
      <c r="E116" s="954">
        <v>80000</v>
      </c>
      <c r="F116" s="1191">
        <v>0</v>
      </c>
      <c r="G116" s="954">
        <v>80000</v>
      </c>
      <c r="H116" s="954">
        <v>2296</v>
      </c>
      <c r="I116" s="954">
        <v>7400.87</v>
      </c>
      <c r="J116" s="954">
        <v>2432</v>
      </c>
      <c r="K116" s="954">
        <v>2134</v>
      </c>
      <c r="L116" s="954">
        <f>SUM(H116:K116)</f>
        <v>14262.869999999999</v>
      </c>
      <c r="M116" s="954">
        <f>+E116-L116</f>
        <v>65737.13</v>
      </c>
    </row>
    <row r="117" spans="1:13" ht="18.75" x14ac:dyDescent="0.3">
      <c r="A117" s="955" t="s">
        <v>1053</v>
      </c>
      <c r="B117" s="950" t="s">
        <v>807</v>
      </c>
      <c r="C117" s="960" t="s">
        <v>276</v>
      </c>
      <c r="D117" s="960" t="s">
        <v>307</v>
      </c>
      <c r="E117" s="951">
        <v>43500</v>
      </c>
      <c r="F117" s="974">
        <v>0</v>
      </c>
      <c r="G117" s="951">
        <v>43500</v>
      </c>
      <c r="H117" s="951">
        <v>1248.45</v>
      </c>
      <c r="I117" s="1191">
        <v>936.62</v>
      </c>
      <c r="J117" s="951">
        <v>1322.4</v>
      </c>
      <c r="K117" s="951">
        <v>25</v>
      </c>
      <c r="L117" s="954">
        <f t="shared" ref="L117:L118" si="24">SUM(H117:K117)</f>
        <v>3532.4700000000003</v>
      </c>
      <c r="M117" s="951">
        <f>+G117-L117</f>
        <v>39967.53</v>
      </c>
    </row>
    <row r="118" spans="1:13" ht="18.75" x14ac:dyDescent="0.3">
      <c r="A118" s="955" t="s">
        <v>1147</v>
      </c>
      <c r="B118" s="950" t="s">
        <v>807</v>
      </c>
      <c r="C118" s="960" t="s">
        <v>276</v>
      </c>
      <c r="D118" s="960" t="s">
        <v>307</v>
      </c>
      <c r="E118" s="951">
        <v>43500</v>
      </c>
      <c r="F118" s="974">
        <v>0</v>
      </c>
      <c r="G118" s="951">
        <v>43500</v>
      </c>
      <c r="H118" s="951">
        <v>1248.45</v>
      </c>
      <c r="I118" s="1191">
        <v>936.62</v>
      </c>
      <c r="J118" s="951">
        <v>1322.4</v>
      </c>
      <c r="K118" s="951">
        <v>25</v>
      </c>
      <c r="L118" s="954">
        <f t="shared" si="24"/>
        <v>3532.4700000000003</v>
      </c>
      <c r="M118" s="951">
        <f>+G118-L118</f>
        <v>39967.53</v>
      </c>
    </row>
    <row r="119" spans="1:13" ht="18.75" x14ac:dyDescent="0.3">
      <c r="A119" s="961" t="s">
        <v>749</v>
      </c>
      <c r="B119" s="950"/>
      <c r="C119" s="962">
        <v>3</v>
      </c>
      <c r="D119" s="962"/>
      <c r="E119" s="963">
        <f>SUM(E116:E118)</f>
        <v>167000</v>
      </c>
      <c r="F119" s="1071">
        <v>0</v>
      </c>
      <c r="G119" s="963">
        <f t="shared" ref="G119:M119" si="25">SUM(G116:G118)</f>
        <v>167000</v>
      </c>
      <c r="H119" s="963">
        <f t="shared" si="25"/>
        <v>4792.8999999999996</v>
      </c>
      <c r="I119" s="963">
        <f t="shared" si="25"/>
        <v>9274.11</v>
      </c>
      <c r="J119" s="963">
        <f t="shared" si="25"/>
        <v>5076.8</v>
      </c>
      <c r="K119" s="963">
        <f t="shared" si="25"/>
        <v>2184</v>
      </c>
      <c r="L119" s="963">
        <f>SUM(L116:L118)</f>
        <v>21327.81</v>
      </c>
      <c r="M119" s="963">
        <f t="shared" si="25"/>
        <v>145672.19</v>
      </c>
    </row>
    <row r="120" spans="1:13" ht="18.75" x14ac:dyDescent="0.3">
      <c r="A120" s="961"/>
      <c r="B120" s="950"/>
      <c r="C120" s="962"/>
      <c r="D120" s="962"/>
      <c r="E120" s="963"/>
      <c r="F120" s="964"/>
      <c r="G120" s="965"/>
      <c r="H120" s="965"/>
      <c r="I120" s="966"/>
      <c r="J120" s="963"/>
      <c r="K120" s="963"/>
      <c r="L120" s="963"/>
      <c r="M120" s="965"/>
    </row>
    <row r="121" spans="1:13" ht="18.75" x14ac:dyDescent="0.3">
      <c r="A121" s="961" t="s">
        <v>1128</v>
      </c>
      <c r="B121" s="950"/>
      <c r="C121" s="967"/>
      <c r="D121" s="967"/>
      <c r="E121" s="963"/>
      <c r="F121" s="964"/>
      <c r="G121" s="965"/>
      <c r="H121" s="965"/>
      <c r="I121" s="966"/>
      <c r="J121" s="963"/>
      <c r="K121" s="963"/>
      <c r="L121" s="963"/>
      <c r="M121" s="965"/>
    </row>
    <row r="122" spans="1:13" ht="18.75" x14ac:dyDescent="0.3">
      <c r="A122" s="958" t="s">
        <v>47</v>
      </c>
      <c r="B122" s="950" t="s">
        <v>806</v>
      </c>
      <c r="C122" s="960" t="s">
        <v>1677</v>
      </c>
      <c r="D122" s="960" t="s">
        <v>1069</v>
      </c>
      <c r="E122" s="951">
        <v>80000</v>
      </c>
      <c r="F122" s="952">
        <v>0</v>
      </c>
      <c r="G122" s="953">
        <v>80000</v>
      </c>
      <c r="H122" s="953">
        <v>2296</v>
      </c>
      <c r="I122" s="954">
        <v>6972</v>
      </c>
      <c r="J122" s="951">
        <v>2432</v>
      </c>
      <c r="K122" s="951">
        <v>1740.46</v>
      </c>
      <c r="L122" s="951">
        <f>+H122+I122+J122+K122</f>
        <v>13440.46</v>
      </c>
      <c r="M122" s="953">
        <f>+G122-L122</f>
        <v>66559.540000000008</v>
      </c>
    </row>
    <row r="123" spans="1:13" ht="18.75" x14ac:dyDescent="0.3">
      <c r="A123" s="961" t="s">
        <v>749</v>
      </c>
      <c r="B123" s="950"/>
      <c r="C123" s="962">
        <v>1</v>
      </c>
      <c r="D123" s="962"/>
      <c r="E123" s="963">
        <f>SUM(E122:E122)</f>
        <v>80000</v>
      </c>
      <c r="F123" s="952">
        <v>0</v>
      </c>
      <c r="G123" s="965">
        <f t="shared" ref="G123:L123" si="26">SUM(G122:G122)</f>
        <v>80000</v>
      </c>
      <c r="H123" s="965">
        <f t="shared" si="26"/>
        <v>2296</v>
      </c>
      <c r="I123" s="966">
        <f t="shared" si="26"/>
        <v>6972</v>
      </c>
      <c r="J123" s="963">
        <f t="shared" si="26"/>
        <v>2432</v>
      </c>
      <c r="K123" s="963">
        <f t="shared" si="26"/>
        <v>1740.46</v>
      </c>
      <c r="L123" s="963">
        <f t="shared" si="26"/>
        <v>13440.46</v>
      </c>
      <c r="M123" s="965">
        <f>SUM(M122:M122)</f>
        <v>66559.540000000008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22.5" customHeight="1" x14ac:dyDescent="0.3">
      <c r="A125" s="982" t="s">
        <v>1462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20.25" customHeight="1" x14ac:dyDescent="0.3">
      <c r="A126" s="1242" t="s">
        <v>1678</v>
      </c>
      <c r="B126" s="950" t="s">
        <v>806</v>
      </c>
      <c r="C126" s="960" t="s">
        <v>1265</v>
      </c>
      <c r="D126" s="960" t="s">
        <v>1066</v>
      </c>
      <c r="E126" s="951">
        <v>185000</v>
      </c>
      <c r="F126" s="952">
        <v>0</v>
      </c>
      <c r="G126" s="953">
        <v>185000</v>
      </c>
      <c r="H126" s="953">
        <v>5309.5</v>
      </c>
      <c r="I126" s="954">
        <v>32099.49</v>
      </c>
      <c r="J126" s="951">
        <v>5624</v>
      </c>
      <c r="K126" s="951">
        <v>25</v>
      </c>
      <c r="L126" s="951">
        <f>+H126+I126+J126+K126</f>
        <v>43057.990000000005</v>
      </c>
      <c r="M126" s="953">
        <f>+G126-L126</f>
        <v>141942.01</v>
      </c>
    </row>
    <row r="127" spans="1:13" ht="18.75" x14ac:dyDescent="0.3">
      <c r="A127" s="955" t="s">
        <v>65</v>
      </c>
      <c r="B127" s="968" t="s">
        <v>806</v>
      </c>
      <c r="C127" s="960" t="s">
        <v>1174</v>
      </c>
      <c r="D127" s="960" t="s">
        <v>1069</v>
      </c>
      <c r="E127" s="951">
        <v>11666.67</v>
      </c>
      <c r="F127" s="974">
        <v>0</v>
      </c>
      <c r="G127" s="951">
        <v>11666.67</v>
      </c>
      <c r="H127" s="951">
        <v>334.83</v>
      </c>
      <c r="I127" s="1191">
        <v>0</v>
      </c>
      <c r="J127" s="951">
        <v>354.67</v>
      </c>
      <c r="K127" s="951">
        <v>1840.46</v>
      </c>
      <c r="L127" s="951">
        <f>+H127+I127+J127+K127</f>
        <v>2529.96</v>
      </c>
      <c r="M127" s="953">
        <f t="shared" ref="M127:M130" si="27">+G127-L127</f>
        <v>9136.7099999999991</v>
      </c>
    </row>
    <row r="128" spans="1:13" ht="18.75" x14ac:dyDescent="0.3">
      <c r="A128" s="955" t="s">
        <v>843</v>
      </c>
      <c r="B128" s="968" t="s">
        <v>806</v>
      </c>
      <c r="C128" s="960" t="s">
        <v>1199</v>
      </c>
      <c r="D128" s="960" t="s">
        <v>1069</v>
      </c>
      <c r="E128" s="951">
        <v>80000</v>
      </c>
      <c r="F128" s="952">
        <v>0</v>
      </c>
      <c r="G128" s="953">
        <v>80000</v>
      </c>
      <c r="H128" s="953">
        <v>2296</v>
      </c>
      <c r="I128" s="1195">
        <v>7400.87</v>
      </c>
      <c r="J128" s="951">
        <v>2432</v>
      </c>
      <c r="K128" s="951">
        <v>25</v>
      </c>
      <c r="L128" s="951">
        <f>+H128+I128+J128+K128</f>
        <v>12153.869999999999</v>
      </c>
      <c r="M128" s="953">
        <f t="shared" si="27"/>
        <v>67846.13</v>
      </c>
    </row>
    <row r="129" spans="1:13" ht="18.75" x14ac:dyDescent="0.3">
      <c r="A129" s="958" t="s">
        <v>1679</v>
      </c>
      <c r="B129" s="950" t="s">
        <v>807</v>
      </c>
      <c r="C129" s="977" t="s">
        <v>327</v>
      </c>
      <c r="D129" s="960" t="s">
        <v>321</v>
      </c>
      <c r="E129" s="951">
        <v>31500</v>
      </c>
      <c r="F129" s="974">
        <v>0</v>
      </c>
      <c r="G129" s="953">
        <v>31500</v>
      </c>
      <c r="H129" s="953">
        <v>904.05</v>
      </c>
      <c r="I129" s="1191">
        <v>0</v>
      </c>
      <c r="J129" s="951">
        <v>957.6</v>
      </c>
      <c r="K129" s="951">
        <v>25</v>
      </c>
      <c r="L129" s="951">
        <v>1886.65</v>
      </c>
      <c r="M129" s="953">
        <f t="shared" si="27"/>
        <v>29613.35</v>
      </c>
    </row>
    <row r="130" spans="1:13" ht="18.75" x14ac:dyDescent="0.3">
      <c r="A130" s="958" t="s">
        <v>1680</v>
      </c>
      <c r="B130" s="950" t="s">
        <v>1151</v>
      </c>
      <c r="C130" s="977" t="s">
        <v>327</v>
      </c>
      <c r="D130" s="960" t="s">
        <v>321</v>
      </c>
      <c r="E130" s="951">
        <v>43500</v>
      </c>
      <c r="F130" s="974">
        <v>0</v>
      </c>
      <c r="G130" s="953">
        <v>43500</v>
      </c>
      <c r="H130" s="953">
        <v>1248.45</v>
      </c>
      <c r="I130" s="1191">
        <v>936.62</v>
      </c>
      <c r="J130" s="951">
        <v>1322.4</v>
      </c>
      <c r="K130" s="951">
        <v>25</v>
      </c>
      <c r="L130" s="951">
        <f>+H130+I130+J130+K130</f>
        <v>3532.4700000000003</v>
      </c>
      <c r="M130" s="953">
        <f t="shared" si="27"/>
        <v>39967.53</v>
      </c>
    </row>
    <row r="131" spans="1:13" ht="18.75" x14ac:dyDescent="0.3">
      <c r="A131" s="961" t="s">
        <v>749</v>
      </c>
      <c r="B131" s="950"/>
      <c r="C131" s="962">
        <v>5</v>
      </c>
      <c r="D131" s="962"/>
      <c r="E131" s="963">
        <f t="shared" ref="E131:M131" si="28">SUM(E126:E130)</f>
        <v>351666.67000000004</v>
      </c>
      <c r="F131" s="964">
        <f t="shared" si="28"/>
        <v>0</v>
      </c>
      <c r="G131" s="963">
        <f t="shared" si="28"/>
        <v>351666.67000000004</v>
      </c>
      <c r="H131" s="963">
        <f t="shared" si="28"/>
        <v>10092.83</v>
      </c>
      <c r="I131" s="966">
        <f t="shared" si="28"/>
        <v>40436.980000000003</v>
      </c>
      <c r="J131" s="963">
        <f t="shared" si="28"/>
        <v>10690.67</v>
      </c>
      <c r="K131" s="963">
        <f t="shared" si="28"/>
        <v>1940.46</v>
      </c>
      <c r="L131" s="963">
        <f t="shared" si="28"/>
        <v>63160.94000000001</v>
      </c>
      <c r="M131" s="963">
        <f t="shared" si="28"/>
        <v>288505.73</v>
      </c>
    </row>
    <row r="132" spans="1:13" ht="18.75" x14ac:dyDescent="0.3">
      <c r="A132" s="961"/>
      <c r="B132" s="950"/>
      <c r="C132" s="962"/>
      <c r="D132" s="962"/>
      <c r="E132" s="963"/>
      <c r="F132" s="964"/>
      <c r="G132" s="963"/>
      <c r="H132" s="963"/>
      <c r="I132" s="966"/>
      <c r="J132" s="963"/>
      <c r="K132" s="963"/>
      <c r="L132" s="963"/>
      <c r="M132" s="963"/>
    </row>
    <row r="133" spans="1:13" ht="36" customHeight="1" x14ac:dyDescent="0.3">
      <c r="A133" s="1273" t="s">
        <v>1681</v>
      </c>
      <c r="B133" s="950"/>
      <c r="C133" s="962"/>
      <c r="D133" s="962"/>
      <c r="E133" s="963"/>
      <c r="F133" s="964"/>
      <c r="G133" s="963"/>
      <c r="H133" s="963"/>
      <c r="I133" s="966"/>
      <c r="J133" s="963"/>
      <c r="K133" s="963"/>
      <c r="L133" s="963"/>
      <c r="M133" s="963"/>
    </row>
    <row r="134" spans="1:13" s="259" customFormat="1" ht="18.75" x14ac:dyDescent="0.3">
      <c r="A134" s="1258" t="s">
        <v>232</v>
      </c>
      <c r="B134" s="1259" t="s">
        <v>807</v>
      </c>
      <c r="C134" s="1257" t="s">
        <v>1174</v>
      </c>
      <c r="D134" s="1257" t="s">
        <v>1069</v>
      </c>
      <c r="E134" s="954">
        <v>80000</v>
      </c>
      <c r="F134" s="1191">
        <v>0</v>
      </c>
      <c r="G134" s="954">
        <v>80000</v>
      </c>
      <c r="H134" s="954">
        <v>2296</v>
      </c>
      <c r="I134" s="954">
        <v>6972</v>
      </c>
      <c r="J134" s="954">
        <v>2432</v>
      </c>
      <c r="K134" s="954">
        <v>5884.86</v>
      </c>
      <c r="L134" s="954">
        <f>+H134+I134+J134+K134</f>
        <v>17584.86</v>
      </c>
      <c r="M134" s="954">
        <f>+G134-L134</f>
        <v>62415.14</v>
      </c>
    </row>
    <row r="135" spans="1:13" ht="18.75" x14ac:dyDescent="0.3">
      <c r="A135" s="961" t="s">
        <v>749</v>
      </c>
      <c r="B135" s="950"/>
      <c r="C135" s="962">
        <v>1</v>
      </c>
      <c r="D135" s="962"/>
      <c r="E135" s="963">
        <f>SUM(E134:E134)</f>
        <v>80000</v>
      </c>
      <c r="F135" s="952">
        <v>0</v>
      </c>
      <c r="G135" s="965">
        <f t="shared" ref="G135:L135" si="29">SUM(G134:G134)</f>
        <v>80000</v>
      </c>
      <c r="H135" s="965">
        <f t="shared" si="29"/>
        <v>2296</v>
      </c>
      <c r="I135" s="966">
        <f t="shared" si="29"/>
        <v>6972</v>
      </c>
      <c r="J135" s="963">
        <f t="shared" si="29"/>
        <v>2432</v>
      </c>
      <c r="K135" s="963">
        <f t="shared" si="29"/>
        <v>5884.86</v>
      </c>
      <c r="L135" s="963">
        <f t="shared" si="29"/>
        <v>17584.86</v>
      </c>
      <c r="M135" s="965">
        <f>SUM(M134:M134)</f>
        <v>62415.14</v>
      </c>
    </row>
    <row r="136" spans="1:13" ht="18.75" x14ac:dyDescent="0.3">
      <c r="A136" s="961"/>
      <c r="B136" s="950"/>
      <c r="C136" s="962"/>
      <c r="D136" s="962"/>
      <c r="E136" s="963"/>
      <c r="F136" s="952"/>
      <c r="G136" s="965"/>
      <c r="H136" s="965"/>
      <c r="I136" s="966"/>
      <c r="J136" s="963"/>
      <c r="K136" s="963"/>
      <c r="L136" s="963"/>
      <c r="M136" s="965"/>
    </row>
    <row r="137" spans="1:13" ht="21.75" customHeight="1" x14ac:dyDescent="0.3">
      <c r="A137" s="982" t="s">
        <v>1682</v>
      </c>
      <c r="B137" s="950"/>
      <c r="C137" s="967"/>
      <c r="D137" s="967"/>
      <c r="E137" s="963"/>
      <c r="F137" s="964"/>
      <c r="G137" s="965"/>
      <c r="H137" s="965"/>
      <c r="I137" s="966"/>
      <c r="J137" s="963"/>
      <c r="K137" s="963"/>
      <c r="L137" s="963"/>
      <c r="M137" s="965"/>
    </row>
    <row r="138" spans="1:13" ht="18.75" x14ac:dyDescent="0.3">
      <c r="A138" s="955" t="s">
        <v>419</v>
      </c>
      <c r="B138" s="950" t="s">
        <v>806</v>
      </c>
      <c r="C138" s="960" t="s">
        <v>1683</v>
      </c>
      <c r="D138" s="960" t="s">
        <v>1069</v>
      </c>
      <c r="E138" s="951">
        <v>50000</v>
      </c>
      <c r="F138" s="952">
        <v>0</v>
      </c>
      <c r="G138" s="953">
        <v>50000</v>
      </c>
      <c r="H138" s="953">
        <v>1435</v>
      </c>
      <c r="I138" s="954">
        <v>1854</v>
      </c>
      <c r="J138" s="951">
        <v>1520</v>
      </c>
      <c r="K138" s="951">
        <v>728</v>
      </c>
      <c r="L138" s="951">
        <f>+H138+I138+J138+K138</f>
        <v>5537</v>
      </c>
      <c r="M138" s="953">
        <f>+G138-L138</f>
        <v>44463</v>
      </c>
    </row>
    <row r="139" spans="1:13" ht="18.75" x14ac:dyDescent="0.3">
      <c r="A139" s="955" t="s">
        <v>875</v>
      </c>
      <c r="B139" s="950" t="s">
        <v>807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4">
        <v>2559.6799999999998</v>
      </c>
      <c r="J139" s="951">
        <v>1672</v>
      </c>
      <c r="K139" s="951">
        <v>2517.7399999999998</v>
      </c>
      <c r="L139" s="951">
        <f>+H139+I139+J139+K139</f>
        <v>8327.92</v>
      </c>
      <c r="M139" s="951">
        <f>+G139-L139</f>
        <v>46672.08</v>
      </c>
    </row>
    <row r="140" spans="1:13" ht="18.75" x14ac:dyDescent="0.3">
      <c r="A140" s="961" t="s">
        <v>749</v>
      </c>
      <c r="B140" s="950"/>
      <c r="C140" s="962">
        <v>2</v>
      </c>
      <c r="D140" s="962"/>
      <c r="E140" s="963">
        <f t="shared" ref="E140:M140" si="30">SUM(E138:E139)</f>
        <v>105000</v>
      </c>
      <c r="F140" s="964">
        <f t="shared" si="30"/>
        <v>0</v>
      </c>
      <c r="G140" s="963">
        <f t="shared" si="30"/>
        <v>105000</v>
      </c>
      <c r="H140" s="963">
        <f t="shared" si="30"/>
        <v>3013.5</v>
      </c>
      <c r="I140" s="966">
        <f t="shared" si="30"/>
        <v>4413.68</v>
      </c>
      <c r="J140" s="963">
        <f t="shared" si="30"/>
        <v>3192</v>
      </c>
      <c r="K140" s="963">
        <f t="shared" si="30"/>
        <v>3245.74</v>
      </c>
      <c r="L140" s="963">
        <f t="shared" si="30"/>
        <v>13864.92</v>
      </c>
      <c r="M140" s="963">
        <f t="shared" si="30"/>
        <v>91135.08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63"/>
      <c r="K141" s="951"/>
      <c r="L141" s="951"/>
      <c r="M141" s="953"/>
    </row>
    <row r="142" spans="1:13" ht="18.75" x14ac:dyDescent="0.3">
      <c r="A142" s="961" t="s">
        <v>842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5" t="s">
        <v>1131</v>
      </c>
      <c r="B143" s="950" t="s">
        <v>806</v>
      </c>
      <c r="C143" s="960" t="s">
        <v>905</v>
      </c>
      <c r="D143" s="960" t="s">
        <v>307</v>
      </c>
      <c r="E143" s="951">
        <v>80000</v>
      </c>
      <c r="F143" s="974">
        <v>0</v>
      </c>
      <c r="G143" s="951">
        <v>80000</v>
      </c>
      <c r="H143" s="951">
        <v>2296</v>
      </c>
      <c r="I143" s="954">
        <v>7400.87</v>
      </c>
      <c r="J143" s="951">
        <v>2432</v>
      </c>
      <c r="K143" s="951">
        <v>828</v>
      </c>
      <c r="L143" s="951">
        <f t="shared" ref="L143:L146" si="31">+H143+I143+J143+K143</f>
        <v>12956.869999999999</v>
      </c>
      <c r="M143" s="951">
        <f>+G143-L143</f>
        <v>67043.13</v>
      </c>
    </row>
    <row r="144" spans="1:13" ht="18.75" x14ac:dyDescent="0.3">
      <c r="A144" s="955" t="s">
        <v>773</v>
      </c>
      <c r="B144" s="950" t="s">
        <v>807</v>
      </c>
      <c r="C144" s="960" t="s">
        <v>774</v>
      </c>
      <c r="D144" s="960" t="s">
        <v>307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125</v>
      </c>
      <c r="L144" s="951">
        <v>5935.18</v>
      </c>
      <c r="M144" s="951">
        <f t="shared" ref="M144:M146" si="32">+G144-L144</f>
        <v>49064.82</v>
      </c>
    </row>
    <row r="145" spans="1:13" ht="18.75" x14ac:dyDescent="0.3">
      <c r="A145" s="955" t="s">
        <v>1142</v>
      </c>
      <c r="B145" s="950" t="s">
        <v>806</v>
      </c>
      <c r="C145" s="960" t="s">
        <v>1684</v>
      </c>
      <c r="D145" s="960" t="s">
        <v>307</v>
      </c>
      <c r="E145" s="951">
        <v>55000</v>
      </c>
      <c r="F145" s="974">
        <v>0</v>
      </c>
      <c r="G145" s="951">
        <v>55000</v>
      </c>
      <c r="H145" s="951">
        <v>1578.5</v>
      </c>
      <c r="I145" s="954">
        <v>2559.6799999999998</v>
      </c>
      <c r="J145" s="951">
        <v>1672</v>
      </c>
      <c r="K145" s="951">
        <v>728</v>
      </c>
      <c r="L145" s="951">
        <f t="shared" si="31"/>
        <v>6538.18</v>
      </c>
      <c r="M145" s="951">
        <f t="shared" si="32"/>
        <v>48461.82</v>
      </c>
    </row>
    <row r="146" spans="1:13" ht="18.75" x14ac:dyDescent="0.3">
      <c r="A146" s="955" t="s">
        <v>444</v>
      </c>
      <c r="B146" s="950" t="s">
        <v>806</v>
      </c>
      <c r="C146" s="960" t="s">
        <v>662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936.62</v>
      </c>
      <c r="J146" s="951">
        <v>1322.4</v>
      </c>
      <c r="K146" s="951">
        <v>25</v>
      </c>
      <c r="L146" s="951">
        <f t="shared" si="31"/>
        <v>3532.4700000000003</v>
      </c>
      <c r="M146" s="951">
        <f t="shared" si="32"/>
        <v>39967.53</v>
      </c>
    </row>
    <row r="147" spans="1:13" ht="18.75" x14ac:dyDescent="0.3">
      <c r="A147" s="961" t="s">
        <v>749</v>
      </c>
      <c r="B147" s="950"/>
      <c r="C147" s="962">
        <v>4</v>
      </c>
      <c r="D147" s="962"/>
      <c r="E147" s="963">
        <f>SUM(E143:E146)</f>
        <v>233500</v>
      </c>
      <c r="F147" s="964">
        <f>SUM(F139:F139)</f>
        <v>0</v>
      </c>
      <c r="G147" s="963">
        <f t="shared" ref="G147:L147" si="33">SUM(G143:G146)</f>
        <v>233500</v>
      </c>
      <c r="H147" s="963">
        <f t="shared" si="33"/>
        <v>6701.45</v>
      </c>
      <c r="I147" s="966">
        <f t="shared" si="33"/>
        <v>13456.85</v>
      </c>
      <c r="J147" s="963">
        <f t="shared" si="33"/>
        <v>7098.4</v>
      </c>
      <c r="K147" s="963">
        <f t="shared" si="33"/>
        <v>1706</v>
      </c>
      <c r="L147" s="963">
        <f t="shared" si="33"/>
        <v>28962.7</v>
      </c>
      <c r="M147" s="963">
        <f>SUM(M143:M146)</f>
        <v>204537.30000000002</v>
      </c>
    </row>
    <row r="148" spans="1:13" ht="18.75" x14ac:dyDescent="0.3">
      <c r="A148" s="958"/>
      <c r="B148" s="950"/>
      <c r="C148" s="960"/>
      <c r="D148" s="960"/>
      <c r="E148" s="951"/>
      <c r="F148" s="952"/>
      <c r="G148" s="953"/>
      <c r="H148" s="953"/>
      <c r="I148" s="954"/>
      <c r="J148" s="951"/>
      <c r="K148" s="951"/>
      <c r="L148" s="951"/>
      <c r="M148" s="953"/>
    </row>
    <row r="149" spans="1:13" ht="18.75" x14ac:dyDescent="0.3">
      <c r="A149" s="961" t="s">
        <v>1515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8" t="s">
        <v>1686</v>
      </c>
      <c r="B150" s="950" t="s">
        <v>806</v>
      </c>
      <c r="C150" s="960" t="s">
        <v>1687</v>
      </c>
      <c r="D150" s="960" t="s">
        <v>307</v>
      </c>
      <c r="E150" s="951">
        <v>185000</v>
      </c>
      <c r="F150" s="952">
        <v>0</v>
      </c>
      <c r="G150" s="953">
        <v>185000</v>
      </c>
      <c r="H150" s="953">
        <v>5309.5</v>
      </c>
      <c r="I150" s="954">
        <v>32099.49</v>
      </c>
      <c r="J150" s="951">
        <v>5624</v>
      </c>
      <c r="K150" s="951">
        <v>2568.4</v>
      </c>
      <c r="L150" s="951">
        <f>+H150+I150+J150+K150</f>
        <v>45601.390000000007</v>
      </c>
      <c r="M150" s="953">
        <f>+G150-L150</f>
        <v>139398.60999999999</v>
      </c>
    </row>
    <row r="151" spans="1:13" ht="18.75" x14ac:dyDescent="0.3">
      <c r="A151" s="955" t="s">
        <v>1688</v>
      </c>
      <c r="B151" s="950" t="s">
        <v>806</v>
      </c>
      <c r="C151" s="960" t="s">
        <v>1683</v>
      </c>
      <c r="D151" s="960" t="s">
        <v>1069</v>
      </c>
      <c r="E151" s="951">
        <v>55000</v>
      </c>
      <c r="F151" s="974">
        <v>0</v>
      </c>
      <c r="G151" s="951">
        <v>55000</v>
      </c>
      <c r="H151" s="951">
        <v>1578.5</v>
      </c>
      <c r="I151" s="954">
        <v>2559.6799999999998</v>
      </c>
      <c r="J151" s="951">
        <v>1672</v>
      </c>
      <c r="K151" s="951">
        <v>1396.7</v>
      </c>
      <c r="L151" s="951">
        <f>+H151+I151+J151+K151</f>
        <v>7206.88</v>
      </c>
      <c r="M151" s="953">
        <f t="shared" ref="M151:M152" si="34">+G151-L151</f>
        <v>47793.120000000003</v>
      </c>
    </row>
    <row r="152" spans="1:13" ht="18.75" x14ac:dyDescent="0.3">
      <c r="A152" s="958" t="s">
        <v>310</v>
      </c>
      <c r="B152" s="950" t="s">
        <v>807</v>
      </c>
      <c r="C152" s="960" t="s">
        <v>276</v>
      </c>
      <c r="D152" s="960" t="s">
        <v>307</v>
      </c>
      <c r="E152" s="951">
        <v>50000</v>
      </c>
      <c r="F152" s="952">
        <v>0</v>
      </c>
      <c r="G152" s="953">
        <v>50000</v>
      </c>
      <c r="H152" s="953">
        <v>1435</v>
      </c>
      <c r="I152" s="954">
        <v>1854</v>
      </c>
      <c r="J152" s="951">
        <v>1520</v>
      </c>
      <c r="K152" s="951">
        <v>2025</v>
      </c>
      <c r="L152" s="951">
        <f>+H152+I152+J152+K152</f>
        <v>6834</v>
      </c>
      <c r="M152" s="953">
        <f t="shared" si="34"/>
        <v>43166</v>
      </c>
    </row>
    <row r="153" spans="1:13" ht="18.75" x14ac:dyDescent="0.3">
      <c r="A153" s="961" t="s">
        <v>749</v>
      </c>
      <c r="B153" s="950"/>
      <c r="C153" s="962">
        <v>3</v>
      </c>
      <c r="D153" s="962"/>
      <c r="E153" s="963">
        <f>SUM(E150:E152)</f>
        <v>290000</v>
      </c>
      <c r="F153" s="964">
        <f>SUM(F150:F151)</f>
        <v>0</v>
      </c>
      <c r="G153" s="965">
        <f t="shared" ref="G153:L153" si="35">SUM(G150:G152)</f>
        <v>290000</v>
      </c>
      <c r="H153" s="965">
        <f t="shared" si="35"/>
        <v>8323</v>
      </c>
      <c r="I153" s="966">
        <f t="shared" si="35"/>
        <v>36513.17</v>
      </c>
      <c r="J153" s="963">
        <f t="shared" si="35"/>
        <v>8816</v>
      </c>
      <c r="K153" s="963">
        <f t="shared" si="35"/>
        <v>5990.1</v>
      </c>
      <c r="L153" s="963">
        <f t="shared" si="35"/>
        <v>59642.270000000004</v>
      </c>
      <c r="M153" s="965">
        <f>SUM(M150:M152)</f>
        <v>230357.72999999998</v>
      </c>
    </row>
    <row r="154" spans="1:13" ht="18.75" x14ac:dyDescent="0.3">
      <c r="A154" s="961"/>
      <c r="B154" s="950"/>
      <c r="C154" s="962"/>
      <c r="D154" s="962"/>
      <c r="E154" s="963"/>
      <c r="F154" s="964"/>
      <c r="G154" s="965"/>
      <c r="H154" s="965"/>
      <c r="I154" s="966"/>
      <c r="J154" s="963"/>
      <c r="K154" s="963"/>
      <c r="L154" s="963"/>
      <c r="M154" s="965"/>
    </row>
    <row r="155" spans="1:13" ht="18.75" x14ac:dyDescent="0.3">
      <c r="A155" s="967" t="s">
        <v>1458</v>
      </c>
      <c r="B155" s="988"/>
      <c r="C155" s="989"/>
      <c r="D155" s="989"/>
      <c r="E155" s="949"/>
      <c r="F155" s="949"/>
      <c r="G155" s="990"/>
      <c r="H155" s="991"/>
      <c r="I155" s="966"/>
      <c r="J155" s="963"/>
      <c r="K155" s="963"/>
      <c r="L155" s="963"/>
      <c r="M155" s="965"/>
    </row>
    <row r="156" spans="1:13" ht="18.75" x14ac:dyDescent="0.3">
      <c r="A156" s="960" t="s">
        <v>1689</v>
      </c>
      <c r="B156" s="950" t="s">
        <v>807</v>
      </c>
      <c r="C156" s="960" t="s">
        <v>965</v>
      </c>
      <c r="D156" s="960" t="s">
        <v>1069</v>
      </c>
      <c r="E156" s="951">
        <v>80000</v>
      </c>
      <c r="F156" s="971">
        <v>0</v>
      </c>
      <c r="G156" s="972">
        <v>80000</v>
      </c>
      <c r="H156" s="972">
        <v>2296</v>
      </c>
      <c r="I156" s="954">
        <v>7400.87</v>
      </c>
      <c r="J156" s="951">
        <v>2432</v>
      </c>
      <c r="K156" s="951">
        <v>2097.1999999999998</v>
      </c>
      <c r="L156" s="951">
        <f>+H156+I156+J156+K156</f>
        <v>14226.07</v>
      </c>
      <c r="M156" s="953">
        <f>+G156-L156</f>
        <v>65773.929999999993</v>
      </c>
    </row>
    <row r="157" spans="1:13" ht="18.75" x14ac:dyDescent="0.3">
      <c r="A157" s="960" t="s">
        <v>1690</v>
      </c>
      <c r="B157" s="950" t="s">
        <v>807</v>
      </c>
      <c r="C157" s="960" t="s">
        <v>276</v>
      </c>
      <c r="D157" s="960" t="s">
        <v>307</v>
      </c>
      <c r="E157" s="951">
        <v>43500</v>
      </c>
      <c r="F157" s="974">
        <v>0</v>
      </c>
      <c r="G157" s="951">
        <v>43500</v>
      </c>
      <c r="H157" s="951">
        <v>1248.45</v>
      </c>
      <c r="I157" s="1191">
        <v>679.3</v>
      </c>
      <c r="J157" s="951">
        <v>1322.4</v>
      </c>
      <c r="K157" s="951">
        <v>1740.46</v>
      </c>
      <c r="L157" s="951">
        <f>SUM(H157:K157)</f>
        <v>4990.6100000000006</v>
      </c>
      <c r="M157" s="951">
        <f>+E157-L157</f>
        <v>38509.39</v>
      </c>
    </row>
    <row r="158" spans="1:13" ht="18.75" x14ac:dyDescent="0.3">
      <c r="A158" s="961" t="s">
        <v>847</v>
      </c>
      <c r="B158" s="992"/>
      <c r="C158" s="962">
        <v>2</v>
      </c>
      <c r="D158" s="962"/>
      <c r="E158" s="963">
        <f>SUM(E156:E157)</f>
        <v>123500</v>
      </c>
      <c r="F158" s="1071">
        <v>0</v>
      </c>
      <c r="G158" s="963">
        <f t="shared" ref="G158:K158" si="36">SUM(G156:G157)</f>
        <v>123500</v>
      </c>
      <c r="H158" s="966">
        <f t="shared" si="36"/>
        <v>3544.45</v>
      </c>
      <c r="I158" s="966">
        <f t="shared" si="36"/>
        <v>8080.17</v>
      </c>
      <c r="J158" s="963">
        <f>SUM(J156:J157)</f>
        <v>3754.4</v>
      </c>
      <c r="K158" s="963">
        <f t="shared" si="36"/>
        <v>3837.66</v>
      </c>
      <c r="L158" s="963">
        <f>SUM(L156:L157)</f>
        <v>19216.68</v>
      </c>
      <c r="M158" s="963">
        <f>SUM(M156:M157)</f>
        <v>104283.31999999999</v>
      </c>
    </row>
    <row r="159" spans="1:13" ht="18.75" x14ac:dyDescent="0.3">
      <c r="A159" s="961"/>
      <c r="B159" s="950"/>
      <c r="C159" s="962"/>
      <c r="D159" s="962"/>
      <c r="E159" s="963"/>
      <c r="F159" s="964"/>
      <c r="G159" s="965"/>
      <c r="H159" s="965"/>
      <c r="I159" s="966"/>
      <c r="J159" s="963"/>
      <c r="K159" s="963"/>
      <c r="L159" s="963"/>
      <c r="M159" s="965"/>
    </row>
    <row r="160" spans="1:13" ht="18.75" x14ac:dyDescent="0.3">
      <c r="A160" s="982" t="s">
        <v>1245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5" t="s">
        <v>1691</v>
      </c>
      <c r="B161" s="950" t="s">
        <v>806</v>
      </c>
      <c r="C161" s="960" t="s">
        <v>551</v>
      </c>
      <c r="D161" s="960" t="s">
        <v>307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SUM(H161:K161)</f>
        <v>3532.4700000000003</v>
      </c>
      <c r="M161" s="953">
        <f>+G161-L161</f>
        <v>39967.53</v>
      </c>
    </row>
    <row r="162" spans="1:13" ht="18.75" x14ac:dyDescent="0.3">
      <c r="A162" s="961" t="s">
        <v>749</v>
      </c>
      <c r="B162" s="950"/>
      <c r="C162" s="962">
        <v>1</v>
      </c>
      <c r="D162" s="962"/>
      <c r="E162" s="963">
        <f t="shared" ref="E162:J162" si="37">SUM(E161:E161)</f>
        <v>43500</v>
      </c>
      <c r="F162" s="964">
        <f t="shared" si="37"/>
        <v>0</v>
      </c>
      <c r="G162" s="965">
        <f t="shared" si="37"/>
        <v>43500</v>
      </c>
      <c r="H162" s="965">
        <f t="shared" si="37"/>
        <v>1248.45</v>
      </c>
      <c r="I162" s="1196">
        <f>SUM(I161:I161)</f>
        <v>936.62</v>
      </c>
      <c r="J162" s="1091">
        <f t="shared" si="37"/>
        <v>1322.4</v>
      </c>
      <c r="K162" s="963">
        <f>SUM(K161:K161)</f>
        <v>25</v>
      </c>
      <c r="L162" s="963">
        <f>SUM(L161)</f>
        <v>3532.4700000000003</v>
      </c>
      <c r="M162" s="965">
        <v>39967.53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18.75" x14ac:dyDescent="0.3">
      <c r="A164" s="997" t="s">
        <v>1692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5" t="s">
        <v>1693</v>
      </c>
      <c r="B165" s="950" t="s">
        <v>807</v>
      </c>
      <c r="C165" s="960" t="s">
        <v>967</v>
      </c>
      <c r="D165" s="960" t="s">
        <v>307</v>
      </c>
      <c r="E165" s="951">
        <v>70000</v>
      </c>
      <c r="F165" s="974">
        <v>0</v>
      </c>
      <c r="G165" s="951">
        <v>70000</v>
      </c>
      <c r="H165" s="951">
        <v>2009</v>
      </c>
      <c r="I165" s="954">
        <v>5368.48</v>
      </c>
      <c r="J165" s="951">
        <v>2128</v>
      </c>
      <c r="K165" s="951">
        <v>1296.7</v>
      </c>
      <c r="L165" s="951">
        <f>+H165+I165+J165+K165</f>
        <v>10802.18</v>
      </c>
      <c r="M165" s="953">
        <f t="shared" ref="M165:M166" si="38">+G165-L165</f>
        <v>59197.82</v>
      </c>
    </row>
    <row r="166" spans="1:13" ht="18.75" x14ac:dyDescent="0.3">
      <c r="A166" s="955" t="s">
        <v>1694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1191">
        <v>936.62</v>
      </c>
      <c r="J166" s="951">
        <v>1322.4</v>
      </c>
      <c r="K166" s="951">
        <v>2025</v>
      </c>
      <c r="L166" s="951">
        <f>+H166+I166+J166+K166</f>
        <v>5532.47</v>
      </c>
      <c r="M166" s="953">
        <f t="shared" si="38"/>
        <v>37967.53</v>
      </c>
    </row>
    <row r="167" spans="1:13" ht="18.75" x14ac:dyDescent="0.3">
      <c r="A167" s="955" t="s">
        <v>1695</v>
      </c>
      <c r="B167" s="950" t="s">
        <v>806</v>
      </c>
      <c r="C167" s="960" t="s">
        <v>551</v>
      </c>
      <c r="D167" s="960" t="s">
        <v>321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847</v>
      </c>
      <c r="B168" s="950"/>
      <c r="C168" s="962">
        <v>3</v>
      </c>
      <c r="D168" s="962"/>
      <c r="E168" s="963">
        <f>SUM(E165:E167)</f>
        <v>157000</v>
      </c>
      <c r="F168" s="993">
        <f t="shared" ref="F168" si="39">SUM(F167)</f>
        <v>0</v>
      </c>
      <c r="G168" s="963">
        <f t="shared" ref="G168:M168" si="40">SUM(G165:G167)</f>
        <v>157000</v>
      </c>
      <c r="H168" s="963">
        <f t="shared" si="40"/>
        <v>4505.8999999999996</v>
      </c>
      <c r="I168" s="966">
        <f t="shared" si="40"/>
        <v>7241.7199999999993</v>
      </c>
      <c r="J168" s="963">
        <f t="shared" si="40"/>
        <v>4772.8</v>
      </c>
      <c r="K168" s="963">
        <f t="shared" si="40"/>
        <v>3346.7</v>
      </c>
      <c r="L168" s="963">
        <f t="shared" si="40"/>
        <v>19867.120000000003</v>
      </c>
      <c r="M168" s="963">
        <f t="shared" si="40"/>
        <v>137132.88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3"/>
      <c r="I169" s="954"/>
      <c r="J169" s="951"/>
      <c r="K169" s="951"/>
      <c r="L169" s="951"/>
      <c r="M169" s="953"/>
    </row>
    <row r="170" spans="1:13" ht="29.25" customHeight="1" x14ac:dyDescent="0.3">
      <c r="A170" s="982" t="s">
        <v>1138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8" t="s">
        <v>1640</v>
      </c>
      <c r="B171" s="950" t="s">
        <v>806</v>
      </c>
      <c r="C171" s="960" t="s">
        <v>71</v>
      </c>
      <c r="D171" s="960" t="s">
        <v>1069</v>
      </c>
      <c r="E171" s="951">
        <v>80000</v>
      </c>
      <c r="F171" s="952">
        <v>0</v>
      </c>
      <c r="G171" s="953">
        <v>80000</v>
      </c>
      <c r="H171" s="953">
        <v>2296</v>
      </c>
      <c r="I171" s="954">
        <v>7400.87</v>
      </c>
      <c r="J171" s="951">
        <v>2432</v>
      </c>
      <c r="K171" s="951">
        <v>728</v>
      </c>
      <c r="L171" s="951">
        <f>+H171+I171+J171+K171</f>
        <v>12856.869999999999</v>
      </c>
      <c r="M171" s="953">
        <f>+G171-L171</f>
        <v>67143.13</v>
      </c>
    </row>
    <row r="172" spans="1:13" ht="18.75" x14ac:dyDescent="0.3">
      <c r="A172" s="955" t="s">
        <v>77</v>
      </c>
      <c r="B172" s="986" t="s">
        <v>807</v>
      </c>
      <c r="C172" s="960" t="s">
        <v>967</v>
      </c>
      <c r="D172" s="960" t="s">
        <v>1069</v>
      </c>
      <c r="E172" s="951">
        <v>70000</v>
      </c>
      <c r="F172" s="974">
        <v>0</v>
      </c>
      <c r="G172" s="1070">
        <v>70000</v>
      </c>
      <c r="H172" s="956">
        <v>2009</v>
      </c>
      <c r="I172" s="987">
        <v>5368.48</v>
      </c>
      <c r="J172" s="951">
        <v>2128</v>
      </c>
      <c r="K172" s="956">
        <v>828</v>
      </c>
      <c r="L172" s="951">
        <f>+H172+I172+J172+K172</f>
        <v>10333.48</v>
      </c>
      <c r="M172" s="953">
        <f>+G172-L172</f>
        <v>59666.520000000004</v>
      </c>
    </row>
    <row r="173" spans="1:13" ht="18.75" x14ac:dyDescent="0.3">
      <c r="A173" s="961" t="s">
        <v>847</v>
      </c>
      <c r="B173" s="950"/>
      <c r="C173" s="962">
        <v>2</v>
      </c>
      <c r="D173" s="962"/>
      <c r="E173" s="963">
        <f>SUM(E171:E172)</f>
        <v>150000</v>
      </c>
      <c r="F173" s="1071">
        <v>0</v>
      </c>
      <c r="G173" s="963">
        <f t="shared" ref="G173:K173" si="41">SUM(G171:G172)</f>
        <v>150000</v>
      </c>
      <c r="H173" s="963">
        <f t="shared" si="41"/>
        <v>4305</v>
      </c>
      <c r="I173" s="966">
        <f>SUM(I171:I172)</f>
        <v>12769.349999999999</v>
      </c>
      <c r="J173" s="963">
        <f t="shared" si="41"/>
        <v>4560</v>
      </c>
      <c r="K173" s="963">
        <f t="shared" si="41"/>
        <v>1556</v>
      </c>
      <c r="L173" s="963">
        <f>SUM(L171:L172)</f>
        <v>23190.35</v>
      </c>
      <c r="M173" s="963">
        <f>SUM(M171:M172)</f>
        <v>126809.65000000001</v>
      </c>
    </row>
    <row r="174" spans="1:13" ht="18.75" x14ac:dyDescent="0.3">
      <c r="A174" s="958"/>
      <c r="B174" s="950"/>
      <c r="C174" s="960"/>
      <c r="D174" s="960"/>
      <c r="E174" s="951"/>
      <c r="F174" s="952"/>
      <c r="G174" s="953"/>
      <c r="H174" s="953"/>
      <c r="I174" s="954"/>
      <c r="J174" s="951"/>
      <c r="K174" s="951"/>
      <c r="L174" s="951"/>
      <c r="M174" s="953"/>
    </row>
    <row r="175" spans="1:13" ht="18.75" customHeight="1" x14ac:dyDescent="0.3">
      <c r="A175" s="982" t="s">
        <v>1195</v>
      </c>
      <c r="B175" s="950"/>
      <c r="C175" s="967"/>
      <c r="D175" s="967"/>
      <c r="E175" s="963"/>
      <c r="F175" s="964"/>
      <c r="G175" s="965"/>
      <c r="H175" s="965"/>
      <c r="I175" s="966"/>
      <c r="J175" s="963"/>
      <c r="K175" s="963"/>
      <c r="L175" s="963"/>
      <c r="M175" s="965"/>
    </row>
    <row r="176" spans="1:13" ht="18.75" x14ac:dyDescent="0.3">
      <c r="A176" s="955" t="s">
        <v>217</v>
      </c>
      <c r="B176" s="950" t="s">
        <v>807</v>
      </c>
      <c r="C176" s="960" t="s">
        <v>1696</v>
      </c>
      <c r="D176" s="960" t="s">
        <v>1069</v>
      </c>
      <c r="E176" s="951">
        <v>80000</v>
      </c>
      <c r="F176" s="952">
        <v>0</v>
      </c>
      <c r="G176" s="953">
        <v>80000</v>
      </c>
      <c r="H176" s="953">
        <v>2296</v>
      </c>
      <c r="I176" s="954">
        <v>7400.87</v>
      </c>
      <c r="J176" s="951">
        <v>2432</v>
      </c>
      <c r="K176" s="951">
        <v>3639.14</v>
      </c>
      <c r="L176" s="951">
        <f>+H176+I176+J176+K176</f>
        <v>15768.009999999998</v>
      </c>
      <c r="M176" s="953">
        <f>+G176-L176</f>
        <v>64231.990000000005</v>
      </c>
    </row>
    <row r="177" spans="1:13" ht="18.75" x14ac:dyDescent="0.3">
      <c r="A177" s="955" t="s">
        <v>1697</v>
      </c>
      <c r="B177" s="950" t="s">
        <v>806</v>
      </c>
      <c r="C177" s="960" t="s">
        <v>551</v>
      </c>
      <c r="D177" s="960" t="s">
        <v>307</v>
      </c>
      <c r="E177" s="951">
        <v>43500</v>
      </c>
      <c r="F177" s="952">
        <v>0</v>
      </c>
      <c r="G177" s="953">
        <v>43500</v>
      </c>
      <c r="H177" s="953">
        <v>1248.45</v>
      </c>
      <c r="I177" s="1191">
        <v>936.62</v>
      </c>
      <c r="J177" s="951">
        <v>1322.4</v>
      </c>
      <c r="K177" s="951">
        <v>25</v>
      </c>
      <c r="L177" s="951">
        <f>+H177+I177+J177+K177</f>
        <v>3532.4700000000003</v>
      </c>
      <c r="M177" s="953">
        <f>+G177-L177</f>
        <v>39967.53</v>
      </c>
    </row>
    <row r="178" spans="1:13" ht="18.75" x14ac:dyDescent="0.3">
      <c r="A178" s="961" t="s">
        <v>749</v>
      </c>
      <c r="B178" s="950"/>
      <c r="C178" s="962">
        <v>2</v>
      </c>
      <c r="D178" s="962"/>
      <c r="E178" s="963">
        <f>SUM(E176:E177)</f>
        <v>123500</v>
      </c>
      <c r="F178" s="964">
        <f t="shared" ref="F178:K178" si="42">SUM(F176:F177)</f>
        <v>0</v>
      </c>
      <c r="G178" s="965">
        <f>SUM(G176:G177)</f>
        <v>123500</v>
      </c>
      <c r="H178" s="965">
        <f t="shared" si="42"/>
        <v>3544.45</v>
      </c>
      <c r="I178" s="966">
        <f>SUM(I176:I177)</f>
        <v>8337.49</v>
      </c>
      <c r="J178" s="963">
        <f t="shared" si="42"/>
        <v>3754.4</v>
      </c>
      <c r="K178" s="963">
        <f t="shared" si="42"/>
        <v>3664.14</v>
      </c>
      <c r="L178" s="963">
        <f>SUM(L176:L177)</f>
        <v>19300.48</v>
      </c>
      <c r="M178" s="965">
        <f>SUM(M176:M177)</f>
        <v>104199.52</v>
      </c>
    </row>
    <row r="179" spans="1:13" ht="18.75" x14ac:dyDescent="0.3">
      <c r="A179" s="961"/>
      <c r="B179" s="950"/>
      <c r="C179" s="967"/>
      <c r="D179" s="967"/>
      <c r="E179" s="963"/>
      <c r="F179" s="964"/>
      <c r="G179" s="965"/>
      <c r="H179" s="965"/>
      <c r="I179" s="966"/>
      <c r="J179" s="963"/>
      <c r="K179" s="963"/>
      <c r="L179" s="963"/>
      <c r="M179" s="965"/>
    </row>
    <row r="180" spans="1:13" ht="18.75" x14ac:dyDescent="0.3">
      <c r="A180" s="961" t="s">
        <v>803</v>
      </c>
      <c r="B180" s="950"/>
      <c r="C180" s="967"/>
      <c r="D180" s="967"/>
      <c r="E180" s="963"/>
      <c r="F180" s="964"/>
      <c r="G180" s="965"/>
      <c r="H180" s="965"/>
      <c r="I180" s="966"/>
      <c r="J180" s="963"/>
      <c r="K180" s="963"/>
      <c r="L180" s="963"/>
      <c r="M180" s="965"/>
    </row>
    <row r="181" spans="1:13" ht="18.75" x14ac:dyDescent="0.3">
      <c r="A181" s="955" t="s">
        <v>1698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 t="shared" ref="L181:L186" si="43">+H181+I181+J181+K181</f>
        <v>3532.4700000000003</v>
      </c>
      <c r="M181" s="951">
        <f t="shared" ref="M181:M186" si="44">+G181-L181</f>
        <v>39967.53</v>
      </c>
    </row>
    <row r="182" spans="1:13" ht="18.75" x14ac:dyDescent="0.3">
      <c r="A182" s="955" t="s">
        <v>1699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 t="shared" si="43"/>
        <v>3532.4700000000003</v>
      </c>
      <c r="M182" s="951">
        <f t="shared" si="44"/>
        <v>39967.53</v>
      </c>
    </row>
    <row r="183" spans="1:13" ht="18.75" x14ac:dyDescent="0.3">
      <c r="A183" s="955" t="s">
        <v>1700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 t="shared" si="43"/>
        <v>3532.4700000000003</v>
      </c>
      <c r="M183" s="951">
        <f t="shared" si="44"/>
        <v>39967.53</v>
      </c>
    </row>
    <row r="184" spans="1:13" ht="16.5" customHeight="1" x14ac:dyDescent="0.3">
      <c r="A184" s="1069" t="s">
        <v>1701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951">
        <v>43500</v>
      </c>
      <c r="H184" s="951">
        <v>1248.45</v>
      </c>
      <c r="I184" s="1191">
        <v>421.98</v>
      </c>
      <c r="J184" s="951">
        <v>1322.4</v>
      </c>
      <c r="K184" s="951">
        <v>4861.92</v>
      </c>
      <c r="L184" s="951">
        <f t="shared" si="43"/>
        <v>7854.75</v>
      </c>
      <c r="M184" s="951">
        <f t="shared" si="44"/>
        <v>35645.25</v>
      </c>
    </row>
    <row r="185" spans="1:13" ht="18.75" x14ac:dyDescent="0.3">
      <c r="A185" s="998" t="s">
        <v>1702</v>
      </c>
      <c r="B185" s="950" t="s">
        <v>1296</v>
      </c>
      <c r="C185" s="1024" t="s">
        <v>1325</v>
      </c>
      <c r="D185" s="960" t="s">
        <v>321</v>
      </c>
      <c r="E185" s="951">
        <v>43500</v>
      </c>
      <c r="F185" s="952">
        <v>0</v>
      </c>
      <c r="G185" s="953">
        <v>43500</v>
      </c>
      <c r="H185" s="953">
        <v>1248.45</v>
      </c>
      <c r="I185" s="1191">
        <v>936.62</v>
      </c>
      <c r="J185" s="951">
        <v>1322.4</v>
      </c>
      <c r="K185" s="951">
        <v>25</v>
      </c>
      <c r="L185" s="951">
        <f t="shared" si="43"/>
        <v>3532.4700000000003</v>
      </c>
      <c r="M185" s="951">
        <f t="shared" si="44"/>
        <v>39967.53</v>
      </c>
    </row>
    <row r="186" spans="1:13" ht="18.75" x14ac:dyDescent="0.3">
      <c r="A186" s="998" t="s">
        <v>1327</v>
      </c>
      <c r="B186" s="950" t="s">
        <v>806</v>
      </c>
      <c r="C186" s="1024" t="s">
        <v>1325</v>
      </c>
      <c r="D186" s="960" t="s">
        <v>321</v>
      </c>
      <c r="E186" s="951">
        <v>43500</v>
      </c>
      <c r="F186" s="952">
        <v>0</v>
      </c>
      <c r="G186" s="953">
        <v>43500</v>
      </c>
      <c r="H186" s="953">
        <v>1248.45</v>
      </c>
      <c r="I186" s="1191">
        <v>936.62</v>
      </c>
      <c r="J186" s="951">
        <v>1322.4</v>
      </c>
      <c r="K186" s="951">
        <v>25</v>
      </c>
      <c r="L186" s="951">
        <f t="shared" si="43"/>
        <v>3532.4700000000003</v>
      </c>
      <c r="M186" s="951">
        <f t="shared" si="44"/>
        <v>39967.53</v>
      </c>
    </row>
    <row r="187" spans="1:13" ht="18.75" x14ac:dyDescent="0.3">
      <c r="A187" s="961" t="s">
        <v>847</v>
      </c>
      <c r="B187" s="950"/>
      <c r="C187" s="962">
        <v>6</v>
      </c>
      <c r="D187" s="962"/>
      <c r="E187" s="963">
        <f>SUM(E181:E186)</f>
        <v>261000</v>
      </c>
      <c r="F187" s="964">
        <v>0</v>
      </c>
      <c r="G187" s="963">
        <f t="shared" ref="G187:L187" si="45">SUM(G181:G186)</f>
        <v>261000</v>
      </c>
      <c r="H187" s="963">
        <f t="shared" si="45"/>
        <v>7490.7</v>
      </c>
      <c r="I187" s="966">
        <f>SUM(I181:I186)</f>
        <v>5105.08</v>
      </c>
      <c r="J187" s="963">
        <f t="shared" si="45"/>
        <v>7934.4</v>
      </c>
      <c r="K187" s="963">
        <f t="shared" si="45"/>
        <v>4986.92</v>
      </c>
      <c r="L187" s="963">
        <f t="shared" si="45"/>
        <v>25517.100000000002</v>
      </c>
      <c r="M187" s="963">
        <f>SUM(M181:M186)</f>
        <v>235482.9</v>
      </c>
    </row>
    <row r="188" spans="1:13" ht="18.75" x14ac:dyDescent="0.3">
      <c r="A188" s="961"/>
      <c r="B188" s="950"/>
      <c r="C188" s="962"/>
      <c r="D188" s="962"/>
      <c r="E188" s="963"/>
      <c r="F188" s="964"/>
      <c r="G188" s="963"/>
      <c r="H188" s="963"/>
      <c r="I188" s="966"/>
      <c r="J188" s="963"/>
      <c r="K188" s="963"/>
      <c r="L188" s="963"/>
      <c r="M188" s="963"/>
    </row>
    <row r="189" spans="1:13" ht="18.75" x14ac:dyDescent="0.3">
      <c r="A189" s="961" t="s">
        <v>1490</v>
      </c>
      <c r="B189" s="950"/>
      <c r="C189" s="962"/>
      <c r="D189" s="962"/>
      <c r="E189" s="963"/>
      <c r="F189" s="964"/>
      <c r="G189" s="963"/>
      <c r="H189" s="963"/>
      <c r="I189" s="966"/>
      <c r="J189" s="963"/>
      <c r="K189" s="963"/>
      <c r="L189" s="963"/>
      <c r="M189" s="963"/>
    </row>
    <row r="190" spans="1:13" ht="21" customHeight="1" x14ac:dyDescent="0.3">
      <c r="A190" s="1069" t="s">
        <v>1386</v>
      </c>
      <c r="B190" s="950" t="s">
        <v>806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1191">
        <v>936.62</v>
      </c>
      <c r="J190" s="951">
        <v>1322.4</v>
      </c>
      <c r="K190" s="951">
        <v>25</v>
      </c>
      <c r="L190" s="951">
        <f>+H190+I190+J190+K190</f>
        <v>3532.4700000000003</v>
      </c>
      <c r="M190" s="951">
        <f>+G190-L190</f>
        <v>39967.53</v>
      </c>
    </row>
    <row r="191" spans="1:13" ht="21" customHeight="1" x14ac:dyDescent="0.3">
      <c r="A191" s="1069" t="s">
        <v>1704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951">
        <v>43500</v>
      </c>
      <c r="H191" s="951">
        <v>1248.45</v>
      </c>
      <c r="I191" s="1191">
        <v>936.62</v>
      </c>
      <c r="J191" s="951">
        <v>1322.4</v>
      </c>
      <c r="K191" s="951">
        <v>25</v>
      </c>
      <c r="L191" s="951">
        <f>+H191+I191+J191+K191</f>
        <v>3532.4700000000003</v>
      </c>
      <c r="M191" s="951">
        <f>+G191-L191</f>
        <v>39967.53</v>
      </c>
    </row>
    <row r="192" spans="1:13" ht="21" customHeight="1" x14ac:dyDescent="0.3">
      <c r="A192" s="1069" t="s">
        <v>1328</v>
      </c>
      <c r="B192" s="950" t="s">
        <v>1296</v>
      </c>
      <c r="C192" s="1024" t="s">
        <v>1325</v>
      </c>
      <c r="D192" s="960" t="s">
        <v>321</v>
      </c>
      <c r="E192" s="951">
        <v>43500</v>
      </c>
      <c r="F192" s="974">
        <v>0</v>
      </c>
      <c r="G192" s="951">
        <v>43500</v>
      </c>
      <c r="H192" s="951">
        <v>1248.45</v>
      </c>
      <c r="I192" s="1191">
        <v>936.62</v>
      </c>
      <c r="J192" s="951">
        <v>1322.4</v>
      </c>
      <c r="K192" s="951">
        <v>25</v>
      </c>
      <c r="L192" s="951">
        <f>+H192+I192+J192+K192</f>
        <v>3532.4700000000003</v>
      </c>
      <c r="M192" s="951">
        <f>+G192-L192</f>
        <v>39967.53</v>
      </c>
    </row>
    <row r="193" spans="1:13" ht="18.75" x14ac:dyDescent="0.3">
      <c r="A193" s="1027" t="s">
        <v>1705</v>
      </c>
      <c r="B193" s="950" t="s">
        <v>806</v>
      </c>
      <c r="C193" s="1024" t="s">
        <v>1325</v>
      </c>
      <c r="D193" s="960" t="s">
        <v>307</v>
      </c>
      <c r="E193" s="951">
        <v>43500</v>
      </c>
      <c r="F193" s="974">
        <v>0</v>
      </c>
      <c r="G193" s="1032">
        <v>43500</v>
      </c>
      <c r="H193" s="951">
        <v>1248.45</v>
      </c>
      <c r="I193" s="1197">
        <v>936.62</v>
      </c>
      <c r="J193" s="951">
        <v>1322.4</v>
      </c>
      <c r="K193" s="951">
        <v>25</v>
      </c>
      <c r="L193" s="1032">
        <v>3532.4700000000003</v>
      </c>
      <c r="M193" s="1032">
        <v>39967.53</v>
      </c>
    </row>
    <row r="194" spans="1:13" ht="18.75" x14ac:dyDescent="0.3">
      <c r="A194" s="961" t="s">
        <v>847</v>
      </c>
      <c r="B194" s="950"/>
      <c r="C194" s="962">
        <v>4</v>
      </c>
      <c r="D194" s="962"/>
      <c r="E194" s="963">
        <f>SUM(E190:E193)</f>
        <v>174000</v>
      </c>
      <c r="F194" s="964">
        <v>0</v>
      </c>
      <c r="G194" s="963">
        <f t="shared" ref="G194:M194" si="46">SUM(G190:G193)</f>
        <v>174000</v>
      </c>
      <c r="H194" s="963">
        <f t="shared" si="46"/>
        <v>4993.8</v>
      </c>
      <c r="I194" s="966">
        <f t="shared" si="46"/>
        <v>3746.48</v>
      </c>
      <c r="J194" s="963">
        <f t="shared" si="46"/>
        <v>5289.6</v>
      </c>
      <c r="K194" s="963">
        <f t="shared" si="46"/>
        <v>100</v>
      </c>
      <c r="L194" s="963">
        <f t="shared" si="46"/>
        <v>14129.880000000001</v>
      </c>
      <c r="M194" s="963">
        <f t="shared" si="46"/>
        <v>159870.12</v>
      </c>
    </row>
    <row r="195" spans="1:13" ht="18.75" x14ac:dyDescent="0.3">
      <c r="A195" s="961"/>
      <c r="B195" s="950"/>
      <c r="C195" s="962"/>
      <c r="D195" s="962"/>
      <c r="E195" s="963"/>
      <c r="F195" s="964"/>
      <c r="G195" s="963"/>
      <c r="H195" s="963"/>
      <c r="I195" s="966"/>
      <c r="J195" s="963"/>
      <c r="K195" s="963"/>
      <c r="L195" s="963"/>
      <c r="M195" s="963"/>
    </row>
    <row r="196" spans="1:13" ht="18.75" x14ac:dyDescent="0.3">
      <c r="A196" s="961" t="s">
        <v>1221</v>
      </c>
      <c r="B196" s="950"/>
      <c r="C196" s="967"/>
      <c r="D196" s="967"/>
      <c r="E196" s="963"/>
      <c r="F196" s="964"/>
      <c r="G196" s="965"/>
      <c r="H196" s="965"/>
      <c r="I196" s="966"/>
      <c r="J196" s="963"/>
      <c r="K196" s="963"/>
      <c r="L196" s="963"/>
      <c r="M196" s="965"/>
    </row>
    <row r="197" spans="1:13" ht="18.75" x14ac:dyDescent="0.3">
      <c r="A197" s="961" t="s">
        <v>1739</v>
      </c>
      <c r="B197" s="950"/>
      <c r="C197" s="1026"/>
      <c r="D197" s="960"/>
      <c r="E197" s="951"/>
      <c r="F197" s="974"/>
      <c r="G197" s="1032"/>
      <c r="H197" s="951"/>
      <c r="I197" s="1197"/>
      <c r="J197" s="951"/>
      <c r="K197" s="951"/>
      <c r="L197" s="1032"/>
      <c r="M197" s="1032"/>
    </row>
    <row r="198" spans="1:13" ht="18.75" x14ac:dyDescent="0.3">
      <c r="A198" s="1027" t="s">
        <v>1478</v>
      </c>
      <c r="B198" s="950" t="s">
        <v>806</v>
      </c>
      <c r="C198" s="1024" t="s">
        <v>1706</v>
      </c>
      <c r="D198" s="960" t="s">
        <v>1069</v>
      </c>
      <c r="E198" s="951">
        <v>120000</v>
      </c>
      <c r="F198" s="974">
        <v>0</v>
      </c>
      <c r="G198" s="1032">
        <v>120000</v>
      </c>
      <c r="H198" s="951">
        <v>3444</v>
      </c>
      <c r="I198" s="1032">
        <v>16809.87</v>
      </c>
      <c r="J198" s="951">
        <v>3648</v>
      </c>
      <c r="K198" s="951">
        <v>25</v>
      </c>
      <c r="L198" s="1032">
        <f>+H198+I198+J198+K198</f>
        <v>23926.87</v>
      </c>
      <c r="M198" s="1032">
        <f t="shared" ref="M198:M204" si="47">+G198-L198</f>
        <v>96073.13</v>
      </c>
    </row>
    <row r="199" spans="1:13" ht="18.75" x14ac:dyDescent="0.3">
      <c r="A199" s="1027" t="s">
        <v>244</v>
      </c>
      <c r="B199" s="950" t="s">
        <v>806</v>
      </c>
      <c r="C199" s="1024" t="s">
        <v>489</v>
      </c>
      <c r="D199" s="960" t="s">
        <v>1064</v>
      </c>
      <c r="E199" s="951">
        <v>80000</v>
      </c>
      <c r="F199" s="974">
        <v>0</v>
      </c>
      <c r="G199" s="1032">
        <v>80000</v>
      </c>
      <c r="H199" s="951">
        <v>2296</v>
      </c>
      <c r="I199" s="1032">
        <v>7400.87</v>
      </c>
      <c r="J199" s="951">
        <v>2432</v>
      </c>
      <c r="K199" s="951">
        <v>25</v>
      </c>
      <c r="L199" s="1032">
        <f>+H199+I199+J199+K199</f>
        <v>12153.869999999999</v>
      </c>
      <c r="M199" s="1032">
        <f t="shared" si="47"/>
        <v>67846.13</v>
      </c>
    </row>
    <row r="200" spans="1:13" ht="18.75" x14ac:dyDescent="0.3">
      <c r="A200" s="1027" t="s">
        <v>84</v>
      </c>
      <c r="B200" s="950" t="s">
        <v>806</v>
      </c>
      <c r="C200" s="1024" t="s">
        <v>117</v>
      </c>
      <c r="D200" s="960" t="s">
        <v>307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5368.48</v>
      </c>
      <c r="J200" s="951">
        <v>2128</v>
      </c>
      <c r="K200" s="951">
        <v>25</v>
      </c>
      <c r="L200" s="1032">
        <f>+H200+I200+J200+K200</f>
        <v>9530.48</v>
      </c>
      <c r="M200" s="1032">
        <f t="shared" si="47"/>
        <v>60469.520000000004</v>
      </c>
    </row>
    <row r="201" spans="1:13" ht="18.75" x14ac:dyDescent="0.3">
      <c r="A201" s="1027" t="s">
        <v>94</v>
      </c>
      <c r="B201" s="950" t="s">
        <v>807</v>
      </c>
      <c r="C201" s="1024" t="s">
        <v>71</v>
      </c>
      <c r="D201" s="960" t="s">
        <v>1069</v>
      </c>
      <c r="E201" s="951">
        <v>70000</v>
      </c>
      <c r="F201" s="974">
        <v>0</v>
      </c>
      <c r="G201" s="951">
        <v>70000</v>
      </c>
      <c r="H201" s="951">
        <v>2009</v>
      </c>
      <c r="I201" s="1032">
        <v>5025.38</v>
      </c>
      <c r="J201" s="951">
        <v>2128</v>
      </c>
      <c r="K201" s="951">
        <v>1740.46</v>
      </c>
      <c r="L201" s="1032">
        <v>10902.84</v>
      </c>
      <c r="M201" s="1032">
        <f t="shared" si="47"/>
        <v>59097.16</v>
      </c>
    </row>
    <row r="202" spans="1:13" ht="18.75" x14ac:dyDescent="0.3">
      <c r="A202" s="1027" t="s">
        <v>156</v>
      </c>
      <c r="B202" s="950" t="s">
        <v>806</v>
      </c>
      <c r="C202" s="1024" t="s">
        <v>1044</v>
      </c>
      <c r="D202" s="960" t="s">
        <v>1069</v>
      </c>
      <c r="E202" s="951">
        <v>80000</v>
      </c>
      <c r="F202" s="974">
        <v>0</v>
      </c>
      <c r="G202" s="951">
        <v>80000</v>
      </c>
      <c r="H202" s="951">
        <v>2296</v>
      </c>
      <c r="I202" s="1032">
        <v>6972</v>
      </c>
      <c r="J202" s="951">
        <v>2432</v>
      </c>
      <c r="K202" s="951">
        <v>1740.46</v>
      </c>
      <c r="L202" s="1032">
        <f>+H202+I202+J202+K202</f>
        <v>13440.46</v>
      </c>
      <c r="M202" s="1032">
        <f t="shared" si="47"/>
        <v>66559.540000000008</v>
      </c>
    </row>
    <row r="203" spans="1:13" ht="18.75" x14ac:dyDescent="0.3">
      <c r="A203" s="1028" t="s">
        <v>177</v>
      </c>
      <c r="B203" s="1001" t="s">
        <v>807</v>
      </c>
      <c r="C203" s="1025" t="s">
        <v>1204</v>
      </c>
      <c r="D203" s="1024" t="s">
        <v>1069</v>
      </c>
      <c r="E203" s="951">
        <v>55000</v>
      </c>
      <c r="F203" s="974">
        <v>0</v>
      </c>
      <c r="G203" s="1032">
        <v>55000</v>
      </c>
      <c r="H203" s="956">
        <v>1578.5</v>
      </c>
      <c r="I203" s="1275">
        <v>2559.6799999999998</v>
      </c>
      <c r="J203" s="951">
        <v>1672</v>
      </c>
      <c r="K203" s="956">
        <v>2097.1999999999998</v>
      </c>
      <c r="L203" s="1032">
        <f>+H203+I203+J203+K203</f>
        <v>7907.38</v>
      </c>
      <c r="M203" s="1032">
        <f t="shared" si="47"/>
        <v>47092.62</v>
      </c>
    </row>
    <row r="204" spans="1:13" ht="18.75" x14ac:dyDescent="0.3">
      <c r="A204" s="955" t="s">
        <v>1710</v>
      </c>
      <c r="B204" s="968" t="s">
        <v>807</v>
      </c>
      <c r="C204" s="960" t="s">
        <v>521</v>
      </c>
      <c r="D204" s="960" t="s">
        <v>307</v>
      </c>
      <c r="E204" s="951">
        <v>43500</v>
      </c>
      <c r="F204" s="974">
        <v>0</v>
      </c>
      <c r="G204" s="951">
        <v>43500</v>
      </c>
      <c r="H204" s="951">
        <v>1248.45</v>
      </c>
      <c r="I204" s="1191">
        <v>936.62</v>
      </c>
      <c r="J204" s="951">
        <v>1322.4</v>
      </c>
      <c r="K204" s="951">
        <v>25</v>
      </c>
      <c r="L204" s="951">
        <f>+H204+I204+J204+K204</f>
        <v>3532.4700000000003</v>
      </c>
      <c r="M204" s="953">
        <f t="shared" si="47"/>
        <v>39967.53</v>
      </c>
    </row>
    <row r="205" spans="1:13" ht="18.75" x14ac:dyDescent="0.3">
      <c r="A205" s="1027" t="s">
        <v>1717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1718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f>+H206+I206+J206+K206</f>
        <v>3532.4700000000003</v>
      </c>
      <c r="M206" s="1032">
        <f t="shared" ref="M206:M211" si="48">+G206-L206</f>
        <v>39967.53</v>
      </c>
    </row>
    <row r="207" spans="1:13" ht="18.75" x14ac:dyDescent="0.3">
      <c r="A207" s="1027" t="s">
        <v>1721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>+H207+I207+J207+K207</f>
        <v>1502.5</v>
      </c>
      <c r="M207" s="1032">
        <f t="shared" si="48"/>
        <v>23497.5</v>
      </c>
    </row>
    <row r="208" spans="1:13" ht="18.75" x14ac:dyDescent="0.3">
      <c r="A208" s="1027" t="s">
        <v>1722</v>
      </c>
      <c r="B208" s="950" t="s">
        <v>1151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>+H208+I208+J208+K208</f>
        <v>1502.5</v>
      </c>
      <c r="M208" s="1032">
        <f t="shared" si="48"/>
        <v>23497.5</v>
      </c>
    </row>
    <row r="209" spans="1:13" ht="18.75" x14ac:dyDescent="0.3">
      <c r="A209" s="1024" t="s">
        <v>830</v>
      </c>
      <c r="B209" s="950" t="s">
        <v>806</v>
      </c>
      <c r="C209" s="1026" t="s">
        <v>92</v>
      </c>
      <c r="D209" s="960" t="s">
        <v>1067</v>
      </c>
      <c r="E209" s="978">
        <v>30000</v>
      </c>
      <c r="F209" s="979">
        <v>0</v>
      </c>
      <c r="G209" s="1032">
        <v>30000</v>
      </c>
      <c r="H209" s="951">
        <v>861</v>
      </c>
      <c r="I209" s="1197">
        <v>0</v>
      </c>
      <c r="J209" s="951">
        <v>912</v>
      </c>
      <c r="K209" s="951">
        <v>25</v>
      </c>
      <c r="L209" s="1032">
        <f>+H209+I209+J209+K209</f>
        <v>1798</v>
      </c>
      <c r="M209" s="1032">
        <f t="shared" si="48"/>
        <v>28202</v>
      </c>
    </row>
    <row r="210" spans="1:13" ht="18.75" x14ac:dyDescent="0.3">
      <c r="A210" s="1027" t="s">
        <v>1723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197">
        <v>0</v>
      </c>
      <c r="J210" s="951">
        <v>912</v>
      </c>
      <c r="K210" s="951">
        <v>25</v>
      </c>
      <c r="L210" s="1032">
        <f>+H210+I210+J210+K210</f>
        <v>1798</v>
      </c>
      <c r="M210" s="1032">
        <f t="shared" si="48"/>
        <v>28202</v>
      </c>
    </row>
    <row r="211" spans="1:13" ht="18.75" x14ac:dyDescent="0.3">
      <c r="A211" s="1027" t="s">
        <v>1729</v>
      </c>
      <c r="B211" s="950" t="s">
        <v>806</v>
      </c>
      <c r="C211" s="1026" t="s">
        <v>92</v>
      </c>
      <c r="D211" s="960" t="s">
        <v>1067</v>
      </c>
      <c r="E211" s="951">
        <v>30000</v>
      </c>
      <c r="F211" s="974">
        <v>0</v>
      </c>
      <c r="G211" s="1032">
        <v>30000</v>
      </c>
      <c r="H211" s="951">
        <v>861</v>
      </c>
      <c r="I211" s="1197">
        <v>0</v>
      </c>
      <c r="J211" s="951">
        <v>912</v>
      </c>
      <c r="K211" s="951">
        <v>1740.46</v>
      </c>
      <c r="L211" s="1032">
        <v>3513.46</v>
      </c>
      <c r="M211" s="1032">
        <f t="shared" si="48"/>
        <v>26486.54</v>
      </c>
    </row>
    <row r="212" spans="1:13" ht="18.75" x14ac:dyDescent="0.3">
      <c r="A212" s="949" t="s">
        <v>847</v>
      </c>
      <c r="B212" s="999"/>
      <c r="C212" s="962">
        <v>14</v>
      </c>
      <c r="D212" s="962"/>
      <c r="E212" s="963">
        <f>SUM(E198:E211)</f>
        <v>745500</v>
      </c>
      <c r="F212" s="964">
        <v>0</v>
      </c>
      <c r="G212" s="963">
        <f t="shared" ref="G212:M212" si="49">SUM(G198:G211)</f>
        <v>745500</v>
      </c>
      <c r="H212" s="963">
        <f t="shared" si="49"/>
        <v>21395.850000000002</v>
      </c>
      <c r="I212" s="963">
        <f t="shared" si="49"/>
        <v>46946.140000000007</v>
      </c>
      <c r="J212" s="963">
        <f t="shared" si="49"/>
        <v>22663.200000000001</v>
      </c>
      <c r="K212" s="963">
        <f t="shared" si="49"/>
        <v>7568.58</v>
      </c>
      <c r="L212" s="963">
        <f t="shared" si="49"/>
        <v>98573.77</v>
      </c>
      <c r="M212" s="963">
        <f t="shared" si="49"/>
        <v>646926.23000000021</v>
      </c>
    </row>
    <row r="213" spans="1:13" ht="18.75" x14ac:dyDescent="0.3">
      <c r="A213" s="949"/>
      <c r="B213" s="999"/>
      <c r="C213" s="962"/>
      <c r="D213" s="962"/>
      <c r="E213" s="963"/>
      <c r="G213" s="963"/>
      <c r="H213" s="963"/>
      <c r="I213" s="966"/>
      <c r="J213" s="963"/>
      <c r="K213" s="963"/>
      <c r="L213" s="963"/>
      <c r="M213" s="963"/>
    </row>
    <row r="214" spans="1:13" ht="18.75" x14ac:dyDescent="0.3">
      <c r="A214" s="961" t="s">
        <v>1740</v>
      </c>
      <c r="B214" s="950"/>
      <c r="C214" s="967"/>
      <c r="D214" s="967"/>
      <c r="E214" s="963"/>
      <c r="F214" s="964"/>
      <c r="G214" s="965"/>
      <c r="H214" s="965"/>
      <c r="I214" s="966"/>
      <c r="J214" s="963"/>
      <c r="K214" s="963"/>
      <c r="L214" s="963"/>
      <c r="M214" s="965"/>
    </row>
    <row r="215" spans="1:13" ht="18.75" x14ac:dyDescent="0.3">
      <c r="A215" s="1027" t="s">
        <v>1707</v>
      </c>
      <c r="B215" s="950" t="s">
        <v>806</v>
      </c>
      <c r="C215" s="1024" t="s">
        <v>1708</v>
      </c>
      <c r="D215" s="960" t="s">
        <v>1069</v>
      </c>
      <c r="E215" s="951">
        <v>120000</v>
      </c>
      <c r="F215" s="974">
        <v>0</v>
      </c>
      <c r="G215" s="1032">
        <v>120000</v>
      </c>
      <c r="H215" s="951">
        <v>3444</v>
      </c>
      <c r="I215" s="1198">
        <v>16809.87</v>
      </c>
      <c r="J215" s="951">
        <v>3648</v>
      </c>
      <c r="K215" s="951">
        <v>25</v>
      </c>
      <c r="L215" s="1032">
        <f>+H215+I215+J215+K215</f>
        <v>23926.87</v>
      </c>
      <c r="M215" s="1031">
        <f>+G215-L215</f>
        <v>96073.13</v>
      </c>
    </row>
    <row r="216" spans="1:13" ht="18.75" x14ac:dyDescent="0.3">
      <c r="A216" s="1027" t="s">
        <v>1709</v>
      </c>
      <c r="B216" s="950" t="s">
        <v>807</v>
      </c>
      <c r="C216" s="1024" t="s">
        <v>117</v>
      </c>
      <c r="D216" s="960" t="s">
        <v>1069</v>
      </c>
      <c r="E216" s="951">
        <v>80000</v>
      </c>
      <c r="F216" s="974">
        <v>0</v>
      </c>
      <c r="G216" s="951">
        <v>80000</v>
      </c>
      <c r="H216" s="951">
        <v>2296</v>
      </c>
      <c r="I216" s="1198">
        <v>6564.09</v>
      </c>
      <c r="J216" s="951">
        <v>2432</v>
      </c>
      <c r="K216" s="951">
        <v>4158.92</v>
      </c>
      <c r="L216" s="1032">
        <f>+H216+I216+J216+K216</f>
        <v>15451.01</v>
      </c>
      <c r="M216" s="1031">
        <f>+G216-L216</f>
        <v>64548.99</v>
      </c>
    </row>
    <row r="217" spans="1:13" ht="18.75" x14ac:dyDescent="0.3">
      <c r="A217" s="1027" t="s">
        <v>1713</v>
      </c>
      <c r="B217" s="950" t="s">
        <v>807</v>
      </c>
      <c r="C217" s="1024" t="s">
        <v>276</v>
      </c>
      <c r="D217" s="960" t="s">
        <v>307</v>
      </c>
      <c r="E217" s="951">
        <v>37500</v>
      </c>
      <c r="F217" s="974">
        <v>0</v>
      </c>
      <c r="G217" s="1032">
        <v>37500</v>
      </c>
      <c r="H217" s="951">
        <v>1076.25</v>
      </c>
      <c r="I217" s="1197">
        <v>89.81</v>
      </c>
      <c r="J217" s="951">
        <v>1140</v>
      </c>
      <c r="K217" s="951">
        <v>25</v>
      </c>
      <c r="L217" s="1032">
        <f>+H217+I217+J217+K217</f>
        <v>2331.06</v>
      </c>
      <c r="M217" s="1032">
        <f>+G217-L217</f>
        <v>35168.94</v>
      </c>
    </row>
    <row r="218" spans="1:13" ht="18.75" x14ac:dyDescent="0.3">
      <c r="A218" s="1027" t="s">
        <v>1329</v>
      </c>
      <c r="B218" s="950" t="s">
        <v>1330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197">
        <v>936.62</v>
      </c>
      <c r="J218" s="951">
        <v>1322.4</v>
      </c>
      <c r="K218" s="951">
        <v>25</v>
      </c>
      <c r="L218" s="1032">
        <f>+H218+I218+J218+K218</f>
        <v>3532.4700000000003</v>
      </c>
      <c r="M218" s="1032">
        <f>+G218-L218</f>
        <v>39967.53</v>
      </c>
    </row>
    <row r="219" spans="1:13" ht="18.75" x14ac:dyDescent="0.3">
      <c r="A219" s="1027" t="s">
        <v>1716</v>
      </c>
      <c r="B219" s="950" t="s">
        <v>806</v>
      </c>
      <c r="C219" s="1024" t="s">
        <v>1325</v>
      </c>
      <c r="D219" s="960" t="s">
        <v>307</v>
      </c>
      <c r="E219" s="951">
        <v>43500</v>
      </c>
      <c r="F219" s="974">
        <v>0</v>
      </c>
      <c r="G219" s="1032">
        <v>43500</v>
      </c>
      <c r="H219" s="951">
        <v>1248.45</v>
      </c>
      <c r="I219" s="1036">
        <v>936.62</v>
      </c>
      <c r="J219" s="951">
        <v>1322.4</v>
      </c>
      <c r="K219" s="951">
        <v>25</v>
      </c>
      <c r="L219" s="1032">
        <v>3532.4700000000003</v>
      </c>
      <c r="M219" s="1032">
        <v>39967.53</v>
      </c>
    </row>
    <row r="220" spans="1:13" ht="18.75" x14ac:dyDescent="0.3">
      <c r="A220" s="1027" t="s">
        <v>698</v>
      </c>
      <c r="B220" s="950" t="s">
        <v>807</v>
      </c>
      <c r="C220" s="1024" t="s">
        <v>105</v>
      </c>
      <c r="D220" s="960" t="s">
        <v>1067</v>
      </c>
      <c r="E220" s="951">
        <v>25000</v>
      </c>
      <c r="F220" s="974">
        <v>0</v>
      </c>
      <c r="G220" s="1032">
        <v>25000</v>
      </c>
      <c r="H220" s="951">
        <v>717.5</v>
      </c>
      <c r="I220" s="1197">
        <v>0</v>
      </c>
      <c r="J220" s="951">
        <v>760</v>
      </c>
      <c r="K220" s="951">
        <v>25</v>
      </c>
      <c r="L220" s="1032">
        <f>+H220+I220+J220+K220</f>
        <v>1502.5</v>
      </c>
      <c r="M220" s="1032">
        <f>+G220-L220</f>
        <v>23497.5</v>
      </c>
    </row>
    <row r="221" spans="1:13" ht="18.75" x14ac:dyDescent="0.3">
      <c r="A221" s="1027" t="s">
        <v>1725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2134</v>
      </c>
      <c r="L221" s="1032">
        <f>+H221+I221+J221+K221</f>
        <v>3907</v>
      </c>
      <c r="M221" s="1032">
        <f>+G221-L221</f>
        <v>26093</v>
      </c>
    </row>
    <row r="222" spans="1:13" ht="17.25" customHeight="1" x14ac:dyDescent="0.3">
      <c r="A222" s="1027" t="s">
        <v>1727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f>+H222+I222+J222+K222</f>
        <v>1798</v>
      </c>
      <c r="M222" s="1032">
        <f>+G222-L222</f>
        <v>28202</v>
      </c>
    </row>
    <row r="223" spans="1:13" ht="18.75" x14ac:dyDescent="0.3">
      <c r="A223" s="1027" t="s">
        <v>1730</v>
      </c>
      <c r="B223" s="950" t="s">
        <v>806</v>
      </c>
      <c r="C223" s="1026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>+G223-L223</f>
        <v>28202</v>
      </c>
    </row>
    <row r="224" spans="1:13" ht="18.75" x14ac:dyDescent="0.3">
      <c r="A224" s="961" t="s">
        <v>847</v>
      </c>
      <c r="B224" s="950"/>
      <c r="C224" s="962">
        <v>9</v>
      </c>
      <c r="D224" s="960"/>
      <c r="E224" s="963">
        <f>SUM(E215:E223)</f>
        <v>439500</v>
      </c>
      <c r="F224" s="964">
        <v>0</v>
      </c>
      <c r="G224" s="963">
        <f>SUM(G215:G223)</f>
        <v>439500</v>
      </c>
      <c r="H224" s="963">
        <f t="shared" ref="H224:M224" si="50">SUM(H215:H223)</f>
        <v>12613.65</v>
      </c>
      <c r="I224" s="963">
        <f t="shared" si="50"/>
        <v>25337.01</v>
      </c>
      <c r="J224" s="963">
        <f t="shared" si="50"/>
        <v>13360.8</v>
      </c>
      <c r="K224" s="963">
        <f t="shared" si="50"/>
        <v>6467.92</v>
      </c>
      <c r="L224" s="963">
        <f t="shared" si="50"/>
        <v>57779.38</v>
      </c>
      <c r="M224" s="963">
        <f t="shared" si="50"/>
        <v>381720.62</v>
      </c>
    </row>
    <row r="225" spans="1:13" ht="18.75" x14ac:dyDescent="0.3">
      <c r="A225" s="961"/>
      <c r="B225" s="950"/>
      <c r="C225" s="962"/>
      <c r="D225" s="960"/>
      <c r="F225" s="974"/>
      <c r="G225" s="1032"/>
      <c r="H225" s="951"/>
      <c r="I225" s="1197"/>
      <c r="J225" s="951"/>
      <c r="K225" s="951"/>
      <c r="L225" s="1032"/>
      <c r="M225" s="1032"/>
    </row>
    <row r="226" spans="1:13" ht="18.75" x14ac:dyDescent="0.3">
      <c r="A226" s="961" t="s">
        <v>1741</v>
      </c>
      <c r="B226" s="950"/>
      <c r="C226" s="1026"/>
      <c r="D226" s="960"/>
      <c r="E226" s="951"/>
      <c r="F226" s="974"/>
      <c r="G226" s="1032"/>
      <c r="H226" s="951"/>
      <c r="I226" s="1197"/>
      <c r="J226" s="951"/>
      <c r="K226" s="951"/>
      <c r="L226" s="1032"/>
      <c r="M226" s="1032"/>
    </row>
    <row r="227" spans="1:13" ht="18.75" x14ac:dyDescent="0.3">
      <c r="A227" s="1027" t="s">
        <v>1712</v>
      </c>
      <c r="B227" s="950" t="s">
        <v>807</v>
      </c>
      <c r="C227" s="1024" t="s">
        <v>276</v>
      </c>
      <c r="D227" s="960" t="s">
        <v>307</v>
      </c>
      <c r="E227" s="951">
        <v>37500</v>
      </c>
      <c r="F227" s="974">
        <v>0</v>
      </c>
      <c r="G227" s="1032">
        <v>37500</v>
      </c>
      <c r="H227" s="951">
        <v>1076.25</v>
      </c>
      <c r="I227" s="1197">
        <v>89.81</v>
      </c>
      <c r="J227" s="951">
        <v>1140</v>
      </c>
      <c r="K227" s="951">
        <v>25</v>
      </c>
      <c r="L227" s="1032">
        <f>+H227+I227+J227+K227</f>
        <v>2331.06</v>
      </c>
      <c r="M227" s="1032">
        <f>+G227-L227</f>
        <v>35168.94</v>
      </c>
    </row>
    <row r="228" spans="1:13" ht="18.75" x14ac:dyDescent="0.3">
      <c r="A228" s="1027" t="s">
        <v>1715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197">
        <v>936.62</v>
      </c>
      <c r="J228" s="951">
        <v>1322.4</v>
      </c>
      <c r="K228" s="951">
        <v>25</v>
      </c>
      <c r="L228" s="1032">
        <f>+H228+I228+J228+K228</f>
        <v>3532.4700000000003</v>
      </c>
      <c r="M228" s="1032">
        <f>+G228-L228</f>
        <v>39967.53</v>
      </c>
    </row>
    <row r="229" spans="1:13" ht="18.75" x14ac:dyDescent="0.3">
      <c r="A229" s="1027" t="s">
        <v>1336</v>
      </c>
      <c r="B229" s="950" t="s">
        <v>806</v>
      </c>
      <c r="C229" s="1024" t="s">
        <v>1325</v>
      </c>
      <c r="D229" s="960" t="s">
        <v>307</v>
      </c>
      <c r="E229" s="951">
        <v>43500</v>
      </c>
      <c r="F229" s="974">
        <v>0</v>
      </c>
      <c r="G229" s="1032">
        <v>43500</v>
      </c>
      <c r="H229" s="951">
        <v>1248.45</v>
      </c>
      <c r="I229" s="1197">
        <v>936.62</v>
      </c>
      <c r="J229" s="951">
        <v>1322.4</v>
      </c>
      <c r="K229" s="951">
        <v>25</v>
      </c>
      <c r="L229" s="1032">
        <v>3532.4700000000003</v>
      </c>
      <c r="M229" s="1032">
        <v>39967.53</v>
      </c>
    </row>
    <row r="230" spans="1:13" ht="18.75" x14ac:dyDescent="0.3">
      <c r="A230" s="1027" t="s">
        <v>1719</v>
      </c>
      <c r="B230" s="999" t="s">
        <v>807</v>
      </c>
      <c r="C230" s="1024" t="s">
        <v>105</v>
      </c>
      <c r="D230" s="960" t="s">
        <v>1067</v>
      </c>
      <c r="E230" s="951">
        <v>25000</v>
      </c>
      <c r="F230" s="974">
        <v>0</v>
      </c>
      <c r="G230" s="1032">
        <v>25000</v>
      </c>
      <c r="H230" s="951">
        <v>717.5</v>
      </c>
      <c r="I230" s="1197">
        <v>0</v>
      </c>
      <c r="J230" s="951">
        <v>760</v>
      </c>
      <c r="K230" s="951">
        <v>25</v>
      </c>
      <c r="L230" s="1032">
        <f>+H230+I230+J230+K230</f>
        <v>1502.5</v>
      </c>
      <c r="M230" s="1032">
        <f>+G230-L230</f>
        <v>23497.5</v>
      </c>
    </row>
    <row r="231" spans="1:13" ht="18.75" x14ac:dyDescent="0.3">
      <c r="A231" s="1027" t="s">
        <v>1726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197">
        <v>0</v>
      </c>
      <c r="J231" s="951">
        <v>912</v>
      </c>
      <c r="K231" s="951">
        <v>25</v>
      </c>
      <c r="L231" s="1032">
        <f>+H231+I231+J231+K231</f>
        <v>1798</v>
      </c>
      <c r="M231" s="1032">
        <f>+G231-L231</f>
        <v>28202</v>
      </c>
    </row>
    <row r="232" spans="1:13" ht="18.75" x14ac:dyDescent="0.3">
      <c r="A232" s="1027" t="s">
        <v>1728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197">
        <v>0</v>
      </c>
      <c r="J232" s="951">
        <v>912</v>
      </c>
      <c r="K232" s="951">
        <v>25</v>
      </c>
      <c r="L232" s="1032">
        <v>1798</v>
      </c>
      <c r="M232" s="1032">
        <f>+G232-L232</f>
        <v>28202</v>
      </c>
    </row>
    <row r="233" spans="1:13" ht="18.75" x14ac:dyDescent="0.3">
      <c r="A233" s="1027" t="s">
        <v>1731</v>
      </c>
      <c r="B233" s="950" t="s">
        <v>806</v>
      </c>
      <c r="C233" s="1026" t="s">
        <v>92</v>
      </c>
      <c r="D233" s="960" t="s">
        <v>1067</v>
      </c>
      <c r="E233" s="951">
        <v>30000</v>
      </c>
      <c r="F233" s="974">
        <v>0</v>
      </c>
      <c r="G233" s="1032">
        <v>30000</v>
      </c>
      <c r="H233" s="951">
        <v>861</v>
      </c>
      <c r="I233" s="1197">
        <v>0</v>
      </c>
      <c r="J233" s="951">
        <v>912</v>
      </c>
      <c r="K233" s="951">
        <v>25</v>
      </c>
      <c r="L233" s="1032">
        <v>1798</v>
      </c>
      <c r="M233" s="1032">
        <f>+G233-L233</f>
        <v>28202</v>
      </c>
    </row>
    <row r="234" spans="1:13" ht="18.75" x14ac:dyDescent="0.3">
      <c r="A234" s="961" t="s">
        <v>847</v>
      </c>
      <c r="B234" s="950"/>
      <c r="C234" s="962">
        <v>7</v>
      </c>
      <c r="D234" s="960"/>
      <c r="E234" s="963">
        <f>SUM(E227:E233)</f>
        <v>239500</v>
      </c>
      <c r="F234" s="964">
        <v>0</v>
      </c>
      <c r="G234" s="963">
        <f t="shared" ref="G234:M234" si="51">SUM(G227:G233)</f>
        <v>239500</v>
      </c>
      <c r="H234" s="963">
        <f t="shared" si="51"/>
        <v>6873.65</v>
      </c>
      <c r="I234" s="963">
        <f t="shared" si="51"/>
        <v>1963.0500000000002</v>
      </c>
      <c r="J234" s="963">
        <f t="shared" si="51"/>
        <v>7280.8</v>
      </c>
      <c r="K234" s="963">
        <f t="shared" si="51"/>
        <v>175</v>
      </c>
      <c r="L234" s="963">
        <f t="shared" si="51"/>
        <v>16292.5</v>
      </c>
      <c r="M234" s="963">
        <f t="shared" si="51"/>
        <v>223207.5</v>
      </c>
    </row>
    <row r="235" spans="1:13" ht="18.75" x14ac:dyDescent="0.3">
      <c r="A235" s="961"/>
      <c r="B235" s="950"/>
      <c r="C235" s="962"/>
      <c r="D235" s="960"/>
      <c r="E235" s="951"/>
      <c r="F235" s="974"/>
      <c r="G235" s="1032"/>
      <c r="H235" s="951"/>
      <c r="I235" s="1197"/>
      <c r="J235" s="951"/>
      <c r="K235" s="951"/>
      <c r="L235" s="1032"/>
      <c r="M235" s="1032"/>
    </row>
    <row r="236" spans="1:13" ht="18.75" x14ac:dyDescent="0.3">
      <c r="A236" s="961" t="s">
        <v>1742</v>
      </c>
      <c r="B236" s="950"/>
      <c r="C236" s="1026"/>
      <c r="D236" s="960"/>
      <c r="E236" s="951"/>
      <c r="F236" s="974"/>
      <c r="G236" s="1032"/>
      <c r="H236" s="951"/>
      <c r="I236" s="1197"/>
      <c r="J236" s="951"/>
      <c r="K236" s="951"/>
      <c r="L236" s="1032"/>
      <c r="M236" s="1032"/>
    </row>
    <row r="237" spans="1:13" ht="18.75" x14ac:dyDescent="0.3">
      <c r="A237" s="1027" t="s">
        <v>1711</v>
      </c>
      <c r="B237" s="950" t="s">
        <v>807</v>
      </c>
      <c r="C237" s="1024" t="s">
        <v>521</v>
      </c>
      <c r="D237" s="960" t="s">
        <v>307</v>
      </c>
      <c r="E237" s="951">
        <v>37500</v>
      </c>
      <c r="F237" s="974">
        <v>0</v>
      </c>
      <c r="G237" s="1032">
        <v>37500</v>
      </c>
      <c r="H237" s="951">
        <v>1076.25</v>
      </c>
      <c r="I237" s="1197">
        <v>89.81</v>
      </c>
      <c r="J237" s="951">
        <v>1140</v>
      </c>
      <c r="K237" s="951">
        <v>25</v>
      </c>
      <c r="L237" s="1032">
        <f>+H237+I237+J237+K237</f>
        <v>2331.06</v>
      </c>
      <c r="M237" s="1032">
        <f t="shared" ref="M237:M242" si="52">+G237-L237</f>
        <v>35168.94</v>
      </c>
    </row>
    <row r="238" spans="1:13" ht="18.75" x14ac:dyDescent="0.3">
      <c r="A238" s="1027" t="s">
        <v>1714</v>
      </c>
      <c r="B238" s="950" t="s">
        <v>807</v>
      </c>
      <c r="C238" s="1024" t="s">
        <v>276</v>
      </c>
      <c r="D238" s="960" t="s">
        <v>307</v>
      </c>
      <c r="E238" s="951">
        <v>43500</v>
      </c>
      <c r="F238" s="974">
        <v>0</v>
      </c>
      <c r="G238" s="1032">
        <v>43500</v>
      </c>
      <c r="H238" s="951">
        <v>1248.45</v>
      </c>
      <c r="I238" s="1197">
        <v>936.62</v>
      </c>
      <c r="J238" s="951">
        <v>1322.4</v>
      </c>
      <c r="K238" s="951">
        <v>25</v>
      </c>
      <c r="L238" s="1032">
        <f>+H238+I238+J238+K238</f>
        <v>3532.4700000000003</v>
      </c>
      <c r="M238" s="1032">
        <f t="shared" si="52"/>
        <v>39967.53</v>
      </c>
    </row>
    <row r="239" spans="1:13" ht="18.75" x14ac:dyDescent="0.3">
      <c r="A239" s="1027" t="s">
        <v>1440</v>
      </c>
      <c r="B239" s="950" t="s">
        <v>807</v>
      </c>
      <c r="C239" s="1024" t="s">
        <v>276</v>
      </c>
      <c r="D239" s="960" t="s">
        <v>307</v>
      </c>
      <c r="E239" s="951">
        <v>37500</v>
      </c>
      <c r="F239" s="974">
        <v>0</v>
      </c>
      <c r="G239" s="1032">
        <v>37500</v>
      </c>
      <c r="H239" s="951">
        <v>1076.25</v>
      </c>
      <c r="I239" s="1197">
        <v>89.81</v>
      </c>
      <c r="J239" s="951">
        <v>1140</v>
      </c>
      <c r="K239" s="951">
        <v>25</v>
      </c>
      <c r="L239" s="1032">
        <v>2331.06</v>
      </c>
      <c r="M239" s="1032">
        <f t="shared" si="52"/>
        <v>35168.94</v>
      </c>
    </row>
    <row r="240" spans="1:13" ht="18.75" x14ac:dyDescent="0.3">
      <c r="A240" s="1027" t="s">
        <v>1720</v>
      </c>
      <c r="B240" s="999" t="s">
        <v>807</v>
      </c>
      <c r="C240" s="1024" t="s">
        <v>105</v>
      </c>
      <c r="D240" s="960" t="s">
        <v>1067</v>
      </c>
      <c r="E240" s="951">
        <v>25000</v>
      </c>
      <c r="F240" s="974">
        <v>0</v>
      </c>
      <c r="G240" s="1032">
        <v>25000</v>
      </c>
      <c r="H240" s="951">
        <v>717.5</v>
      </c>
      <c r="I240" s="1197">
        <v>0</v>
      </c>
      <c r="J240" s="951">
        <v>760</v>
      </c>
      <c r="K240" s="951">
        <v>25</v>
      </c>
      <c r="L240" s="1032">
        <f>+H240+I240+J240+K240</f>
        <v>1502.5</v>
      </c>
      <c r="M240" s="1032">
        <f t="shared" si="52"/>
        <v>23497.5</v>
      </c>
    </row>
    <row r="241" spans="1:13" ht="18.75" x14ac:dyDescent="0.3">
      <c r="A241" s="1024" t="s">
        <v>1056</v>
      </c>
      <c r="B241" s="950" t="s">
        <v>806</v>
      </c>
      <c r="C241" s="1026" t="s">
        <v>92</v>
      </c>
      <c r="D241" s="960" t="s">
        <v>1067</v>
      </c>
      <c r="E241" s="978">
        <v>30000</v>
      </c>
      <c r="F241" s="979">
        <v>0</v>
      </c>
      <c r="G241" s="1032">
        <v>30000</v>
      </c>
      <c r="H241" s="951">
        <v>861</v>
      </c>
      <c r="I241" s="1197">
        <v>0</v>
      </c>
      <c r="J241" s="951">
        <v>912</v>
      </c>
      <c r="K241" s="951">
        <v>25</v>
      </c>
      <c r="L241" s="1032">
        <f>+H241+I241+J241+K241</f>
        <v>1798</v>
      </c>
      <c r="M241" s="1032">
        <f t="shared" si="52"/>
        <v>28202</v>
      </c>
    </row>
    <row r="242" spans="1:13" ht="18.75" x14ac:dyDescent="0.3">
      <c r="A242" s="1027" t="s">
        <v>1724</v>
      </c>
      <c r="B242" s="950" t="s">
        <v>1296</v>
      </c>
      <c r="C242" s="1026" t="s">
        <v>92</v>
      </c>
      <c r="D242" s="960" t="s">
        <v>1067</v>
      </c>
      <c r="E242" s="951">
        <v>30000</v>
      </c>
      <c r="F242" s="974">
        <v>0</v>
      </c>
      <c r="G242" s="1032">
        <v>30000</v>
      </c>
      <c r="H242" s="951">
        <v>861</v>
      </c>
      <c r="I242" s="1197">
        <v>0</v>
      </c>
      <c r="J242" s="951">
        <v>912</v>
      </c>
      <c r="K242" s="951">
        <v>25</v>
      </c>
      <c r="L242" s="1032">
        <f>+H242+I242+J242+K242</f>
        <v>1798</v>
      </c>
      <c r="M242" s="1032">
        <f t="shared" si="52"/>
        <v>28202</v>
      </c>
    </row>
    <row r="243" spans="1:13" ht="18.75" x14ac:dyDescent="0.3">
      <c r="A243" s="961" t="s">
        <v>847</v>
      </c>
      <c r="B243" s="950"/>
      <c r="C243" s="962">
        <v>6</v>
      </c>
      <c r="D243" s="960"/>
      <c r="E243" s="963">
        <f>SUM(E237:E242)</f>
        <v>203500</v>
      </c>
      <c r="F243" s="963">
        <f t="shared" ref="F243:M243" si="53">SUM(F237:F242)</f>
        <v>0</v>
      </c>
      <c r="G243" s="963">
        <f t="shared" si="53"/>
        <v>203500</v>
      </c>
      <c r="H243" s="963">
        <f t="shared" si="53"/>
        <v>5840.45</v>
      </c>
      <c r="I243" s="963">
        <f t="shared" si="53"/>
        <v>1116.24</v>
      </c>
      <c r="J243" s="963">
        <f t="shared" si="53"/>
        <v>6186.4</v>
      </c>
      <c r="K243" s="963">
        <f t="shared" si="53"/>
        <v>150</v>
      </c>
      <c r="L243" s="963">
        <f t="shared" si="53"/>
        <v>13293.09</v>
      </c>
      <c r="M243" s="963">
        <f t="shared" si="53"/>
        <v>190206.91</v>
      </c>
    </row>
    <row r="244" spans="1:13" ht="18.75" x14ac:dyDescent="0.3">
      <c r="A244" s="961"/>
      <c r="B244" s="950"/>
      <c r="C244" s="962"/>
      <c r="D244" s="960"/>
      <c r="E244" s="963">
        <f>+E212+E224+E234+E243</f>
        <v>1628000</v>
      </c>
      <c r="F244" s="964">
        <v>0</v>
      </c>
      <c r="G244" s="963">
        <f t="shared" ref="G244:M244" si="54">+G212+G224+G234+G243</f>
        <v>1628000</v>
      </c>
      <c r="H244" s="963">
        <f>+H212+H224+H234+H243</f>
        <v>46723.6</v>
      </c>
      <c r="I244" s="963">
        <f>+I212+I224+I234+I243</f>
        <v>75362.440000000017</v>
      </c>
      <c r="J244" s="963">
        <f t="shared" si="54"/>
        <v>49491.200000000004</v>
      </c>
      <c r="K244" s="963">
        <f t="shared" si="54"/>
        <v>14361.5</v>
      </c>
      <c r="L244" s="963">
        <f t="shared" si="54"/>
        <v>185938.74</v>
      </c>
      <c r="M244" s="963">
        <f t="shared" si="54"/>
        <v>1442061.26</v>
      </c>
    </row>
    <row r="245" spans="1:13" ht="18.75" x14ac:dyDescent="0.3">
      <c r="A245" s="961"/>
      <c r="B245" s="958"/>
      <c r="C245" s="962"/>
      <c r="D245" s="962"/>
      <c r="E245" s="963"/>
      <c r="F245" s="964"/>
      <c r="G245" s="965"/>
      <c r="H245" s="965"/>
      <c r="I245" s="966"/>
      <c r="J245" s="963"/>
      <c r="K245" s="963"/>
      <c r="L245" s="963"/>
      <c r="M245" s="965"/>
    </row>
    <row r="246" spans="1:13" ht="27.75" customHeight="1" x14ac:dyDescent="0.3">
      <c r="A246" s="1058" t="s">
        <v>865</v>
      </c>
      <c r="B246" s="1059"/>
      <c r="C246" s="1058">
        <f>+C224+C194+C187+C178+C173+C168+C162+C158+C153+C147+C140+C131+C123+C119+C108++C98+C83+C67+C61+C56+C51+C47+C38+C27+C103+C113+C34+C135+C243+C234+C212</f>
        <v>129</v>
      </c>
      <c r="D246" s="1058"/>
      <c r="E246" s="1076">
        <f>+E27+E34+E38+E47+E51+E56+E61+E67+E83+E98+E103+E108+E113+E119+E123+E131+E135+E140+E147+E153+E158+E162+E168+E173+E178+E187+E194+E244</f>
        <v>6736666.6699999999</v>
      </c>
      <c r="F246" s="1058">
        <v>0</v>
      </c>
      <c r="G246" s="1076">
        <f t="shared" ref="G246:M246" si="55">+G27+G34+G38+G47+G51+G56+G61+G67+G83+G98+G103+G108+G113+G119+G123+G131+G135+G140+G147+G153+G158+G162+G168+G173+G178+G187+G194+G244</f>
        <v>6736666.6699999999</v>
      </c>
      <c r="H246" s="1076">
        <f t="shared" si="55"/>
        <v>193342.33</v>
      </c>
      <c r="I246" s="1076">
        <f t="shared" si="55"/>
        <v>427936.66999999987</v>
      </c>
      <c r="J246" s="1076">
        <f t="shared" si="55"/>
        <v>203479.80999999997</v>
      </c>
      <c r="K246" s="1076">
        <f t="shared" si="55"/>
        <v>130828.95000000003</v>
      </c>
      <c r="L246" s="1076">
        <f t="shared" si="55"/>
        <v>955587.76</v>
      </c>
      <c r="M246" s="1076">
        <f t="shared" si="55"/>
        <v>5781078.9099999992</v>
      </c>
    </row>
    <row r="247" spans="1:13" ht="15.75" x14ac:dyDescent="0.25">
      <c r="A247" s="853"/>
      <c r="B247" s="871"/>
      <c r="C247" s="853"/>
      <c r="D247" s="853"/>
      <c r="E247" s="869"/>
      <c r="F247" s="853"/>
      <c r="G247" s="271"/>
      <c r="H247" s="271"/>
      <c r="I247" s="271"/>
      <c r="J247" s="213"/>
      <c r="K247" s="213"/>
      <c r="L247" s="213"/>
      <c r="M247" s="271"/>
    </row>
    <row r="248" spans="1:13" ht="14.25" customHeight="1" x14ac:dyDescent="0.25">
      <c r="A248" s="853"/>
      <c r="B248" s="871"/>
      <c r="C248" s="853"/>
      <c r="D248" s="853"/>
      <c r="E248" s="869"/>
      <c r="F248" s="853"/>
      <c r="G248" s="1022"/>
      <c r="H248" s="1022"/>
      <c r="I248" s="1022"/>
      <c r="J248" s="1022"/>
      <c r="K248" s="1022"/>
      <c r="L248" s="1022"/>
      <c r="M248" s="1022"/>
    </row>
    <row r="249" spans="1:13" ht="15.75" x14ac:dyDescent="0.25">
      <c r="A249" s="853"/>
      <c r="B249" s="871"/>
      <c r="C249" s="853"/>
      <c r="D249" s="853"/>
      <c r="E249" s="869"/>
      <c r="F249" s="853"/>
      <c r="G249" s="853"/>
      <c r="H249" s="853"/>
      <c r="I249" s="1073"/>
      <c r="J249" s="1093"/>
      <c r="K249" s="1093"/>
      <c r="L249" s="1093"/>
      <c r="M249" s="1022"/>
    </row>
    <row r="250" spans="1:13" ht="15.75" x14ac:dyDescent="0.25">
      <c r="A250" s="853"/>
      <c r="B250" s="871"/>
      <c r="C250" s="1022"/>
      <c r="D250" s="1244"/>
      <c r="E250" s="869"/>
      <c r="F250" s="853"/>
      <c r="G250" s="853"/>
      <c r="H250" s="853"/>
      <c r="I250" s="1073"/>
      <c r="J250" s="1093"/>
      <c r="K250" s="1093"/>
      <c r="L250" s="1093"/>
      <c r="M250" s="1022"/>
    </row>
    <row r="251" spans="1:13" ht="15.75" x14ac:dyDescent="0.25">
      <c r="A251" s="853"/>
      <c r="B251" s="871"/>
      <c r="C251" s="1022"/>
      <c r="D251" s="1244"/>
      <c r="E251" s="869"/>
      <c r="F251" s="853"/>
      <c r="G251" s="853"/>
      <c r="H251" s="853"/>
      <c r="I251" s="1073"/>
      <c r="J251" s="1093"/>
      <c r="K251" s="1093"/>
      <c r="L251" s="1093"/>
      <c r="M251" s="1022"/>
    </row>
    <row r="252" spans="1:13" ht="15.75" x14ac:dyDescent="0.25">
      <c r="A252" s="853"/>
      <c r="B252" s="871"/>
      <c r="C252" s="1022"/>
      <c r="E252" s="869"/>
      <c r="F252" s="853"/>
      <c r="G252" s="853"/>
      <c r="H252" s="853"/>
      <c r="I252" s="1022"/>
      <c r="J252" s="1093"/>
      <c r="K252" s="1093"/>
      <c r="L252" s="1093"/>
      <c r="M252" s="1022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53"/>
      <c r="I257" s="853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53"/>
      <c r="I258" s="853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53"/>
      <c r="I259" s="853"/>
      <c r="J259" s="869"/>
      <c r="K259" s="869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53"/>
      <c r="I260" s="853"/>
      <c r="J260" s="869"/>
      <c r="K260" s="869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53"/>
      <c r="I261" s="853"/>
      <c r="J261" s="869"/>
      <c r="K261" s="869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873"/>
      <c r="I262" s="873"/>
      <c r="J262" s="1094"/>
      <c r="K262" s="1094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873"/>
      <c r="I263" s="873"/>
      <c r="J263" s="1094"/>
      <c r="K263" s="1094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879"/>
      <c r="I264" s="1200"/>
      <c r="J264" s="1095"/>
      <c r="K264" s="1095"/>
      <c r="L264" s="1095"/>
      <c r="M264" s="880"/>
    </row>
    <row r="265" spans="1:14" ht="15.75" x14ac:dyDescent="0.25">
      <c r="A265" s="1703" t="s">
        <v>1271</v>
      </c>
      <c r="B265" s="1703"/>
      <c r="C265" s="874"/>
      <c r="D265" s="874"/>
      <c r="E265" s="875"/>
      <c r="F265" s="873"/>
      <c r="G265" s="873"/>
      <c r="H265" s="1683" t="s">
        <v>852</v>
      </c>
      <c r="I265" s="1683"/>
      <c r="J265" s="1683"/>
      <c r="K265" s="1683"/>
      <c r="L265" s="1683"/>
      <c r="M265" s="1683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622"/>
      <c r="I266" s="1684" t="s">
        <v>1504</v>
      </c>
      <c r="J266" s="1684"/>
      <c r="K266" s="1684"/>
      <c r="L266" s="1684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99.5" customHeight="1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928"/>
      <c r="I275" s="928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928"/>
      <c r="I276" s="928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928"/>
      <c r="I277" s="928"/>
      <c r="J277" s="519"/>
      <c r="K277" s="519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928"/>
      <c r="I278" s="928"/>
      <c r="J278" s="519"/>
      <c r="K278" s="519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928"/>
      <c r="I279" s="928"/>
      <c r="J279" s="519"/>
      <c r="K279" s="519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882"/>
      <c r="I280" s="873"/>
      <c r="J280" s="1096"/>
      <c r="K280" s="1096"/>
      <c r="L280" s="1096"/>
      <c r="M280" s="885"/>
    </row>
  </sheetData>
  <mergeCells count="20">
    <mergeCell ref="M20:M21"/>
    <mergeCell ref="A265:B265"/>
    <mergeCell ref="H265:M265"/>
    <mergeCell ref="I266:L266"/>
    <mergeCell ref="G20:G21"/>
    <mergeCell ref="H20:H21"/>
    <mergeCell ref="I20:I21"/>
    <mergeCell ref="J20:J21"/>
    <mergeCell ref="K20:K21"/>
    <mergeCell ref="L20:L21"/>
    <mergeCell ref="A20:A21"/>
    <mergeCell ref="B20:B21"/>
    <mergeCell ref="C20:C21"/>
    <mergeCell ref="D20:D21"/>
    <mergeCell ref="F20:F21"/>
    <mergeCell ref="A14:M14"/>
    <mergeCell ref="A15:N15"/>
    <mergeCell ref="A16:M16"/>
    <mergeCell ref="A17:M17"/>
    <mergeCell ref="A18:M18"/>
  </mergeCells>
  <pageMargins left="0.86614173228346458" right="0.23622047244094491" top="0.15748031496062992" bottom="0" header="0.11811023622047245" footer="0"/>
  <pageSetup paperSize="345" scale="35" fitToHeight="0" orientation="landscape" r:id="rId1"/>
  <rowBreaks count="3" manualBreakCount="3">
    <brk id="89" max="13" man="1"/>
    <brk id="158" max="13" man="1"/>
    <brk id="223" max="13" man="1"/>
  </rowBreaks>
  <drawing r:id="rId2"/>
</worksheet>
</file>

<file path=xl/worksheets/sheet3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E0A623-F6F0-4512-9250-18196703786C}">
  <dimension ref="B1:Q184"/>
  <sheetViews>
    <sheetView zoomScale="80" zoomScaleNormal="80" zoomScaleSheetLayoutView="89" workbookViewId="0">
      <pane ySplit="12" topLeftCell="A123" activePane="bottomLeft" state="frozen"/>
      <selection pane="bottomLeft" activeCell="D136" sqref="D136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40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556" t="s">
        <v>1502</v>
      </c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  <c r="P5" s="1556"/>
    </row>
    <row r="6" spans="2:16" x14ac:dyDescent="0.25">
      <c r="B6" s="1556" t="s">
        <v>1</v>
      </c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  <c r="P6" s="1556"/>
    </row>
    <row r="7" spans="2:16" x14ac:dyDescent="0.25">
      <c r="B7" s="1556" t="s">
        <v>3</v>
      </c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  <c r="P7" s="1556"/>
    </row>
    <row r="8" spans="2:16" x14ac:dyDescent="0.25">
      <c r="B8" s="1556" t="s">
        <v>1748</v>
      </c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  <c r="P8" s="1556"/>
    </row>
    <row r="9" spans="2:16" x14ac:dyDescent="0.25">
      <c r="B9" s="1634" t="s">
        <v>441</v>
      </c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  <c r="P9" s="1634"/>
    </row>
    <row r="10" spans="2:16" ht="15.75" thickBot="1" x14ac:dyDescent="0.3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740" t="s">
        <v>7</v>
      </c>
      <c r="C11" s="1742" t="s">
        <v>937</v>
      </c>
      <c r="D11" s="1743" t="s">
        <v>10</v>
      </c>
      <c r="E11" s="1742" t="s">
        <v>832</v>
      </c>
      <c r="F11" s="1742" t="s">
        <v>834</v>
      </c>
      <c r="G11" s="1742" t="s">
        <v>209</v>
      </c>
      <c r="H11" s="1276" t="s">
        <v>12</v>
      </c>
      <c r="I11" s="1744" t="s">
        <v>13</v>
      </c>
      <c r="J11" s="1745" t="s">
        <v>14</v>
      </c>
      <c r="K11" s="1745" t="s">
        <v>15</v>
      </c>
      <c r="L11" s="1745" t="s">
        <v>16</v>
      </c>
      <c r="M11" s="1746" t="s">
        <v>17</v>
      </c>
      <c r="N11" s="1746" t="s">
        <v>18</v>
      </c>
      <c r="O11" s="1745" t="s">
        <v>19</v>
      </c>
      <c r="P11" s="1747" t="s">
        <v>20</v>
      </c>
    </row>
    <row r="12" spans="2:16" x14ac:dyDescent="0.25">
      <c r="B12" s="1741"/>
      <c r="C12" s="1709"/>
      <c r="D12" s="1712"/>
      <c r="E12" s="1709"/>
      <c r="F12" s="1709"/>
      <c r="G12" s="1709"/>
      <c r="H12" s="1051" t="s">
        <v>21</v>
      </c>
      <c r="I12" s="1711"/>
      <c r="J12" s="1710"/>
      <c r="K12" s="1710"/>
      <c r="L12" s="1710"/>
      <c r="M12" s="1722"/>
      <c r="N12" s="1722"/>
      <c r="O12" s="1710"/>
      <c r="P12" s="1748"/>
    </row>
    <row r="13" spans="2:16" ht="21" customHeight="1" x14ac:dyDescent="0.25">
      <c r="B13" s="1277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1278"/>
    </row>
    <row r="14" spans="2:16" ht="21" customHeight="1" x14ac:dyDescent="0.25">
      <c r="B14" s="1279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1280">
        <f>+J14-O14</f>
        <v>81959.63</v>
      </c>
    </row>
    <row r="15" spans="2:16" ht="21" customHeight="1" x14ac:dyDescent="0.25">
      <c r="B15" s="1281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1280">
        <f>+J15-O15</f>
        <v>28202</v>
      </c>
    </row>
    <row r="16" spans="2:16" ht="21" customHeight="1" x14ac:dyDescent="0.25">
      <c r="B16" s="1282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283">
        <f t="shared" si="0"/>
        <v>110161.63</v>
      </c>
    </row>
    <row r="17" spans="2:16" ht="21" customHeight="1" x14ac:dyDescent="0.25">
      <c r="B17" s="1282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1278"/>
    </row>
    <row r="18" spans="2:16" ht="21" customHeight="1" x14ac:dyDescent="0.25">
      <c r="B18" s="1282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1278"/>
    </row>
    <row r="19" spans="2:16" ht="27" customHeight="1" x14ac:dyDescent="0.25">
      <c r="B19" s="1281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1280">
        <f>+J19-O19</f>
        <v>94000.93</v>
      </c>
    </row>
    <row r="20" spans="2:16" s="25" customFormat="1" ht="21" customHeight="1" x14ac:dyDescent="0.25">
      <c r="B20" s="1282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283">
        <f t="shared" si="1"/>
        <v>94000.93</v>
      </c>
    </row>
    <row r="21" spans="2:16" ht="21" customHeight="1" x14ac:dyDescent="0.25">
      <c r="B21" s="1284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1278"/>
    </row>
    <row r="22" spans="2:16" ht="21" customHeight="1" x14ac:dyDescent="0.25">
      <c r="B22" s="1285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732"/>
    </row>
    <row r="23" spans="2:16" ht="28.5" customHeight="1" x14ac:dyDescent="0.25">
      <c r="B23" s="128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729">
        <v>117243.38</v>
      </c>
    </row>
    <row r="24" spans="2:16" ht="21" customHeight="1" x14ac:dyDescent="0.25">
      <c r="B24" s="128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729">
        <f>+J24-O24</f>
        <v>48054.020000000004</v>
      </c>
    </row>
    <row r="25" spans="2:16" ht="21" customHeight="1" x14ac:dyDescent="0.25">
      <c r="B25" s="1282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283">
        <f t="shared" si="2"/>
        <v>165297.40000000002</v>
      </c>
    </row>
    <row r="26" spans="2:16" ht="21" customHeight="1" x14ac:dyDescent="0.25">
      <c r="B26" s="1285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1287"/>
    </row>
    <row r="27" spans="2:16" ht="21" customHeight="1" x14ac:dyDescent="0.25">
      <c r="B27" s="1285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732"/>
    </row>
    <row r="28" spans="2:16" ht="27" customHeight="1" x14ac:dyDescent="0.25">
      <c r="B28" s="128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729">
        <f>+J28-O28</f>
        <v>90001.36</v>
      </c>
    </row>
    <row r="29" spans="2:16" ht="21" customHeight="1" x14ac:dyDescent="0.25">
      <c r="B29" s="1282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1288">
        <f t="shared" si="3"/>
        <v>90001.36</v>
      </c>
    </row>
    <row r="30" spans="2:16" ht="21" customHeight="1" x14ac:dyDescent="0.25">
      <c r="B30" s="1282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1288"/>
    </row>
    <row r="31" spans="2:16" ht="21" customHeight="1" x14ac:dyDescent="0.25">
      <c r="B31" s="1282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1288"/>
    </row>
    <row r="32" spans="2:16" s="259" customFormat="1" ht="29.25" customHeight="1" x14ac:dyDescent="0.25">
      <c r="B32" s="1289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290">
        <f>+H32-O32</f>
        <v>72793.88</v>
      </c>
    </row>
    <row r="33" spans="2:16" ht="21" customHeight="1" x14ac:dyDescent="0.25">
      <c r="B33" s="1282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1288">
        <f>+H33-O33</f>
        <v>72793.88</v>
      </c>
    </row>
    <row r="34" spans="2:16" ht="21" customHeight="1" x14ac:dyDescent="0.25">
      <c r="B34" s="1282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732"/>
    </row>
    <row r="35" spans="2:16" ht="21" customHeight="1" x14ac:dyDescent="0.25">
      <c r="B35" s="1282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291"/>
    </row>
    <row r="36" spans="2:16" s="259" customFormat="1" ht="21" customHeight="1" x14ac:dyDescent="0.25">
      <c r="B36" s="1292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1293">
        <f>+J36-O36</f>
        <v>58967.199999999997</v>
      </c>
    </row>
    <row r="37" spans="2:16" ht="21" customHeight="1" x14ac:dyDescent="0.25">
      <c r="B37" s="1282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1294">
        <f>+J37-O37</f>
        <v>58967.199999999997</v>
      </c>
    </row>
    <row r="38" spans="2:16" ht="21" customHeight="1" x14ac:dyDescent="0.25">
      <c r="B38" s="1282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1288"/>
    </row>
    <row r="39" spans="2:16" ht="21" customHeight="1" x14ac:dyDescent="0.25">
      <c r="B39" s="1282" t="s">
        <v>1443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1288"/>
    </row>
    <row r="40" spans="2:16" s="259" customFormat="1" ht="21" customHeight="1" x14ac:dyDescent="0.25">
      <c r="B40" s="1292" t="s">
        <v>382</v>
      </c>
      <c r="C40" s="1252" t="s">
        <v>807</v>
      </c>
      <c r="D40" s="1246" t="s">
        <v>1749</v>
      </c>
      <c r="E40" s="1247" t="s">
        <v>1063</v>
      </c>
      <c r="F40" s="1248">
        <v>45809</v>
      </c>
      <c r="G40" s="1248">
        <v>45992</v>
      </c>
      <c r="H40" s="1100">
        <v>70000</v>
      </c>
      <c r="I40" s="1249">
        <v>0</v>
      </c>
      <c r="J40" s="1100">
        <v>70000</v>
      </c>
      <c r="K40" s="1100">
        <v>2009</v>
      </c>
      <c r="L40" s="1103">
        <v>5368.48</v>
      </c>
      <c r="M40" s="1250">
        <v>2128</v>
      </c>
      <c r="N40" s="1100">
        <v>25</v>
      </c>
      <c r="O40" s="675">
        <f>+K40+L40+M40+N40</f>
        <v>9530.48</v>
      </c>
      <c r="P40" s="1293">
        <f>+J40-O40</f>
        <v>60469.520000000004</v>
      </c>
    </row>
    <row r="41" spans="2:16" ht="23.25" customHeight="1" x14ac:dyDescent="0.25">
      <c r="B41" s="1282" t="s">
        <v>813</v>
      </c>
      <c r="C41" s="569"/>
      <c r="D41" s="492">
        <v>1</v>
      </c>
      <c r="E41" s="1247"/>
      <c r="F41" s="500"/>
      <c r="G41" s="855"/>
      <c r="H41" s="626"/>
      <c r="I41" s="1111"/>
      <c r="J41" s="457"/>
      <c r="K41" s="457"/>
      <c r="L41" s="457"/>
      <c r="M41" s="1149"/>
      <c r="N41" s="468"/>
      <c r="O41" s="457"/>
      <c r="P41" s="729"/>
    </row>
    <row r="42" spans="2:16" ht="21" customHeight="1" x14ac:dyDescent="0.25">
      <c r="B42" s="1282"/>
      <c r="C42" s="569"/>
      <c r="D42" s="492"/>
      <c r="E42" s="465"/>
      <c r="F42" s="500"/>
      <c r="G42" s="855"/>
      <c r="H42" s="1099">
        <f>SUM(H40)</f>
        <v>70000</v>
      </c>
      <c r="I42" s="1253">
        <v>0</v>
      </c>
      <c r="J42" s="1099">
        <f>SUM(J40)</f>
        <v>70000</v>
      </c>
      <c r="K42" s="1099">
        <f t="shared" ref="K42:P42" si="4">SUM(K40)</f>
        <v>2009</v>
      </c>
      <c r="L42" s="1099">
        <f t="shared" si="4"/>
        <v>5368.48</v>
      </c>
      <c r="M42" s="1099">
        <f t="shared" si="4"/>
        <v>2128</v>
      </c>
      <c r="N42" s="1099">
        <f t="shared" si="4"/>
        <v>25</v>
      </c>
      <c r="O42" s="1099">
        <f t="shared" si="4"/>
        <v>9530.48</v>
      </c>
      <c r="P42" s="1295">
        <f t="shared" si="4"/>
        <v>60469.520000000004</v>
      </c>
    </row>
    <row r="43" spans="2:16" ht="21" customHeight="1" x14ac:dyDescent="0.25">
      <c r="B43" s="1282" t="s">
        <v>839</v>
      </c>
      <c r="C43" s="569"/>
      <c r="D43" s="492"/>
      <c r="E43" s="465"/>
      <c r="F43" s="500"/>
      <c r="G43" s="855"/>
      <c r="H43" s="695"/>
      <c r="I43" s="1144"/>
      <c r="J43" s="695"/>
      <c r="K43" s="695"/>
      <c r="L43" s="695"/>
      <c r="M43" s="1145"/>
      <c r="N43" s="695"/>
      <c r="O43" s="695"/>
      <c r="P43" s="1288"/>
    </row>
    <row r="44" spans="2:16" ht="27.75" customHeight="1" x14ac:dyDescent="0.25">
      <c r="B44" s="1281" t="s">
        <v>1581</v>
      </c>
      <c r="C44" s="685" t="s">
        <v>807</v>
      </c>
      <c r="D44" s="282" t="s">
        <v>1570</v>
      </c>
      <c r="E44" s="281" t="s">
        <v>1063</v>
      </c>
      <c r="F44" s="855">
        <v>45748</v>
      </c>
      <c r="G44" s="855">
        <v>45901</v>
      </c>
      <c r="H44" s="626">
        <v>150000</v>
      </c>
      <c r="I44" s="1169">
        <v>0</v>
      </c>
      <c r="J44" s="626">
        <v>150000</v>
      </c>
      <c r="K44" s="626">
        <v>4305</v>
      </c>
      <c r="L44" s="626">
        <v>23437.75</v>
      </c>
      <c r="M44" s="1149">
        <v>4560</v>
      </c>
      <c r="N44" s="626">
        <v>3912.66</v>
      </c>
      <c r="O44" s="626">
        <v>36215.410000000003</v>
      </c>
      <c r="P44" s="1296">
        <v>113784.59</v>
      </c>
    </row>
    <row r="45" spans="2:16" ht="21" customHeight="1" x14ac:dyDescent="0.25">
      <c r="B45" s="1297" t="s">
        <v>813</v>
      </c>
      <c r="C45" s="569"/>
      <c r="D45" s="492">
        <v>1</v>
      </c>
      <c r="E45" s="465"/>
      <c r="F45" s="500"/>
      <c r="G45" s="855"/>
      <c r="H45" s="695">
        <v>150000</v>
      </c>
      <c r="I45" s="1144">
        <v>0</v>
      </c>
      <c r="J45" s="695">
        <v>150000</v>
      </c>
      <c r="K45" s="695">
        <v>4305</v>
      </c>
      <c r="L45" s="695">
        <v>23437.75</v>
      </c>
      <c r="M45" s="1145">
        <v>4560</v>
      </c>
      <c r="N45" s="695">
        <v>3912.66</v>
      </c>
      <c r="O45" s="695">
        <v>36215.410000000003</v>
      </c>
      <c r="P45" s="1288">
        <v>113784.59</v>
      </c>
    </row>
    <row r="46" spans="2:16" ht="21" customHeight="1" x14ac:dyDescent="0.25">
      <c r="B46" s="1286"/>
      <c r="C46" s="684"/>
      <c r="D46" s="282"/>
      <c r="E46" s="281"/>
      <c r="F46" s="858"/>
      <c r="G46" s="855"/>
      <c r="H46" s="626"/>
      <c r="I46" s="1111"/>
      <c r="J46" s="457"/>
      <c r="K46" s="457"/>
      <c r="L46" s="457"/>
      <c r="M46" s="1149"/>
      <c r="N46" s="468"/>
      <c r="O46" s="457"/>
      <c r="P46" s="729"/>
    </row>
    <row r="47" spans="2:16" ht="21" customHeight="1" x14ac:dyDescent="0.25">
      <c r="B47" s="1297" t="s">
        <v>1128</v>
      </c>
      <c r="C47" s="1224"/>
      <c r="D47" s="280"/>
      <c r="E47" s="280"/>
      <c r="F47" s="858"/>
      <c r="G47" s="855"/>
      <c r="H47" s="280"/>
      <c r="I47" s="1113"/>
      <c r="J47" s="487"/>
      <c r="K47" s="457"/>
      <c r="L47" s="457"/>
      <c r="M47" s="1149"/>
      <c r="N47" s="468"/>
      <c r="O47" s="457"/>
      <c r="P47" s="729"/>
    </row>
    <row r="48" spans="2:16" ht="29.25" customHeight="1" x14ac:dyDescent="0.25">
      <c r="B48" s="1298" t="s">
        <v>461</v>
      </c>
      <c r="C48" s="685" t="s">
        <v>807</v>
      </c>
      <c r="D48" s="282" t="s">
        <v>1574</v>
      </c>
      <c r="E48" s="281" t="s">
        <v>1063</v>
      </c>
      <c r="F48" s="855">
        <v>45748</v>
      </c>
      <c r="G48" s="855">
        <v>45901</v>
      </c>
      <c r="H48" s="468">
        <v>115000</v>
      </c>
      <c r="I48" s="1111">
        <v>0</v>
      </c>
      <c r="J48" s="489">
        <v>115000</v>
      </c>
      <c r="K48" s="489">
        <v>3300.5</v>
      </c>
      <c r="L48" s="489">
        <v>15633.74</v>
      </c>
      <c r="M48" s="1149">
        <v>3496</v>
      </c>
      <c r="N48" s="861">
        <v>1431</v>
      </c>
      <c r="O48" s="457">
        <f>+K48+L48+M48+N48</f>
        <v>23861.239999999998</v>
      </c>
      <c r="P48" s="729">
        <f>+J48-O48</f>
        <v>91138.760000000009</v>
      </c>
    </row>
    <row r="49" spans="2:16" ht="21" customHeight="1" x14ac:dyDescent="0.25">
      <c r="B49" s="1298" t="s">
        <v>1283</v>
      </c>
      <c r="C49" s="685" t="s">
        <v>807</v>
      </c>
      <c r="D49" s="282" t="s">
        <v>1495</v>
      </c>
      <c r="E49" s="281" t="s">
        <v>1281</v>
      </c>
      <c r="F49" s="855">
        <v>45748</v>
      </c>
      <c r="G49" s="855">
        <v>45901</v>
      </c>
      <c r="H49" s="468">
        <v>60000</v>
      </c>
      <c r="I49" s="1169">
        <v>0</v>
      </c>
      <c r="J49" s="628">
        <v>60000</v>
      </c>
      <c r="K49" s="628">
        <v>1722</v>
      </c>
      <c r="L49" s="628">
        <v>3486.68</v>
      </c>
      <c r="M49" s="1149">
        <v>1824</v>
      </c>
      <c r="N49" s="861">
        <v>728</v>
      </c>
      <c r="O49" s="468">
        <f>+K49+L49+M49+N49</f>
        <v>7760.68</v>
      </c>
      <c r="P49" s="1280">
        <f>+J49-O49</f>
        <v>52239.32</v>
      </c>
    </row>
    <row r="50" spans="2:16" ht="21" customHeight="1" x14ac:dyDescent="0.25">
      <c r="B50" s="1297" t="s">
        <v>813</v>
      </c>
      <c r="C50" s="1224"/>
      <c r="D50" s="453">
        <v>2</v>
      </c>
      <c r="E50" s="525"/>
      <c r="F50" s="500"/>
      <c r="G50" s="855"/>
      <c r="H50" s="695">
        <f>SUM(H48:H49)</f>
        <v>175000</v>
      </c>
      <c r="I50" s="1144">
        <f t="shared" ref="I50" si="5">SUM(I49)</f>
        <v>0</v>
      </c>
      <c r="J50" s="695">
        <f t="shared" ref="J50:P50" si="6">SUM(J48:J49)</f>
        <v>175000</v>
      </c>
      <c r="K50" s="695">
        <f t="shared" si="6"/>
        <v>5022.5</v>
      </c>
      <c r="L50" s="695">
        <f t="shared" si="6"/>
        <v>19120.419999999998</v>
      </c>
      <c r="M50" s="1145">
        <f t="shared" si="6"/>
        <v>5320</v>
      </c>
      <c r="N50" s="695">
        <f>SUM(N48:N49)</f>
        <v>2159</v>
      </c>
      <c r="O50" s="695">
        <f t="shared" si="6"/>
        <v>31621.919999999998</v>
      </c>
      <c r="P50" s="1288">
        <f t="shared" si="6"/>
        <v>143378.08000000002</v>
      </c>
    </row>
    <row r="51" spans="2:16" ht="21" customHeight="1" x14ac:dyDescent="0.25">
      <c r="B51" s="1299"/>
      <c r="C51" s="1225"/>
      <c r="D51" s="453"/>
      <c r="E51" s="525"/>
      <c r="F51" s="858"/>
      <c r="G51" s="855"/>
      <c r="H51" s="697"/>
      <c r="I51" s="1112"/>
      <c r="J51" s="522"/>
      <c r="K51" s="522"/>
      <c r="L51" s="522"/>
      <c r="M51" s="1145"/>
      <c r="N51" s="1173"/>
      <c r="O51" s="463"/>
      <c r="P51" s="732"/>
    </row>
    <row r="52" spans="2:16" ht="21" customHeight="1" x14ac:dyDescent="0.25">
      <c r="B52" s="1277" t="s">
        <v>1575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1288"/>
    </row>
    <row r="53" spans="2:16" s="259" customFormat="1" ht="30.75" customHeight="1" x14ac:dyDescent="0.25">
      <c r="B53" s="1292" t="s">
        <v>1582</v>
      </c>
      <c r="C53" s="1252" t="s">
        <v>807</v>
      </c>
      <c r="D53" s="1246" t="s">
        <v>1571</v>
      </c>
      <c r="E53" s="1247" t="s">
        <v>1063</v>
      </c>
      <c r="F53" s="1248">
        <v>45717</v>
      </c>
      <c r="G53" s="1248">
        <v>45870</v>
      </c>
      <c r="H53" s="1100">
        <v>95000</v>
      </c>
      <c r="I53" s="1249">
        <v>0</v>
      </c>
      <c r="J53" s="1100">
        <v>95000</v>
      </c>
      <c r="K53" s="1100">
        <v>2726.5</v>
      </c>
      <c r="L53" s="1103">
        <v>10929.24</v>
      </c>
      <c r="M53" s="1250">
        <v>2888</v>
      </c>
      <c r="N53" s="1100">
        <v>18566.330000000002</v>
      </c>
      <c r="O53" s="675">
        <f>+K53+L53+M53+N53</f>
        <v>35110.07</v>
      </c>
      <c r="P53" s="1293">
        <f>+J53-O53</f>
        <v>59889.93</v>
      </c>
    </row>
    <row r="54" spans="2:16" ht="21" customHeight="1" x14ac:dyDescent="0.25">
      <c r="B54" s="1297" t="s">
        <v>813</v>
      </c>
      <c r="C54" s="685"/>
      <c r="D54" s="453">
        <v>1</v>
      </c>
      <c r="E54" s="281"/>
      <c r="F54" s="1019"/>
      <c r="G54" s="857"/>
      <c r="H54" s="697">
        <f>SUM(H53)</f>
        <v>95000</v>
      </c>
      <c r="I54" s="1144">
        <f>SUM(I53)</f>
        <v>0</v>
      </c>
      <c r="J54" s="697">
        <f t="shared" ref="J54:P54" si="7">SUM(J53)</f>
        <v>95000</v>
      </c>
      <c r="K54" s="697">
        <f t="shared" si="7"/>
        <v>2726.5</v>
      </c>
      <c r="L54" s="697">
        <f t="shared" si="7"/>
        <v>10929.24</v>
      </c>
      <c r="M54" s="1145">
        <f t="shared" si="7"/>
        <v>2888</v>
      </c>
      <c r="N54" s="697">
        <f>SUM(N53)</f>
        <v>18566.330000000002</v>
      </c>
      <c r="O54" s="697">
        <f t="shared" si="7"/>
        <v>35110.07</v>
      </c>
      <c r="P54" s="1300">
        <f t="shared" si="7"/>
        <v>59889.93</v>
      </c>
    </row>
    <row r="55" spans="2:16" ht="21" customHeight="1" x14ac:dyDescent="0.25">
      <c r="B55" s="1286"/>
      <c r="C55" s="684"/>
      <c r="D55" s="282"/>
      <c r="E55" s="281"/>
      <c r="F55" s="856"/>
      <c r="G55" s="857"/>
      <c r="H55" s="626"/>
      <c r="I55" s="1111"/>
      <c r="J55" s="457"/>
      <c r="K55" s="457"/>
      <c r="L55" s="457"/>
      <c r="M55" s="1149"/>
      <c r="N55" s="468"/>
      <c r="O55" s="457"/>
      <c r="P55" s="729"/>
    </row>
    <row r="56" spans="2:16" ht="32.25" customHeight="1" x14ac:dyDescent="0.25">
      <c r="B56" s="1277" t="s">
        <v>1136</v>
      </c>
      <c r="C56" s="570"/>
      <c r="D56" s="492"/>
      <c r="E56" s="465"/>
      <c r="F56" s="1019"/>
      <c r="G56" s="857"/>
      <c r="H56" s="695"/>
      <c r="I56" s="1144"/>
      <c r="J56" s="697"/>
      <c r="K56" s="697"/>
      <c r="L56" s="697"/>
      <c r="M56" s="1145"/>
      <c r="N56" s="697"/>
      <c r="O56" s="697"/>
      <c r="P56" s="1300"/>
    </row>
    <row r="57" spans="2:16" ht="31.5" customHeight="1" x14ac:dyDescent="0.25">
      <c r="B57" s="1301" t="s">
        <v>1583</v>
      </c>
      <c r="C57" s="685" t="s">
        <v>806</v>
      </c>
      <c r="D57" s="749" t="s">
        <v>1572</v>
      </c>
      <c r="E57" s="281" t="s">
        <v>1063</v>
      </c>
      <c r="F57" s="855">
        <v>45658</v>
      </c>
      <c r="G57" s="855">
        <v>45809</v>
      </c>
      <c r="H57" s="626">
        <v>120000</v>
      </c>
      <c r="I57" s="1169">
        <v>0</v>
      </c>
      <c r="J57" s="468">
        <v>120000</v>
      </c>
      <c r="K57" s="468">
        <v>3444</v>
      </c>
      <c r="L57" s="468">
        <v>16809.87</v>
      </c>
      <c r="M57" s="1149">
        <v>3648</v>
      </c>
      <c r="N57" s="468">
        <v>2568.4</v>
      </c>
      <c r="O57" s="468">
        <f>+K57+L57+M57+N57</f>
        <v>26470.27</v>
      </c>
      <c r="P57" s="1296">
        <f>+J57-O57</f>
        <v>93529.73</v>
      </c>
    </row>
    <row r="58" spans="2:16" s="259" customFormat="1" ht="21" customHeight="1" x14ac:dyDescent="0.25">
      <c r="B58" s="1292" t="s">
        <v>1750</v>
      </c>
      <c r="C58" s="1252" t="s">
        <v>807</v>
      </c>
      <c r="D58" s="1246" t="s">
        <v>1751</v>
      </c>
      <c r="E58" s="1247" t="s">
        <v>1063</v>
      </c>
      <c r="F58" s="1248">
        <v>45809</v>
      </c>
      <c r="G58" s="1248">
        <v>45992</v>
      </c>
      <c r="H58" s="1100">
        <v>50000</v>
      </c>
      <c r="I58" s="1249">
        <v>0</v>
      </c>
      <c r="J58" s="1100">
        <v>50000</v>
      </c>
      <c r="K58" s="1100">
        <v>1435</v>
      </c>
      <c r="L58" s="1103">
        <v>1854</v>
      </c>
      <c r="M58" s="1250">
        <v>1520</v>
      </c>
      <c r="N58" s="1100">
        <v>25</v>
      </c>
      <c r="O58" s="675">
        <f>+K58+L58+M58+N58</f>
        <v>4834</v>
      </c>
      <c r="P58" s="1293">
        <f>+J58-O58</f>
        <v>45166</v>
      </c>
    </row>
    <row r="59" spans="2:16" ht="21" customHeight="1" x14ac:dyDescent="0.25">
      <c r="B59" s="1286" t="s">
        <v>1352</v>
      </c>
      <c r="C59" s="684" t="s">
        <v>806</v>
      </c>
      <c r="D59" s="286" t="s">
        <v>1635</v>
      </c>
      <c r="E59" s="281" t="s">
        <v>1063</v>
      </c>
      <c r="F59" s="855">
        <v>45748</v>
      </c>
      <c r="G59" s="855">
        <v>45901</v>
      </c>
      <c r="H59" s="626">
        <v>55000</v>
      </c>
      <c r="I59" s="1111">
        <v>0</v>
      </c>
      <c r="J59" s="457">
        <v>55000</v>
      </c>
      <c r="K59" s="457">
        <v>1578.5</v>
      </c>
      <c r="L59" s="457">
        <v>2559.6799999999998</v>
      </c>
      <c r="M59" s="1149">
        <v>1672</v>
      </c>
      <c r="N59" s="468">
        <v>25</v>
      </c>
      <c r="O59" s="457">
        <v>5835.18</v>
      </c>
      <c r="P59" s="1302">
        <f>+J59-O59</f>
        <v>49164.82</v>
      </c>
    </row>
    <row r="60" spans="2:16" ht="21" customHeight="1" x14ac:dyDescent="0.25">
      <c r="B60" s="1282" t="s">
        <v>813</v>
      </c>
      <c r="C60" s="569"/>
      <c r="D60" s="492">
        <v>3</v>
      </c>
      <c r="E60" s="465"/>
      <c r="F60" s="500"/>
      <c r="G60" s="855"/>
      <c r="H60" s="697">
        <f>SUM(H57:H59)</f>
        <v>225000</v>
      </c>
      <c r="I60" s="1144">
        <f t="shared" ref="I60" si="8">SUM(I59)</f>
        <v>0</v>
      </c>
      <c r="J60" s="697">
        <f t="shared" ref="J60:P60" si="9">SUM(J57:J59)</f>
        <v>225000</v>
      </c>
      <c r="K60" s="697">
        <f>SUM(K57:K59)</f>
        <v>6457.5</v>
      </c>
      <c r="L60" s="697">
        <f t="shared" si="9"/>
        <v>21223.55</v>
      </c>
      <c r="M60" s="1145">
        <f t="shared" si="9"/>
        <v>6840</v>
      </c>
      <c r="N60" s="697">
        <f>SUM(N57:N59)</f>
        <v>2618.4</v>
      </c>
      <c r="O60" s="697">
        <f t="shared" si="9"/>
        <v>37139.449999999997</v>
      </c>
      <c r="P60" s="1300">
        <f t="shared" si="9"/>
        <v>187860.55</v>
      </c>
    </row>
    <row r="61" spans="2:16" ht="21" customHeight="1" x14ac:dyDescent="0.25">
      <c r="B61" s="1285"/>
      <c r="C61" s="1223"/>
      <c r="D61" s="492"/>
      <c r="E61" s="465"/>
      <c r="F61" s="856"/>
      <c r="G61" s="857"/>
      <c r="H61" s="626"/>
      <c r="I61" s="1111"/>
      <c r="J61" s="457"/>
      <c r="K61" s="457"/>
      <c r="L61" s="457"/>
      <c r="M61" s="1149"/>
      <c r="N61" s="468"/>
      <c r="O61" s="457"/>
      <c r="P61" s="729"/>
    </row>
    <row r="62" spans="2:16" ht="21" customHeight="1" x14ac:dyDescent="0.25">
      <c r="B62" s="1297" t="s">
        <v>1515</v>
      </c>
      <c r="C62" s="569"/>
      <c r="D62" s="492"/>
      <c r="E62" s="465"/>
      <c r="F62" s="1019"/>
      <c r="G62" s="857"/>
      <c r="H62" s="695"/>
      <c r="I62" s="1144"/>
      <c r="J62" s="697"/>
      <c r="K62" s="697"/>
      <c r="L62" s="697"/>
      <c r="M62" s="1145"/>
      <c r="N62" s="697"/>
      <c r="O62" s="697"/>
      <c r="P62" s="1300"/>
    </row>
    <row r="63" spans="2:16" ht="32.25" customHeight="1" x14ac:dyDescent="0.25">
      <c r="B63" s="1298" t="s">
        <v>1584</v>
      </c>
      <c r="C63" s="685" t="s">
        <v>806</v>
      </c>
      <c r="D63" s="282" t="s">
        <v>1357</v>
      </c>
      <c r="E63" s="281" t="s">
        <v>1063</v>
      </c>
      <c r="F63" s="855">
        <v>45778</v>
      </c>
      <c r="G63" s="855">
        <v>45931</v>
      </c>
      <c r="H63" s="626">
        <v>125000</v>
      </c>
      <c r="I63" s="1111">
        <v>0</v>
      </c>
      <c r="J63" s="1038">
        <v>125000</v>
      </c>
      <c r="K63" s="1038">
        <v>3587.5</v>
      </c>
      <c r="L63" s="1037">
        <v>17985.990000000002</v>
      </c>
      <c r="M63" s="1150">
        <v>3800</v>
      </c>
      <c r="N63" s="1038">
        <v>25</v>
      </c>
      <c r="O63" s="468">
        <f t="shared" ref="O63:O68" si="10">+K63+L63+M63+N63</f>
        <v>25398.49</v>
      </c>
      <c r="P63" s="1302">
        <f t="shared" ref="P63:P68" si="11">+J63-O63</f>
        <v>99601.51</v>
      </c>
    </row>
    <row r="64" spans="2:16" ht="32.25" customHeight="1" x14ac:dyDescent="0.25">
      <c r="B64" s="1298" t="s">
        <v>1585</v>
      </c>
      <c r="C64" s="685" t="s">
        <v>806</v>
      </c>
      <c r="D64" s="282" t="s">
        <v>1357</v>
      </c>
      <c r="E64" s="281" t="s">
        <v>1063</v>
      </c>
      <c r="F64" s="855">
        <v>45778</v>
      </c>
      <c r="G64" s="855">
        <v>45931</v>
      </c>
      <c r="H64" s="626">
        <v>125000</v>
      </c>
      <c r="I64" s="1111">
        <v>0</v>
      </c>
      <c r="J64" s="1038">
        <v>125000</v>
      </c>
      <c r="K64" s="1038">
        <v>3587.5</v>
      </c>
      <c r="L64" s="1037">
        <v>17985.990000000002</v>
      </c>
      <c r="M64" s="1150">
        <v>3800</v>
      </c>
      <c r="N64" s="1038">
        <v>25</v>
      </c>
      <c r="O64" s="468">
        <f t="shared" si="10"/>
        <v>25398.49</v>
      </c>
      <c r="P64" s="1302">
        <f t="shared" si="11"/>
        <v>99601.51</v>
      </c>
    </row>
    <row r="65" spans="2:16" ht="32.25" customHeight="1" x14ac:dyDescent="0.25">
      <c r="B65" s="1298" t="s">
        <v>1586</v>
      </c>
      <c r="C65" s="685" t="s">
        <v>806</v>
      </c>
      <c r="D65" s="282" t="s">
        <v>1355</v>
      </c>
      <c r="E65" s="281" t="s">
        <v>1063</v>
      </c>
      <c r="F65" s="855">
        <v>45748</v>
      </c>
      <c r="G65" s="855">
        <v>45901</v>
      </c>
      <c r="H65" s="626">
        <v>125000</v>
      </c>
      <c r="I65" s="1111">
        <v>0</v>
      </c>
      <c r="J65" s="1038">
        <v>125000</v>
      </c>
      <c r="K65" s="1038">
        <v>3587.5</v>
      </c>
      <c r="L65" s="1037">
        <v>17985.990000000002</v>
      </c>
      <c r="M65" s="1150">
        <v>3800</v>
      </c>
      <c r="N65" s="1038">
        <v>25</v>
      </c>
      <c r="O65" s="468">
        <f t="shared" si="10"/>
        <v>25398.49</v>
      </c>
      <c r="P65" s="1302">
        <f t="shared" si="11"/>
        <v>99601.51</v>
      </c>
    </row>
    <row r="66" spans="2:16" ht="32.25" customHeight="1" x14ac:dyDescent="0.25">
      <c r="B66" s="1279" t="s">
        <v>1587</v>
      </c>
      <c r="C66" s="685" t="s">
        <v>806</v>
      </c>
      <c r="D66" s="282" t="s">
        <v>1357</v>
      </c>
      <c r="E66" s="281" t="s">
        <v>1063</v>
      </c>
      <c r="F66" s="855">
        <v>45748</v>
      </c>
      <c r="G66" s="855">
        <v>45901</v>
      </c>
      <c r="H66" s="626">
        <v>125000</v>
      </c>
      <c r="I66" s="1111">
        <v>0</v>
      </c>
      <c r="J66" s="1038">
        <v>125000</v>
      </c>
      <c r="K66" s="1038">
        <v>3587.5</v>
      </c>
      <c r="L66" s="1037">
        <v>17985.990000000002</v>
      </c>
      <c r="M66" s="1150">
        <v>3800</v>
      </c>
      <c r="N66" s="1038">
        <v>25</v>
      </c>
      <c r="O66" s="468">
        <f t="shared" si="10"/>
        <v>25398.49</v>
      </c>
      <c r="P66" s="1302">
        <f t="shared" si="11"/>
        <v>99601.51</v>
      </c>
    </row>
    <row r="67" spans="2:16" ht="32.25" customHeight="1" x14ac:dyDescent="0.25">
      <c r="B67" s="1298" t="s">
        <v>1588</v>
      </c>
      <c r="C67" s="685" t="s">
        <v>806</v>
      </c>
      <c r="D67" s="282" t="s">
        <v>1357</v>
      </c>
      <c r="E67" s="281" t="s">
        <v>1063</v>
      </c>
      <c r="F67" s="855">
        <v>45748</v>
      </c>
      <c r="G67" s="855">
        <v>45901</v>
      </c>
      <c r="H67" s="626">
        <v>125000</v>
      </c>
      <c r="I67" s="1169">
        <v>0</v>
      </c>
      <c r="J67" s="1038">
        <v>125000</v>
      </c>
      <c r="K67" s="1038">
        <v>3587.5</v>
      </c>
      <c r="L67" s="1037">
        <v>17985.990000000002</v>
      </c>
      <c r="M67" s="1150">
        <v>3800</v>
      </c>
      <c r="N67" s="1038">
        <v>25</v>
      </c>
      <c r="O67" s="468">
        <f t="shared" si="10"/>
        <v>25398.49</v>
      </c>
      <c r="P67" s="1296">
        <f t="shared" si="11"/>
        <v>99601.51</v>
      </c>
    </row>
    <row r="68" spans="2:16" ht="32.25" customHeight="1" x14ac:dyDescent="0.25">
      <c r="B68" s="1298" t="s">
        <v>1589</v>
      </c>
      <c r="C68" s="685" t="s">
        <v>807</v>
      </c>
      <c r="D68" s="282" t="s">
        <v>1357</v>
      </c>
      <c r="E68" s="281" t="s">
        <v>1063</v>
      </c>
      <c r="F68" s="855">
        <v>45748</v>
      </c>
      <c r="G68" s="855">
        <v>45901</v>
      </c>
      <c r="H68" s="626">
        <v>135000</v>
      </c>
      <c r="I68" s="1169">
        <v>0</v>
      </c>
      <c r="J68" s="1038">
        <v>135000</v>
      </c>
      <c r="K68" s="1038">
        <v>3874.5</v>
      </c>
      <c r="L68" s="1038">
        <v>19909.38</v>
      </c>
      <c r="M68" s="1150">
        <v>4104</v>
      </c>
      <c r="N68" s="1038">
        <v>1740.46</v>
      </c>
      <c r="O68" s="468">
        <f t="shared" si="10"/>
        <v>29628.34</v>
      </c>
      <c r="P68" s="1296">
        <f t="shared" si="11"/>
        <v>105371.66</v>
      </c>
    </row>
    <row r="69" spans="2:16" ht="33" customHeight="1" x14ac:dyDescent="0.25">
      <c r="B69" s="1279" t="s">
        <v>1590</v>
      </c>
      <c r="C69" s="685" t="s">
        <v>807</v>
      </c>
      <c r="D69" s="282" t="s">
        <v>1357</v>
      </c>
      <c r="E69" s="281" t="s">
        <v>1063</v>
      </c>
      <c r="F69" s="855">
        <v>45748</v>
      </c>
      <c r="G69" s="855">
        <v>45901</v>
      </c>
      <c r="H69" s="626">
        <v>125000</v>
      </c>
      <c r="I69" s="1111">
        <v>0</v>
      </c>
      <c r="J69" s="1038">
        <v>125000</v>
      </c>
      <c r="K69" s="1038">
        <v>3587.5</v>
      </c>
      <c r="L69" s="1038">
        <v>17985.990000000002</v>
      </c>
      <c r="M69" s="1150">
        <v>3800</v>
      </c>
      <c r="N69" s="1038">
        <v>25</v>
      </c>
      <c r="O69" s="468">
        <v>25398.49</v>
      </c>
      <c r="P69" s="1302">
        <v>99601.51</v>
      </c>
    </row>
    <row r="70" spans="2:16" ht="21" customHeight="1" x14ac:dyDescent="0.25">
      <c r="B70" s="1282" t="s">
        <v>813</v>
      </c>
      <c r="C70" s="569"/>
      <c r="D70" s="492">
        <v>7</v>
      </c>
      <c r="E70" s="465"/>
      <c r="F70" s="500"/>
      <c r="G70" s="855"/>
      <c r="H70" s="697">
        <f>SUM(H63:H69)</f>
        <v>885000</v>
      </c>
      <c r="I70" s="1112">
        <v>0</v>
      </c>
      <c r="J70" s="697">
        <f t="shared" ref="J70:P70" si="12">SUM(J63:J69)</f>
        <v>885000</v>
      </c>
      <c r="K70" s="697">
        <f t="shared" si="12"/>
        <v>25399.5</v>
      </c>
      <c r="L70" s="697">
        <f t="shared" si="12"/>
        <v>127825.32000000002</v>
      </c>
      <c r="M70" s="1145">
        <f t="shared" si="12"/>
        <v>26904</v>
      </c>
      <c r="N70" s="697">
        <f t="shared" si="12"/>
        <v>1890.46</v>
      </c>
      <c r="O70" s="697">
        <f t="shared" si="12"/>
        <v>182019.28</v>
      </c>
      <c r="P70" s="1300">
        <f t="shared" si="12"/>
        <v>702980.72</v>
      </c>
    </row>
    <row r="71" spans="2:16" ht="21" customHeight="1" x14ac:dyDescent="0.25">
      <c r="B71" s="1282"/>
      <c r="C71" s="569"/>
      <c r="D71" s="492"/>
      <c r="E71" s="465"/>
      <c r="F71" s="500"/>
      <c r="G71" s="855"/>
      <c r="H71" s="697"/>
      <c r="I71" s="1145"/>
      <c r="J71" s="697"/>
      <c r="K71" s="697"/>
      <c r="L71" s="697"/>
      <c r="M71" s="1145"/>
      <c r="N71" s="697"/>
      <c r="O71" s="697"/>
      <c r="P71" s="1300"/>
    </row>
    <row r="72" spans="2:16" ht="21" customHeight="1" x14ac:dyDescent="0.25">
      <c r="B72" s="1282" t="s">
        <v>821</v>
      </c>
      <c r="C72" s="569"/>
      <c r="D72" s="492"/>
      <c r="E72" s="465"/>
      <c r="F72" s="500"/>
      <c r="G72" s="855"/>
      <c r="H72" s="695"/>
      <c r="I72" s="1144"/>
      <c r="J72" s="697"/>
      <c r="K72" s="697"/>
      <c r="L72" s="697"/>
      <c r="M72" s="1145"/>
      <c r="N72" s="697"/>
      <c r="O72" s="697"/>
      <c r="P72" s="1300"/>
    </row>
    <row r="73" spans="2:16" ht="30.75" customHeight="1" x14ac:dyDescent="0.25">
      <c r="B73" s="1281" t="s">
        <v>593</v>
      </c>
      <c r="C73" s="685" t="s">
        <v>806</v>
      </c>
      <c r="D73" s="282" t="s">
        <v>1541</v>
      </c>
      <c r="E73" s="281" t="s">
        <v>1063</v>
      </c>
      <c r="F73" s="855">
        <v>45748</v>
      </c>
      <c r="G73" s="855">
        <v>45901</v>
      </c>
      <c r="H73" s="626">
        <v>150000</v>
      </c>
      <c r="I73" s="1169">
        <v>0</v>
      </c>
      <c r="J73" s="468">
        <v>150000</v>
      </c>
      <c r="K73" s="468">
        <v>4305</v>
      </c>
      <c r="L73" s="468">
        <v>23866.62</v>
      </c>
      <c r="M73" s="1149">
        <v>4560</v>
      </c>
      <c r="N73" s="468">
        <v>2568.4</v>
      </c>
      <c r="O73" s="468">
        <v>35300.019999999997</v>
      </c>
      <c r="P73" s="1280">
        <f>+J73-O73</f>
        <v>114699.98000000001</v>
      </c>
    </row>
    <row r="74" spans="2:16" ht="24.75" customHeight="1" x14ac:dyDescent="0.25">
      <c r="B74" s="1281" t="s">
        <v>1591</v>
      </c>
      <c r="C74" s="684" t="s">
        <v>806</v>
      </c>
      <c r="D74" s="282" t="s">
        <v>71</v>
      </c>
      <c r="E74" s="281" t="s">
        <v>1063</v>
      </c>
      <c r="F74" s="855">
        <v>45748</v>
      </c>
      <c r="G74" s="855">
        <v>45901</v>
      </c>
      <c r="H74" s="626">
        <v>70000</v>
      </c>
      <c r="I74" s="1111">
        <v>0</v>
      </c>
      <c r="J74" s="457">
        <v>70000</v>
      </c>
      <c r="K74" s="457">
        <v>2009</v>
      </c>
      <c r="L74" s="457">
        <v>5368.48</v>
      </c>
      <c r="M74" s="1149">
        <v>2128</v>
      </c>
      <c r="N74" s="468">
        <v>25</v>
      </c>
      <c r="O74" s="457">
        <f>+K74+L74+M74+N74</f>
        <v>9530.48</v>
      </c>
      <c r="P74" s="729">
        <f>+J74-O74</f>
        <v>60469.520000000004</v>
      </c>
    </row>
    <row r="75" spans="2:16" ht="24.75" customHeight="1" x14ac:dyDescent="0.25">
      <c r="B75" s="1281" t="s">
        <v>1288</v>
      </c>
      <c r="C75" s="685" t="s">
        <v>807</v>
      </c>
      <c r="D75" s="282" t="s">
        <v>417</v>
      </c>
      <c r="E75" s="281" t="s">
        <v>1063</v>
      </c>
      <c r="F75" s="855">
        <v>45748</v>
      </c>
      <c r="G75" s="855">
        <v>45901</v>
      </c>
      <c r="H75" s="626">
        <v>70000</v>
      </c>
      <c r="I75" s="1169">
        <v>0</v>
      </c>
      <c r="J75" s="468">
        <v>70000</v>
      </c>
      <c r="K75" s="468">
        <v>2009</v>
      </c>
      <c r="L75" s="468">
        <v>5368.48</v>
      </c>
      <c r="M75" s="1149">
        <v>2128</v>
      </c>
      <c r="N75" s="468">
        <v>25</v>
      </c>
      <c r="O75" s="468">
        <f>+K75+L75+M75+N75</f>
        <v>9530.48</v>
      </c>
      <c r="P75" s="1280">
        <f>+J75-O75</f>
        <v>60469.520000000004</v>
      </c>
    </row>
    <row r="76" spans="2:16" ht="24.75" customHeight="1" x14ac:dyDescent="0.25">
      <c r="B76" s="1281" t="s">
        <v>1496</v>
      </c>
      <c r="C76" s="685" t="s">
        <v>806</v>
      </c>
      <c r="D76" s="282" t="s">
        <v>417</v>
      </c>
      <c r="E76" s="281" t="s">
        <v>1063</v>
      </c>
      <c r="F76" s="855">
        <v>45658</v>
      </c>
      <c r="G76" s="855">
        <v>45809</v>
      </c>
      <c r="H76" s="626">
        <v>70000</v>
      </c>
      <c r="I76" s="1169">
        <v>0</v>
      </c>
      <c r="J76" s="468">
        <v>70000</v>
      </c>
      <c r="K76" s="468">
        <v>2009</v>
      </c>
      <c r="L76" s="468">
        <v>5368.48</v>
      </c>
      <c r="M76" s="1149">
        <v>2128</v>
      </c>
      <c r="N76" s="468">
        <v>25</v>
      </c>
      <c r="O76" s="468">
        <f>+K76+L76+M76+N76</f>
        <v>9530.48</v>
      </c>
      <c r="P76" s="1280">
        <f>+J76-O76</f>
        <v>60469.520000000004</v>
      </c>
    </row>
    <row r="77" spans="2:16" ht="21" customHeight="1" x14ac:dyDescent="0.25">
      <c r="B77" s="1282" t="s">
        <v>813</v>
      </c>
      <c r="C77" s="569"/>
      <c r="D77" s="492">
        <v>4</v>
      </c>
      <c r="E77" s="465"/>
      <c r="F77" s="500"/>
      <c r="G77" s="855"/>
      <c r="H77" s="695">
        <f>SUM(H73:H76)</f>
        <v>360000</v>
      </c>
      <c r="I77" s="1144">
        <v>0</v>
      </c>
      <c r="J77" s="695">
        <f t="shared" ref="J77:P77" si="13">SUM(J73:J76)</f>
        <v>360000</v>
      </c>
      <c r="K77" s="695">
        <f t="shared" si="13"/>
        <v>10332</v>
      </c>
      <c r="L77" s="695">
        <f t="shared" si="13"/>
        <v>39972.06</v>
      </c>
      <c r="M77" s="1145">
        <f t="shared" si="13"/>
        <v>10944</v>
      </c>
      <c r="N77" s="695">
        <f>SUM(N73:N76)</f>
        <v>2643.4</v>
      </c>
      <c r="O77" s="695">
        <f>SUM(O73:O76)</f>
        <v>63891.459999999992</v>
      </c>
      <c r="P77" s="1288">
        <f t="shared" si="13"/>
        <v>296108.54000000004</v>
      </c>
    </row>
    <row r="78" spans="2:16" ht="21" customHeight="1" x14ac:dyDescent="0.25">
      <c r="B78" s="1285"/>
      <c r="C78" s="1223"/>
      <c r="D78" s="492"/>
      <c r="E78" s="465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1287"/>
    </row>
    <row r="79" spans="2:16" ht="21" customHeight="1" x14ac:dyDescent="0.25">
      <c r="B79" s="1285" t="s">
        <v>1542</v>
      </c>
      <c r="C79" s="1223"/>
      <c r="D79" s="492"/>
      <c r="E79" s="492"/>
      <c r="F79" s="856"/>
      <c r="G79" s="857"/>
      <c r="H79" s="695"/>
      <c r="I79" s="1112"/>
      <c r="J79" s="463"/>
      <c r="K79" s="463"/>
      <c r="L79" s="463"/>
      <c r="M79" s="1145"/>
      <c r="N79" s="697"/>
      <c r="O79" s="463"/>
      <c r="P79" s="732"/>
    </row>
    <row r="80" spans="2:16" ht="21" customHeight="1" x14ac:dyDescent="0.25">
      <c r="B80" s="1286" t="s">
        <v>1592</v>
      </c>
      <c r="C80" s="684" t="s">
        <v>807</v>
      </c>
      <c r="D80" s="282" t="s">
        <v>1427</v>
      </c>
      <c r="E80" s="281" t="s">
        <v>1063</v>
      </c>
      <c r="F80" s="855">
        <v>45748</v>
      </c>
      <c r="G80" s="855">
        <v>45901</v>
      </c>
      <c r="H80" s="626">
        <v>185000</v>
      </c>
      <c r="I80" s="1111">
        <v>0</v>
      </c>
      <c r="J80" s="457">
        <v>185000</v>
      </c>
      <c r="K80" s="457">
        <v>5309.5</v>
      </c>
      <c r="L80" s="457">
        <v>32099.49</v>
      </c>
      <c r="M80" s="1149">
        <v>5624</v>
      </c>
      <c r="N80" s="468">
        <v>5010.4799999999996</v>
      </c>
      <c r="O80" s="457">
        <f>+K80+L80+M80+N80</f>
        <v>48043.47</v>
      </c>
      <c r="P80" s="729">
        <f>+J80-O80</f>
        <v>136956.53</v>
      </c>
    </row>
    <row r="81" spans="2:16" ht="21" customHeight="1" x14ac:dyDescent="0.25">
      <c r="B81" s="1282" t="s">
        <v>813</v>
      </c>
      <c r="C81" s="569"/>
      <c r="D81" s="492">
        <v>1</v>
      </c>
      <c r="E81" s="492"/>
      <c r="F81" s="1016"/>
      <c r="G81" s="855"/>
      <c r="H81" s="695">
        <f>+H80</f>
        <v>185000</v>
      </c>
      <c r="I81" s="1144">
        <f t="shared" ref="I81:P81" si="14">SUM(I80)</f>
        <v>0</v>
      </c>
      <c r="J81" s="695">
        <f t="shared" si="14"/>
        <v>185000</v>
      </c>
      <c r="K81" s="695">
        <f t="shared" si="14"/>
        <v>5309.5</v>
      </c>
      <c r="L81" s="695">
        <f t="shared" si="14"/>
        <v>32099.49</v>
      </c>
      <c r="M81" s="1145">
        <f t="shared" si="14"/>
        <v>5624</v>
      </c>
      <c r="N81" s="695">
        <f>SUM(N80)</f>
        <v>5010.4799999999996</v>
      </c>
      <c r="O81" s="695">
        <f t="shared" si="14"/>
        <v>48043.47</v>
      </c>
      <c r="P81" s="1288">
        <f t="shared" si="14"/>
        <v>136956.53</v>
      </c>
    </row>
    <row r="82" spans="2:16" ht="21" customHeight="1" x14ac:dyDescent="0.25">
      <c r="B82" s="1285"/>
      <c r="C82" s="1223"/>
      <c r="D82" s="492"/>
      <c r="E82" s="492"/>
      <c r="F82" s="856"/>
      <c r="G82" s="857"/>
      <c r="H82" s="695"/>
      <c r="I82" s="1112"/>
      <c r="J82" s="494"/>
      <c r="K82" s="494"/>
      <c r="L82" s="494"/>
      <c r="M82" s="1145"/>
      <c r="N82" s="695"/>
      <c r="O82" s="494"/>
      <c r="P82" s="1287"/>
    </row>
    <row r="83" spans="2:16" ht="30" customHeight="1" x14ac:dyDescent="0.25">
      <c r="B83" s="1303" t="s">
        <v>1565</v>
      </c>
      <c r="C83" s="1223"/>
      <c r="D83" s="625"/>
      <c r="E83" s="281"/>
      <c r="F83" s="856"/>
      <c r="G83" s="857"/>
      <c r="H83" s="695"/>
      <c r="I83" s="1112"/>
      <c r="J83" s="494"/>
      <c r="K83" s="494"/>
      <c r="L83" s="494"/>
      <c r="M83" s="1145"/>
      <c r="N83" s="695"/>
      <c r="O83" s="494"/>
      <c r="P83" s="1287"/>
    </row>
    <row r="84" spans="2:16" s="259" customFormat="1" ht="21" customHeight="1" x14ac:dyDescent="0.25">
      <c r="B84" s="1292" t="s">
        <v>946</v>
      </c>
      <c r="C84" s="1252" t="s">
        <v>806</v>
      </c>
      <c r="D84" s="1246" t="s">
        <v>945</v>
      </c>
      <c r="E84" s="1247" t="s">
        <v>1063</v>
      </c>
      <c r="F84" s="1248">
        <v>45748</v>
      </c>
      <c r="G84" s="1248">
        <v>45901</v>
      </c>
      <c r="H84" s="1100">
        <v>65000</v>
      </c>
      <c r="I84" s="1249">
        <v>0</v>
      </c>
      <c r="J84" s="1100">
        <v>65000</v>
      </c>
      <c r="K84" s="1100">
        <v>1865.5</v>
      </c>
      <c r="L84" s="1103">
        <v>4084.48</v>
      </c>
      <c r="M84" s="1250">
        <v>1976</v>
      </c>
      <c r="N84" s="1100">
        <v>1740.46</v>
      </c>
      <c r="O84" s="675">
        <f>+K84+L84+M84+N84</f>
        <v>9666.4399999999987</v>
      </c>
      <c r="P84" s="1293">
        <f>+J84-O84</f>
        <v>55333.56</v>
      </c>
    </row>
    <row r="85" spans="2:16" ht="21" customHeight="1" x14ac:dyDescent="0.25">
      <c r="B85" s="1304" t="s">
        <v>1593</v>
      </c>
      <c r="C85" s="1226" t="s">
        <v>806</v>
      </c>
      <c r="D85" s="625" t="s">
        <v>157</v>
      </c>
      <c r="E85" s="281" t="s">
        <v>1063</v>
      </c>
      <c r="F85" s="855">
        <v>45778</v>
      </c>
      <c r="G85" s="855">
        <v>45931</v>
      </c>
      <c r="H85" s="626">
        <v>65000</v>
      </c>
      <c r="I85" s="1169">
        <v>0</v>
      </c>
      <c r="J85" s="626">
        <v>65000</v>
      </c>
      <c r="K85" s="626">
        <v>1865.5</v>
      </c>
      <c r="L85" s="626">
        <v>4427.58</v>
      </c>
      <c r="M85" s="1149">
        <v>1976</v>
      </c>
      <c r="N85" s="626">
        <v>25</v>
      </c>
      <c r="O85" s="468">
        <f>+K85+L85+M85+N85</f>
        <v>8294.08</v>
      </c>
      <c r="P85" s="1280">
        <f>+J85-O85</f>
        <v>56705.919999999998</v>
      </c>
    </row>
    <row r="86" spans="2:16" ht="21" customHeight="1" x14ac:dyDescent="0.25">
      <c r="B86" s="1282" t="s">
        <v>813</v>
      </c>
      <c r="C86" s="569"/>
      <c r="D86" s="492">
        <v>2</v>
      </c>
      <c r="E86" s="492"/>
      <c r="F86" s="1016"/>
      <c r="G86" s="860"/>
      <c r="H86" s="695">
        <f>SUM(H84:H85)</f>
        <v>130000</v>
      </c>
      <c r="I86" s="1144">
        <f t="shared" ref="I86" si="15">SUM(I85)</f>
        <v>0</v>
      </c>
      <c r="J86" s="695">
        <f t="shared" ref="J86:P86" si="16">SUM(J84:J85)</f>
        <v>130000</v>
      </c>
      <c r="K86" s="695">
        <f t="shared" si="16"/>
        <v>3731</v>
      </c>
      <c r="L86" s="695">
        <f t="shared" si="16"/>
        <v>8512.06</v>
      </c>
      <c r="M86" s="1145">
        <f t="shared" si="16"/>
        <v>3952</v>
      </c>
      <c r="N86" s="695">
        <f>SUM(N84:N85)</f>
        <v>1765.46</v>
      </c>
      <c r="O86" s="695">
        <f t="shared" si="16"/>
        <v>17960.519999999997</v>
      </c>
      <c r="P86" s="1288">
        <f t="shared" si="16"/>
        <v>112039.48</v>
      </c>
    </row>
    <row r="87" spans="2:16" ht="21" customHeight="1" x14ac:dyDescent="0.25">
      <c r="B87" s="1285"/>
      <c r="C87" s="1223"/>
      <c r="D87" s="492"/>
      <c r="E87" s="492"/>
      <c r="F87" s="859"/>
      <c r="G87" s="860"/>
      <c r="H87" s="695"/>
      <c r="I87" s="1112"/>
      <c r="J87" s="494"/>
      <c r="K87" s="494"/>
      <c r="L87" s="494"/>
      <c r="M87" s="1145"/>
      <c r="N87" s="695"/>
      <c r="O87" s="494"/>
      <c r="P87" s="1287"/>
    </row>
    <row r="88" spans="2:16" ht="21" customHeight="1" x14ac:dyDescent="0.25">
      <c r="B88" s="1285" t="s">
        <v>1421</v>
      </c>
      <c r="C88" s="1223"/>
      <c r="D88" s="492"/>
      <c r="E88" s="492"/>
      <c r="F88" s="859"/>
      <c r="G88" s="860"/>
      <c r="H88" s="695"/>
      <c r="I88" s="1112"/>
      <c r="J88" s="494"/>
      <c r="K88" s="494"/>
      <c r="L88" s="494"/>
      <c r="M88" s="1145"/>
      <c r="N88" s="695"/>
      <c r="O88" s="494"/>
      <c r="P88" s="1287"/>
    </row>
    <row r="89" spans="2:16" ht="30.75" customHeight="1" x14ac:dyDescent="0.25">
      <c r="B89" s="1279" t="s">
        <v>1594</v>
      </c>
      <c r="C89" s="685" t="s">
        <v>807</v>
      </c>
      <c r="D89" s="282" t="s">
        <v>1422</v>
      </c>
      <c r="E89" s="281" t="s">
        <v>1063</v>
      </c>
      <c r="F89" s="855">
        <v>45778</v>
      </c>
      <c r="G89" s="855">
        <v>45931</v>
      </c>
      <c r="H89" s="626">
        <v>100000</v>
      </c>
      <c r="I89" s="1111">
        <v>0</v>
      </c>
      <c r="J89" s="498">
        <v>100000</v>
      </c>
      <c r="K89" s="498">
        <v>2870</v>
      </c>
      <c r="L89" s="498">
        <v>11676.5</v>
      </c>
      <c r="M89" s="1149">
        <v>3040</v>
      </c>
      <c r="N89" s="626">
        <v>5354.6</v>
      </c>
      <c r="O89" s="457">
        <f>+K89+L89+M89+N89</f>
        <v>22941.1</v>
      </c>
      <c r="P89" s="1280">
        <f>+J89-O89</f>
        <v>77058.899999999994</v>
      </c>
    </row>
    <row r="90" spans="2:16" ht="21" customHeight="1" x14ac:dyDescent="0.25">
      <c r="B90" s="1282" t="s">
        <v>813</v>
      </c>
      <c r="C90" s="685"/>
      <c r="D90" s="492">
        <v>1</v>
      </c>
      <c r="E90" s="281"/>
      <c r="F90" s="859"/>
      <c r="G90" s="860"/>
      <c r="H90" s="695">
        <v>100000</v>
      </c>
      <c r="I90" s="1112">
        <v>0</v>
      </c>
      <c r="J90" s="494">
        <v>100000</v>
      </c>
      <c r="K90" s="494">
        <v>2870</v>
      </c>
      <c r="L90" s="494">
        <v>11676.5</v>
      </c>
      <c r="M90" s="1145">
        <v>3040</v>
      </c>
      <c r="N90" s="695">
        <f>SUM(N89)</f>
        <v>5354.6</v>
      </c>
      <c r="O90" s="463">
        <f>SUM(O89)</f>
        <v>22941.1</v>
      </c>
      <c r="P90" s="1287">
        <f>SUM(P89)</f>
        <v>77058.899999999994</v>
      </c>
    </row>
    <row r="91" spans="2:16" ht="21" customHeight="1" x14ac:dyDescent="0.25">
      <c r="B91" s="1281"/>
      <c r="C91" s="685"/>
      <c r="D91" s="282"/>
      <c r="E91" s="492"/>
      <c r="F91" s="859"/>
      <c r="G91" s="860"/>
      <c r="H91" s="695"/>
      <c r="I91" s="1112"/>
      <c r="J91" s="494"/>
      <c r="K91" s="494"/>
      <c r="L91" s="494"/>
      <c r="M91" s="1145"/>
      <c r="N91" s="695"/>
      <c r="O91" s="494"/>
      <c r="P91" s="1287"/>
    </row>
    <row r="92" spans="2:16" ht="28.5" customHeight="1" x14ac:dyDescent="0.25">
      <c r="B92" s="1277" t="s">
        <v>1477</v>
      </c>
      <c r="C92" s="570"/>
      <c r="D92" s="492"/>
      <c r="E92" s="465"/>
      <c r="F92" s="1016"/>
      <c r="G92" s="860"/>
      <c r="H92" s="695"/>
      <c r="I92" s="1144"/>
      <c r="J92" s="697"/>
      <c r="K92" s="697"/>
      <c r="L92" s="697"/>
      <c r="M92" s="1145"/>
      <c r="N92" s="697"/>
      <c r="O92" s="697"/>
      <c r="P92" s="1300"/>
    </row>
    <row r="93" spans="2:16" s="259" customFormat="1" ht="33" customHeight="1" x14ac:dyDescent="0.25">
      <c r="B93" s="1292" t="s">
        <v>1752</v>
      </c>
      <c r="C93" s="1252" t="s">
        <v>807</v>
      </c>
      <c r="D93" s="1246" t="s">
        <v>1753</v>
      </c>
      <c r="E93" s="1247" t="s">
        <v>1063</v>
      </c>
      <c r="F93" s="1248">
        <v>45809</v>
      </c>
      <c r="G93" s="1248">
        <v>45992</v>
      </c>
      <c r="H93" s="1100">
        <v>120000</v>
      </c>
      <c r="I93" s="1249">
        <v>0</v>
      </c>
      <c r="J93" s="1100">
        <v>120000</v>
      </c>
      <c r="K93" s="1100">
        <v>3444</v>
      </c>
      <c r="L93" s="1103">
        <v>16809.87</v>
      </c>
      <c r="M93" s="1250">
        <v>3648</v>
      </c>
      <c r="N93" s="1100">
        <v>1296.7</v>
      </c>
      <c r="O93" s="675">
        <f t="shared" ref="O93:O99" si="17">+K93+L93+M93+N93</f>
        <v>25198.57</v>
      </c>
      <c r="P93" s="1293">
        <f>+J93-O93</f>
        <v>94801.43</v>
      </c>
    </row>
    <row r="94" spans="2:16" ht="21" customHeight="1" x14ac:dyDescent="0.25">
      <c r="B94" s="1305" t="s">
        <v>1595</v>
      </c>
      <c r="C94" s="1227" t="s">
        <v>806</v>
      </c>
      <c r="D94" s="282" t="s">
        <v>918</v>
      </c>
      <c r="E94" s="281" t="s">
        <v>1063</v>
      </c>
      <c r="F94" s="855">
        <v>45748</v>
      </c>
      <c r="G94" s="855">
        <v>45901</v>
      </c>
      <c r="H94" s="626">
        <v>70000</v>
      </c>
      <c r="I94" s="1169">
        <v>0</v>
      </c>
      <c r="J94" s="468">
        <v>70000</v>
      </c>
      <c r="K94" s="468">
        <v>2009</v>
      </c>
      <c r="L94" s="468">
        <v>5368.48</v>
      </c>
      <c r="M94" s="1149">
        <v>2128</v>
      </c>
      <c r="N94" s="468">
        <v>25</v>
      </c>
      <c r="O94" s="468">
        <f t="shared" si="17"/>
        <v>9530.48</v>
      </c>
      <c r="P94" s="1280">
        <f>+J94-O94</f>
        <v>60469.520000000004</v>
      </c>
    </row>
    <row r="95" spans="2:16" ht="21" customHeight="1" x14ac:dyDescent="0.25">
      <c r="B95" s="1279" t="s">
        <v>1596</v>
      </c>
      <c r="C95" s="685" t="s">
        <v>807</v>
      </c>
      <c r="D95" s="282" t="s">
        <v>918</v>
      </c>
      <c r="E95" s="281" t="s">
        <v>1063</v>
      </c>
      <c r="F95" s="855">
        <v>45748</v>
      </c>
      <c r="G95" s="855">
        <v>45901</v>
      </c>
      <c r="H95" s="626">
        <v>70000</v>
      </c>
      <c r="I95" s="1169">
        <v>0</v>
      </c>
      <c r="J95" s="468">
        <v>70000</v>
      </c>
      <c r="K95" s="468">
        <v>2009</v>
      </c>
      <c r="L95" s="468">
        <v>5368.48</v>
      </c>
      <c r="M95" s="1149">
        <v>2128</v>
      </c>
      <c r="N95" s="468">
        <v>25</v>
      </c>
      <c r="O95" s="468">
        <f t="shared" si="17"/>
        <v>9530.48</v>
      </c>
      <c r="P95" s="1280">
        <f t="shared" ref="P95:P99" si="18">+J95-O95</f>
        <v>60469.520000000004</v>
      </c>
    </row>
    <row r="96" spans="2:16" ht="21" customHeight="1" x14ac:dyDescent="0.25">
      <c r="B96" s="1281" t="s">
        <v>610</v>
      </c>
      <c r="C96" s="685" t="s">
        <v>806</v>
      </c>
      <c r="D96" s="282" t="s">
        <v>918</v>
      </c>
      <c r="E96" s="281" t="s">
        <v>1063</v>
      </c>
      <c r="F96" s="855">
        <v>45748</v>
      </c>
      <c r="G96" s="855">
        <v>45901</v>
      </c>
      <c r="H96" s="626">
        <v>70000</v>
      </c>
      <c r="I96" s="1169">
        <v>0</v>
      </c>
      <c r="J96" s="468">
        <v>70000</v>
      </c>
      <c r="K96" s="468">
        <v>2009</v>
      </c>
      <c r="L96" s="468">
        <v>5368.48</v>
      </c>
      <c r="M96" s="1149">
        <v>2128</v>
      </c>
      <c r="N96" s="468">
        <v>25</v>
      </c>
      <c r="O96" s="468">
        <f t="shared" si="17"/>
        <v>9530.48</v>
      </c>
      <c r="P96" s="1280">
        <f t="shared" si="18"/>
        <v>60469.520000000004</v>
      </c>
    </row>
    <row r="97" spans="2:16" ht="21" customHeight="1" x14ac:dyDescent="0.25">
      <c r="B97" s="1279" t="s">
        <v>1597</v>
      </c>
      <c r="C97" s="685" t="s">
        <v>806</v>
      </c>
      <c r="D97" s="282" t="s">
        <v>918</v>
      </c>
      <c r="E97" s="281" t="s">
        <v>1063</v>
      </c>
      <c r="F97" s="855">
        <v>45748</v>
      </c>
      <c r="G97" s="855">
        <v>45901</v>
      </c>
      <c r="H97" s="626">
        <v>70000</v>
      </c>
      <c r="I97" s="1169">
        <v>0</v>
      </c>
      <c r="J97" s="468">
        <v>70000</v>
      </c>
      <c r="K97" s="468">
        <v>2009</v>
      </c>
      <c r="L97" s="468">
        <v>5368.48</v>
      </c>
      <c r="M97" s="1149">
        <v>2128</v>
      </c>
      <c r="N97" s="468">
        <v>25</v>
      </c>
      <c r="O97" s="468">
        <f t="shared" si="17"/>
        <v>9530.48</v>
      </c>
      <c r="P97" s="1280">
        <f t="shared" si="18"/>
        <v>60469.520000000004</v>
      </c>
    </row>
    <row r="98" spans="2:16" ht="21" customHeight="1" x14ac:dyDescent="0.25">
      <c r="B98" s="1281" t="s">
        <v>1295</v>
      </c>
      <c r="C98" s="685" t="s">
        <v>1296</v>
      </c>
      <c r="D98" s="282" t="s">
        <v>918</v>
      </c>
      <c r="E98" s="281" t="s">
        <v>1063</v>
      </c>
      <c r="F98" s="855">
        <v>45748</v>
      </c>
      <c r="G98" s="855">
        <v>45901</v>
      </c>
      <c r="H98" s="626">
        <v>70000</v>
      </c>
      <c r="I98" s="1169">
        <v>0</v>
      </c>
      <c r="J98" s="468">
        <v>70000</v>
      </c>
      <c r="K98" s="468">
        <v>2009</v>
      </c>
      <c r="L98" s="468">
        <v>5025.38</v>
      </c>
      <c r="M98" s="1149">
        <v>2128</v>
      </c>
      <c r="N98" s="468">
        <v>1740.46</v>
      </c>
      <c r="O98" s="468">
        <f t="shared" si="17"/>
        <v>10902.84</v>
      </c>
      <c r="P98" s="1280">
        <f t="shared" si="18"/>
        <v>59097.16</v>
      </c>
    </row>
    <row r="99" spans="2:16" ht="21" customHeight="1" x14ac:dyDescent="0.25">
      <c r="B99" s="1281" t="s">
        <v>1293</v>
      </c>
      <c r="C99" s="685" t="s">
        <v>807</v>
      </c>
      <c r="D99" s="282" t="s">
        <v>1294</v>
      </c>
      <c r="E99" s="281" t="s">
        <v>1063</v>
      </c>
      <c r="F99" s="855">
        <v>45717</v>
      </c>
      <c r="G99" s="855">
        <v>45870</v>
      </c>
      <c r="H99" s="626">
        <v>55000</v>
      </c>
      <c r="I99" s="1169">
        <v>0</v>
      </c>
      <c r="J99" s="468">
        <v>55000</v>
      </c>
      <c r="K99" s="468">
        <v>1578.5</v>
      </c>
      <c r="L99" s="468">
        <v>2559.6799999999998</v>
      </c>
      <c r="M99" s="1149">
        <v>1672</v>
      </c>
      <c r="N99" s="468">
        <v>25</v>
      </c>
      <c r="O99" s="468">
        <f t="shared" si="17"/>
        <v>5835.18</v>
      </c>
      <c r="P99" s="1280">
        <f t="shared" si="18"/>
        <v>49164.82</v>
      </c>
    </row>
    <row r="100" spans="2:16" ht="21" customHeight="1" x14ac:dyDescent="0.25">
      <c r="B100" s="1282" t="s">
        <v>813</v>
      </c>
      <c r="C100" s="569"/>
      <c r="D100" s="492">
        <v>7</v>
      </c>
      <c r="E100" s="465"/>
      <c r="F100" s="1016"/>
      <c r="G100" s="860"/>
      <c r="H100" s="695">
        <f>SUM(H93:H99)</f>
        <v>525000</v>
      </c>
      <c r="I100" s="1144">
        <f t="shared" ref="I100" si="19">SUM(I99)</f>
        <v>0</v>
      </c>
      <c r="J100" s="695">
        <f>SUM(J93:J99)</f>
        <v>525000</v>
      </c>
      <c r="K100" s="695">
        <f t="shared" ref="K100:P100" si="20">SUM(K93:K99)</f>
        <v>15067.5</v>
      </c>
      <c r="L100" s="695">
        <f t="shared" si="20"/>
        <v>45868.849999999991</v>
      </c>
      <c r="M100" s="695">
        <f t="shared" si="20"/>
        <v>15960</v>
      </c>
      <c r="N100" s="695">
        <f t="shared" si="20"/>
        <v>3162.16</v>
      </c>
      <c r="O100" s="695">
        <f t="shared" si="20"/>
        <v>80058.50999999998</v>
      </c>
      <c r="P100" s="1288">
        <f t="shared" si="20"/>
        <v>444941.49000000005</v>
      </c>
    </row>
    <row r="101" spans="2:16" ht="21" customHeight="1" x14ac:dyDescent="0.25">
      <c r="B101" s="1285"/>
      <c r="C101" s="1223"/>
      <c r="D101" s="492"/>
      <c r="E101" s="465"/>
      <c r="F101" s="856"/>
      <c r="G101" s="857"/>
      <c r="H101" s="695"/>
      <c r="I101" s="1112"/>
      <c r="J101" s="463"/>
      <c r="K101" s="463"/>
      <c r="L101" s="463"/>
      <c r="M101" s="1145"/>
      <c r="N101" s="697"/>
      <c r="O101" s="463"/>
      <c r="P101" s="732"/>
    </row>
    <row r="102" spans="2:16" ht="30" customHeight="1" x14ac:dyDescent="0.25">
      <c r="B102" s="1277" t="s">
        <v>825</v>
      </c>
      <c r="C102" s="570"/>
      <c r="D102" s="492"/>
      <c r="E102" s="465"/>
      <c r="F102" s="1019"/>
      <c r="G102" s="857"/>
      <c r="H102" s="695"/>
      <c r="I102" s="1144"/>
      <c r="J102" s="697"/>
      <c r="K102" s="697"/>
      <c r="L102" s="697"/>
      <c r="M102" s="1145"/>
      <c r="N102" s="697"/>
      <c r="O102" s="697"/>
      <c r="P102" s="1300"/>
    </row>
    <row r="103" spans="2:16" ht="28.5" customHeight="1" x14ac:dyDescent="0.25">
      <c r="B103" s="1301" t="s">
        <v>1598</v>
      </c>
      <c r="C103" s="684" t="s">
        <v>807</v>
      </c>
      <c r="D103" s="749" t="s">
        <v>1516</v>
      </c>
      <c r="E103" s="282" t="s">
        <v>1281</v>
      </c>
      <c r="F103" s="855">
        <v>45778</v>
      </c>
      <c r="G103" s="855">
        <v>45931</v>
      </c>
      <c r="H103" s="626">
        <v>120000</v>
      </c>
      <c r="I103" s="1111">
        <v>0</v>
      </c>
      <c r="J103" s="498">
        <v>120000</v>
      </c>
      <c r="K103" s="498">
        <v>3444</v>
      </c>
      <c r="L103" s="498">
        <v>16809.87</v>
      </c>
      <c r="M103" s="1149">
        <v>3648</v>
      </c>
      <c r="N103" s="626">
        <v>4169.3999999999996</v>
      </c>
      <c r="O103" s="457">
        <f>+K103+L103+M103+N103</f>
        <v>28071.269999999997</v>
      </c>
      <c r="P103" s="729">
        <f>+J103-O103</f>
        <v>91928.73000000001</v>
      </c>
    </row>
    <row r="104" spans="2:16" ht="21" customHeight="1" x14ac:dyDescent="0.25">
      <c r="B104" s="1301" t="s">
        <v>1599</v>
      </c>
      <c r="C104" s="684" t="s">
        <v>806</v>
      </c>
      <c r="D104" s="282" t="s">
        <v>117</v>
      </c>
      <c r="E104" s="286" t="s">
        <v>1063</v>
      </c>
      <c r="F104" s="855">
        <v>45962</v>
      </c>
      <c r="G104" s="855">
        <v>45901</v>
      </c>
      <c r="H104" s="626">
        <v>70000</v>
      </c>
      <c r="I104" s="1111">
        <v>0</v>
      </c>
      <c r="J104" s="457">
        <v>70000</v>
      </c>
      <c r="K104" s="457">
        <v>2009</v>
      </c>
      <c r="L104" s="457">
        <v>5368.48</v>
      </c>
      <c r="M104" s="1149">
        <v>2128</v>
      </c>
      <c r="N104" s="468">
        <v>525</v>
      </c>
      <c r="O104" s="457">
        <f>+K104+L104+M104+N104</f>
        <v>10030.48</v>
      </c>
      <c r="P104" s="729">
        <f>+J104-O104</f>
        <v>59969.520000000004</v>
      </c>
    </row>
    <row r="105" spans="2:16" ht="21" customHeight="1" x14ac:dyDescent="0.25">
      <c r="B105" s="1282" t="s">
        <v>813</v>
      </c>
      <c r="C105" s="569"/>
      <c r="D105" s="492">
        <v>2</v>
      </c>
      <c r="E105" s="465"/>
      <c r="F105" s="1016"/>
      <c r="G105" s="860"/>
      <c r="H105" s="695">
        <f>SUM(H103:H104)</f>
        <v>190000</v>
      </c>
      <c r="I105" s="1112">
        <v>0</v>
      </c>
      <c r="J105" s="695">
        <f t="shared" ref="J105:O105" si="21">SUM(J103:J104)</f>
        <v>190000</v>
      </c>
      <c r="K105" s="695">
        <f t="shared" si="21"/>
        <v>5453</v>
      </c>
      <c r="L105" s="695">
        <f t="shared" si="21"/>
        <v>22178.35</v>
      </c>
      <c r="M105" s="695">
        <f t="shared" si="21"/>
        <v>5776</v>
      </c>
      <c r="N105" s="695">
        <f>SUM(N103:N104)</f>
        <v>4694.3999999999996</v>
      </c>
      <c r="O105" s="695">
        <f t="shared" si="21"/>
        <v>38101.75</v>
      </c>
      <c r="P105" s="1288">
        <f>SUM(P103:P104)</f>
        <v>151898.25</v>
      </c>
    </row>
    <row r="106" spans="2:16" ht="21" customHeight="1" x14ac:dyDescent="0.25">
      <c r="B106" s="1282"/>
      <c r="C106" s="569"/>
      <c r="D106" s="492"/>
      <c r="E106" s="465"/>
      <c r="F106" s="1016"/>
      <c r="G106" s="860"/>
      <c r="H106" s="695"/>
      <c r="I106" s="1112"/>
      <c r="J106" s="695"/>
      <c r="K106" s="695"/>
      <c r="L106" s="695"/>
      <c r="M106" s="695"/>
      <c r="N106" s="695"/>
      <c r="O106" s="695"/>
      <c r="P106" s="1288"/>
    </row>
    <row r="107" spans="2:16" ht="30" customHeight="1" x14ac:dyDescent="0.25">
      <c r="B107" s="1277" t="s">
        <v>1476</v>
      </c>
      <c r="C107" s="570"/>
      <c r="D107" s="492"/>
      <c r="E107" s="465"/>
      <c r="F107" s="1019"/>
      <c r="G107" s="857"/>
      <c r="H107" s="695"/>
      <c r="I107" s="1144"/>
      <c r="J107" s="697"/>
      <c r="K107" s="697"/>
      <c r="L107" s="697"/>
      <c r="M107" s="1145"/>
      <c r="N107" s="697"/>
      <c r="O107" s="697"/>
      <c r="P107" s="1300"/>
    </row>
    <row r="108" spans="2:16" ht="28.5" customHeight="1" x14ac:dyDescent="0.25">
      <c r="B108" s="1301" t="s">
        <v>1754</v>
      </c>
      <c r="C108" s="684" t="s">
        <v>807</v>
      </c>
      <c r="D108" s="749" t="s">
        <v>1755</v>
      </c>
      <c r="E108" s="282" t="s">
        <v>1281</v>
      </c>
      <c r="F108" s="855">
        <v>45809</v>
      </c>
      <c r="G108" s="855">
        <v>45992</v>
      </c>
      <c r="H108" s="626">
        <v>120000</v>
      </c>
      <c r="I108" s="1111">
        <v>0</v>
      </c>
      <c r="J108" s="498">
        <v>120000</v>
      </c>
      <c r="K108" s="498">
        <v>3444</v>
      </c>
      <c r="L108" s="498">
        <v>16809.87</v>
      </c>
      <c r="M108" s="1149">
        <v>3648</v>
      </c>
      <c r="N108" s="626">
        <v>2568.4</v>
      </c>
      <c r="O108" s="457">
        <f>+K108+L108+M108+N108</f>
        <v>26470.27</v>
      </c>
      <c r="P108" s="729">
        <f>+J108-O108</f>
        <v>93529.73</v>
      </c>
    </row>
    <row r="109" spans="2:16" ht="28.5" customHeight="1" x14ac:dyDescent="0.25">
      <c r="B109" s="1301"/>
      <c r="C109" s="684"/>
      <c r="D109" s="492">
        <v>1</v>
      </c>
      <c r="E109" s="282"/>
      <c r="F109" s="855"/>
      <c r="G109" s="855"/>
      <c r="H109" s="695">
        <f>SUM(H107:H108)</f>
        <v>120000</v>
      </c>
      <c r="I109" s="1112">
        <v>0</v>
      </c>
      <c r="J109" s="695">
        <f t="shared" ref="J109:O109" si="22">SUM(J107:J108)</f>
        <v>120000</v>
      </c>
      <c r="K109" s="695">
        <f t="shared" si="22"/>
        <v>3444</v>
      </c>
      <c r="L109" s="695">
        <f t="shared" si="22"/>
        <v>16809.87</v>
      </c>
      <c r="M109" s="695">
        <f t="shared" si="22"/>
        <v>3648</v>
      </c>
      <c r="N109" s="695">
        <f>SUM(N107:N108)</f>
        <v>2568.4</v>
      </c>
      <c r="O109" s="695">
        <f t="shared" si="22"/>
        <v>26470.27</v>
      </c>
      <c r="P109" s="1288">
        <f>SUM(P107:P108)</f>
        <v>93529.73</v>
      </c>
    </row>
    <row r="110" spans="2:16" ht="21" customHeight="1" x14ac:dyDescent="0.25">
      <c r="B110" s="1285"/>
      <c r="C110" s="1223"/>
      <c r="D110" s="492"/>
      <c r="E110" s="465"/>
      <c r="F110" s="859"/>
      <c r="G110" s="860"/>
      <c r="H110" s="695"/>
      <c r="I110" s="1112"/>
      <c r="J110" s="494"/>
      <c r="K110" s="494"/>
      <c r="L110" s="494"/>
      <c r="M110" s="1145"/>
      <c r="N110" s="695"/>
      <c r="O110" s="494"/>
      <c r="P110" s="1287"/>
    </row>
    <row r="111" spans="2:16" ht="21" customHeight="1" x14ac:dyDescent="0.25">
      <c r="B111" s="1282" t="s">
        <v>827</v>
      </c>
      <c r="C111" s="569"/>
      <c r="D111" s="492"/>
      <c r="E111" s="465"/>
      <c r="F111" s="1272"/>
      <c r="G111" s="711"/>
      <c r="H111" s="695"/>
      <c r="I111" s="1144"/>
      <c r="J111" s="697"/>
      <c r="K111" s="697"/>
      <c r="L111" s="697"/>
      <c r="M111" s="1145"/>
      <c r="N111" s="697"/>
      <c r="O111" s="697"/>
      <c r="P111" s="1300"/>
    </row>
    <row r="112" spans="2:16" ht="21" customHeight="1" x14ac:dyDescent="0.25">
      <c r="B112" s="1285" t="s">
        <v>1761</v>
      </c>
      <c r="C112" s="1223"/>
      <c r="D112" s="492"/>
      <c r="E112" s="465"/>
      <c r="F112" s="710"/>
      <c r="G112" s="711"/>
      <c r="H112" s="695"/>
      <c r="I112" s="1112"/>
      <c r="J112" s="463"/>
      <c r="K112" s="463"/>
      <c r="L112" s="463"/>
      <c r="M112" s="1145"/>
      <c r="N112" s="697"/>
      <c r="O112" s="463"/>
      <c r="P112" s="732"/>
    </row>
    <row r="113" spans="2:16" ht="30" customHeight="1" x14ac:dyDescent="0.25">
      <c r="B113" s="1301" t="s">
        <v>1602</v>
      </c>
      <c r="C113" s="281" t="s">
        <v>807</v>
      </c>
      <c r="D113" s="282" t="s">
        <v>1032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5368.48</v>
      </c>
      <c r="M113" s="1149">
        <v>2128</v>
      </c>
      <c r="N113" s="468">
        <v>25</v>
      </c>
      <c r="O113" s="468">
        <f>+K113+L113+M113+N113</f>
        <v>9530.48</v>
      </c>
      <c r="P113" s="1280">
        <f>+J113-O113</f>
        <v>60469.520000000004</v>
      </c>
    </row>
    <row r="114" spans="2:16" ht="30" customHeight="1" x14ac:dyDescent="0.25">
      <c r="B114" s="1301" t="s">
        <v>1613</v>
      </c>
      <c r="C114" s="281" t="s">
        <v>807</v>
      </c>
      <c r="D114" s="282" t="s">
        <v>417</v>
      </c>
      <c r="E114" s="281" t="s">
        <v>1063</v>
      </c>
      <c r="F114" s="855">
        <v>45717</v>
      </c>
      <c r="G114" s="855">
        <v>45870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4682.29</v>
      </c>
      <c r="M114" s="1149">
        <v>2128</v>
      </c>
      <c r="N114" s="468">
        <v>3455.92</v>
      </c>
      <c r="O114" s="468">
        <f>+K114+L114+M114+N114</f>
        <v>12275.210000000001</v>
      </c>
      <c r="P114" s="1280">
        <f>+J114-O114</f>
        <v>57724.79</v>
      </c>
    </row>
    <row r="115" spans="2:16" ht="30" customHeight="1" x14ac:dyDescent="0.25">
      <c r="B115" s="1301" t="s">
        <v>1606</v>
      </c>
      <c r="C115" s="281" t="s">
        <v>807</v>
      </c>
      <c r="D115" s="282" t="s">
        <v>967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468">
        <v>70000</v>
      </c>
      <c r="K115" s="468">
        <v>2009</v>
      </c>
      <c r="L115" s="861">
        <v>5025.38</v>
      </c>
      <c r="M115" s="1149">
        <v>2128</v>
      </c>
      <c r="N115" s="468">
        <v>1740.46</v>
      </c>
      <c r="O115" s="468">
        <f t="shared" ref="O115:O119" si="23">+K115+L115+M115+N115</f>
        <v>10902.84</v>
      </c>
      <c r="P115" s="1280">
        <f t="shared" ref="P115:P121" si="24">+J115-O115</f>
        <v>59097.16</v>
      </c>
    </row>
    <row r="116" spans="2:16" ht="30" customHeight="1" x14ac:dyDescent="0.25">
      <c r="B116" s="1281" t="s">
        <v>725</v>
      </c>
      <c r="C116" s="281" t="s">
        <v>806</v>
      </c>
      <c r="D116" s="282" t="s">
        <v>823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23"/>
        <v>9530.48</v>
      </c>
      <c r="P116" s="1280">
        <f t="shared" si="24"/>
        <v>60469.520000000004</v>
      </c>
    </row>
    <row r="117" spans="2:16" ht="30" customHeight="1" x14ac:dyDescent="0.25">
      <c r="B117" s="1301" t="s">
        <v>1735</v>
      </c>
      <c r="C117" s="281" t="s">
        <v>806</v>
      </c>
      <c r="D117" s="282" t="s">
        <v>414</v>
      </c>
      <c r="E117" s="281" t="s">
        <v>1063</v>
      </c>
      <c r="F117" s="855">
        <v>45748</v>
      </c>
      <c r="G117" s="855">
        <v>45901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23"/>
        <v>9530.48</v>
      </c>
      <c r="P117" s="1280">
        <f t="shared" si="24"/>
        <v>60469.520000000004</v>
      </c>
    </row>
    <row r="118" spans="2:16" ht="30" customHeight="1" x14ac:dyDescent="0.25">
      <c r="B118" s="1301" t="s">
        <v>1609</v>
      </c>
      <c r="C118" s="281" t="s">
        <v>807</v>
      </c>
      <c r="D118" s="282" t="s">
        <v>918</v>
      </c>
      <c r="E118" s="281" t="s">
        <v>1063</v>
      </c>
      <c r="F118" s="855">
        <v>45748</v>
      </c>
      <c r="G118" s="855">
        <v>45901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5368.48</v>
      </c>
      <c r="M118" s="1149">
        <v>2128</v>
      </c>
      <c r="N118" s="468">
        <v>25</v>
      </c>
      <c r="O118" s="468">
        <f t="shared" si="23"/>
        <v>9530.48</v>
      </c>
      <c r="P118" s="1280">
        <f t="shared" si="24"/>
        <v>60469.520000000004</v>
      </c>
    </row>
    <row r="119" spans="2:16" ht="30" customHeight="1" x14ac:dyDescent="0.25">
      <c r="B119" s="1281" t="s">
        <v>1409</v>
      </c>
      <c r="C119" s="281" t="s">
        <v>807</v>
      </c>
      <c r="D119" s="282" t="s">
        <v>1734</v>
      </c>
      <c r="E119" s="281" t="s">
        <v>1063</v>
      </c>
      <c r="F119" s="855">
        <v>45658</v>
      </c>
      <c r="G119" s="855">
        <v>45809</v>
      </c>
      <c r="H119" s="626">
        <v>70000</v>
      </c>
      <c r="I119" s="1169">
        <v>0</v>
      </c>
      <c r="J119" s="468">
        <v>70000</v>
      </c>
      <c r="K119" s="468">
        <v>2009</v>
      </c>
      <c r="L119" s="468">
        <v>5368.48</v>
      </c>
      <c r="M119" s="1149">
        <v>2128</v>
      </c>
      <c r="N119" s="468">
        <v>25</v>
      </c>
      <c r="O119" s="468">
        <f t="shared" si="23"/>
        <v>9530.48</v>
      </c>
      <c r="P119" s="1280">
        <f t="shared" si="24"/>
        <v>60469.520000000004</v>
      </c>
    </row>
    <row r="120" spans="2:16" ht="30" customHeight="1" x14ac:dyDescent="0.25">
      <c r="B120" s="1301" t="s">
        <v>1622</v>
      </c>
      <c r="C120" s="281" t="s">
        <v>806</v>
      </c>
      <c r="D120" s="282" t="s">
        <v>1357</v>
      </c>
      <c r="E120" s="281" t="s">
        <v>1063</v>
      </c>
      <c r="F120" s="855">
        <v>45748</v>
      </c>
      <c r="G120" s="855">
        <v>45901</v>
      </c>
      <c r="H120" s="626">
        <v>125000</v>
      </c>
      <c r="I120" s="1169">
        <v>0</v>
      </c>
      <c r="J120" s="468">
        <v>125000</v>
      </c>
      <c r="K120" s="1038">
        <v>3587.5</v>
      </c>
      <c r="L120" s="1037">
        <v>17985.990000000002</v>
      </c>
      <c r="M120" s="1150">
        <v>3800</v>
      </c>
      <c r="N120" s="1038">
        <v>25</v>
      </c>
      <c r="O120" s="468">
        <f>+K120+L120+M120+N120</f>
        <v>25398.49</v>
      </c>
      <c r="P120" s="1280">
        <f t="shared" si="24"/>
        <v>99601.51</v>
      </c>
    </row>
    <row r="121" spans="2:16" ht="30" customHeight="1" x14ac:dyDescent="0.25">
      <c r="B121" s="1301" t="s">
        <v>1624</v>
      </c>
      <c r="C121" s="281" t="s">
        <v>806</v>
      </c>
      <c r="D121" s="282" t="s">
        <v>1683</v>
      </c>
      <c r="E121" s="281" t="s">
        <v>1063</v>
      </c>
      <c r="F121" s="855">
        <v>45748</v>
      </c>
      <c r="G121" s="855">
        <v>45901</v>
      </c>
      <c r="H121" s="626">
        <v>55000</v>
      </c>
      <c r="I121" s="1169">
        <v>0</v>
      </c>
      <c r="J121" s="468">
        <v>55000</v>
      </c>
      <c r="K121" s="468">
        <v>1578.5</v>
      </c>
      <c r="L121" s="468">
        <v>2302.36</v>
      </c>
      <c r="M121" s="1149">
        <v>1672</v>
      </c>
      <c r="N121" s="468">
        <v>1740.46</v>
      </c>
      <c r="O121" s="468">
        <f t="shared" ref="O121" si="25">+K121+L121+M121+N121</f>
        <v>7293.3200000000006</v>
      </c>
      <c r="P121" s="1280">
        <f t="shared" si="24"/>
        <v>47706.68</v>
      </c>
    </row>
    <row r="122" spans="2:16" ht="21" customHeight="1" x14ac:dyDescent="0.25">
      <c r="B122" s="1282" t="s">
        <v>813</v>
      </c>
      <c r="C122" s="569"/>
      <c r="D122" s="492">
        <v>9</v>
      </c>
      <c r="E122" s="465"/>
      <c r="F122" s="1016"/>
      <c r="G122" s="860"/>
      <c r="H122" s="695">
        <f>SUM(H113:H121)</f>
        <v>670000</v>
      </c>
      <c r="I122" s="695">
        <f t="shared" ref="I122:P122" si="26">SUM(I113:I121)</f>
        <v>0</v>
      </c>
      <c r="J122" s="695">
        <f t="shared" si="26"/>
        <v>670000</v>
      </c>
      <c r="K122" s="695">
        <f t="shared" si="26"/>
        <v>19229</v>
      </c>
      <c r="L122" s="695">
        <f t="shared" si="26"/>
        <v>56838.42</v>
      </c>
      <c r="M122" s="695">
        <f t="shared" si="26"/>
        <v>20368</v>
      </c>
      <c r="N122" s="695">
        <f t="shared" si="26"/>
        <v>7086.84</v>
      </c>
      <c r="O122" s="695">
        <f t="shared" si="26"/>
        <v>103522.26000000001</v>
      </c>
      <c r="P122" s="1288">
        <f t="shared" si="26"/>
        <v>566477.74000000011</v>
      </c>
    </row>
    <row r="123" spans="2:16" ht="28.5" customHeight="1" x14ac:dyDescent="0.25">
      <c r="B123" s="1281"/>
      <c r="C123" s="569"/>
      <c r="D123" s="282"/>
      <c r="E123" s="465"/>
      <c r="F123" s="1272"/>
      <c r="G123" s="711"/>
      <c r="H123" s="695"/>
      <c r="I123" s="1144"/>
      <c r="J123" s="697"/>
      <c r="K123" s="697"/>
      <c r="L123" s="697"/>
      <c r="M123" s="1145"/>
      <c r="N123" s="697"/>
      <c r="O123" s="697"/>
      <c r="P123" s="1300"/>
    </row>
    <row r="124" spans="2:16" ht="28.5" customHeight="1" x14ac:dyDescent="0.25">
      <c r="B124" s="1282" t="s">
        <v>1740</v>
      </c>
      <c r="C124" s="569"/>
      <c r="D124" s="28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1300"/>
    </row>
    <row r="125" spans="2:16" ht="28.5" customHeight="1" x14ac:dyDescent="0.25">
      <c r="B125" s="1301" t="s">
        <v>1087</v>
      </c>
      <c r="C125" s="680" t="s">
        <v>807</v>
      </c>
      <c r="D125" s="282" t="s">
        <v>78</v>
      </c>
      <c r="E125" s="281" t="s">
        <v>1063</v>
      </c>
      <c r="F125" s="855">
        <v>45748</v>
      </c>
      <c r="G125" s="855">
        <v>45901</v>
      </c>
      <c r="H125" s="626">
        <v>70000</v>
      </c>
      <c r="I125" s="1169">
        <v>0</v>
      </c>
      <c r="J125" s="628">
        <v>70000</v>
      </c>
      <c r="K125" s="628">
        <v>2009</v>
      </c>
      <c r="L125" s="628">
        <v>5368.48</v>
      </c>
      <c r="M125" s="1149">
        <v>2128</v>
      </c>
      <c r="N125" s="628">
        <v>25</v>
      </c>
      <c r="O125" s="628">
        <f t="shared" ref="O125:O132" si="27">+K125+L125+M125+N125</f>
        <v>9530.48</v>
      </c>
      <c r="P125" s="1306">
        <f t="shared" ref="P125:P127" si="28">+J125-O125</f>
        <v>60469.520000000004</v>
      </c>
    </row>
    <row r="126" spans="2:16" ht="28.5" customHeight="1" x14ac:dyDescent="0.25">
      <c r="B126" s="1301" t="s">
        <v>1603</v>
      </c>
      <c r="C126" s="281" t="s">
        <v>806</v>
      </c>
      <c r="D126" s="282" t="s">
        <v>1163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628">
        <v>70000</v>
      </c>
      <c r="K126" s="628">
        <v>2009</v>
      </c>
      <c r="L126" s="628">
        <v>5368.48</v>
      </c>
      <c r="M126" s="1149">
        <v>2128</v>
      </c>
      <c r="N126" s="628">
        <v>25</v>
      </c>
      <c r="O126" s="628">
        <f t="shared" si="27"/>
        <v>9530.48</v>
      </c>
      <c r="P126" s="1306">
        <f t="shared" si="28"/>
        <v>60469.520000000004</v>
      </c>
    </row>
    <row r="127" spans="2:16" ht="28.5" customHeight="1" x14ac:dyDescent="0.25">
      <c r="B127" s="1301" t="s">
        <v>1618</v>
      </c>
      <c r="C127" s="281" t="s">
        <v>807</v>
      </c>
      <c r="D127" s="282" t="s">
        <v>918</v>
      </c>
      <c r="E127" s="281" t="s">
        <v>1063</v>
      </c>
      <c r="F127" s="855">
        <v>45717</v>
      </c>
      <c r="G127" s="855">
        <v>45870</v>
      </c>
      <c r="H127" s="626">
        <v>70000</v>
      </c>
      <c r="I127" s="1169">
        <v>0</v>
      </c>
      <c r="J127" s="628">
        <v>70000</v>
      </c>
      <c r="K127" s="628">
        <v>2009</v>
      </c>
      <c r="L127" s="628">
        <v>5368.48</v>
      </c>
      <c r="M127" s="1149">
        <v>2128</v>
      </c>
      <c r="N127" s="628">
        <v>25</v>
      </c>
      <c r="O127" s="628">
        <f t="shared" si="27"/>
        <v>9530.48</v>
      </c>
      <c r="P127" s="1306">
        <f t="shared" si="28"/>
        <v>60469.520000000004</v>
      </c>
    </row>
    <row r="128" spans="2:16" ht="28.5" customHeight="1" x14ac:dyDescent="0.25">
      <c r="B128" s="1301" t="s">
        <v>1626</v>
      </c>
      <c r="C128" s="281" t="s">
        <v>1296</v>
      </c>
      <c r="D128" s="282" t="s">
        <v>1637</v>
      </c>
      <c r="E128" s="281" t="s">
        <v>1063</v>
      </c>
      <c r="F128" s="855">
        <v>45748</v>
      </c>
      <c r="G128" s="855">
        <v>45901</v>
      </c>
      <c r="H128" s="626">
        <v>43500</v>
      </c>
      <c r="I128" s="1169">
        <v>0</v>
      </c>
      <c r="J128" s="628">
        <v>43500</v>
      </c>
      <c r="K128" s="628">
        <v>1248.45</v>
      </c>
      <c r="L128" s="628">
        <v>936.62</v>
      </c>
      <c r="M128" s="1149">
        <v>1322.4</v>
      </c>
      <c r="N128" s="628">
        <v>25</v>
      </c>
      <c r="O128" s="628">
        <f t="shared" si="27"/>
        <v>3532.4700000000003</v>
      </c>
      <c r="P128" s="1306">
        <f>+J128-O128</f>
        <v>39967.53</v>
      </c>
    </row>
    <row r="129" spans="2:16" ht="28.5" customHeight="1" x14ac:dyDescent="0.25">
      <c r="B129" s="1301" t="s">
        <v>1612</v>
      </c>
      <c r="C129" s="281" t="s">
        <v>1296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628">
        <v>70000</v>
      </c>
      <c r="K129" s="628">
        <v>2009</v>
      </c>
      <c r="L129" s="628">
        <v>5368.48</v>
      </c>
      <c r="M129" s="1149">
        <v>2128</v>
      </c>
      <c r="N129" s="628">
        <v>25</v>
      </c>
      <c r="O129" s="628">
        <f t="shared" si="27"/>
        <v>9530.48</v>
      </c>
      <c r="P129" s="1306">
        <f t="shared" ref="P129:P131" si="29">+J129-O129</f>
        <v>60469.520000000004</v>
      </c>
    </row>
    <row r="130" spans="2:16" ht="28.5" customHeight="1" x14ac:dyDescent="0.25">
      <c r="B130" s="1301" t="s">
        <v>1619</v>
      </c>
      <c r="C130" s="281" t="s">
        <v>806</v>
      </c>
      <c r="D130" s="282" t="s">
        <v>823</v>
      </c>
      <c r="E130" s="281" t="s">
        <v>1063</v>
      </c>
      <c r="F130" s="855">
        <v>45748</v>
      </c>
      <c r="G130" s="855">
        <v>45901</v>
      </c>
      <c r="H130" s="626">
        <v>70000</v>
      </c>
      <c r="I130" s="1169">
        <v>0</v>
      </c>
      <c r="J130" s="628">
        <v>70000</v>
      </c>
      <c r="K130" s="628">
        <v>2009</v>
      </c>
      <c r="L130" s="628">
        <v>5025.38</v>
      </c>
      <c r="M130" s="1149">
        <v>2128</v>
      </c>
      <c r="N130" s="628">
        <v>1740.46</v>
      </c>
      <c r="O130" s="628">
        <f t="shared" si="27"/>
        <v>10902.84</v>
      </c>
      <c r="P130" s="1306">
        <f t="shared" si="29"/>
        <v>59097.16</v>
      </c>
    </row>
    <row r="131" spans="2:16" ht="28.5" customHeight="1" x14ac:dyDescent="0.25">
      <c r="B131" s="1301" t="s">
        <v>1621</v>
      </c>
      <c r="C131" s="281" t="s">
        <v>806</v>
      </c>
      <c r="D131" s="280" t="s">
        <v>417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628">
        <v>70000</v>
      </c>
      <c r="K131" s="628">
        <v>2009</v>
      </c>
      <c r="L131" s="628">
        <v>5368.48</v>
      </c>
      <c r="M131" s="1149">
        <v>2128</v>
      </c>
      <c r="N131" s="628">
        <v>25</v>
      </c>
      <c r="O131" s="628">
        <f t="shared" si="27"/>
        <v>9530.48</v>
      </c>
      <c r="P131" s="1306">
        <f t="shared" si="29"/>
        <v>60469.520000000004</v>
      </c>
    </row>
    <row r="132" spans="2:16" ht="28.5" customHeight="1" x14ac:dyDescent="0.25">
      <c r="B132" s="1301" t="s">
        <v>1627</v>
      </c>
      <c r="C132" s="281" t="s">
        <v>806</v>
      </c>
      <c r="D132" s="282" t="s">
        <v>105</v>
      </c>
      <c r="E132" s="281" t="s">
        <v>1063</v>
      </c>
      <c r="F132" s="855">
        <v>45689</v>
      </c>
      <c r="G132" s="855">
        <v>45839</v>
      </c>
      <c r="H132" s="626">
        <v>25000</v>
      </c>
      <c r="I132" s="1169">
        <v>0</v>
      </c>
      <c r="J132" s="628">
        <v>25000</v>
      </c>
      <c r="K132" s="628">
        <v>717.5</v>
      </c>
      <c r="L132" s="627">
        <v>0</v>
      </c>
      <c r="M132" s="1149">
        <v>760</v>
      </c>
      <c r="N132" s="628">
        <v>25</v>
      </c>
      <c r="O132" s="628">
        <f t="shared" si="27"/>
        <v>1502.5</v>
      </c>
      <c r="P132" s="1306">
        <f>+J132-O132</f>
        <v>23497.5</v>
      </c>
    </row>
    <row r="133" spans="2:16" ht="21" customHeight="1" x14ac:dyDescent="0.25">
      <c r="B133" s="1282" t="s">
        <v>813</v>
      </c>
      <c r="C133" s="569"/>
      <c r="D133" s="492">
        <v>8</v>
      </c>
      <c r="E133" s="465"/>
      <c r="F133" s="1016"/>
      <c r="G133" s="860"/>
      <c r="H133" s="695">
        <f>SUM(H125:H132)</f>
        <v>488500</v>
      </c>
      <c r="I133" s="695">
        <f t="shared" ref="I133:P133" si="30">SUM(I125:I132)</f>
        <v>0</v>
      </c>
      <c r="J133" s="695">
        <f t="shared" si="30"/>
        <v>488500</v>
      </c>
      <c r="K133" s="695">
        <f t="shared" si="30"/>
        <v>14019.95</v>
      </c>
      <c r="L133" s="695">
        <f t="shared" si="30"/>
        <v>32804.399999999994</v>
      </c>
      <c r="M133" s="695">
        <f t="shared" si="30"/>
        <v>14850.4</v>
      </c>
      <c r="N133" s="695">
        <f t="shared" si="30"/>
        <v>1915.46</v>
      </c>
      <c r="O133" s="695">
        <f t="shared" si="30"/>
        <v>63590.209999999992</v>
      </c>
      <c r="P133" s="1288">
        <f t="shared" si="30"/>
        <v>424909.79000000004</v>
      </c>
    </row>
    <row r="134" spans="2:16" ht="28.5" customHeight="1" x14ac:dyDescent="0.25">
      <c r="B134" s="1282"/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1300"/>
    </row>
    <row r="135" spans="2:16" ht="28.5" customHeight="1" x14ac:dyDescent="0.25">
      <c r="B135" s="1282" t="s">
        <v>1762</v>
      </c>
      <c r="C135" s="569"/>
      <c r="D135" s="492"/>
      <c r="E135" s="465"/>
      <c r="F135" s="1272"/>
      <c r="G135" s="711"/>
      <c r="H135" s="695"/>
      <c r="I135" s="1144"/>
      <c r="J135" s="697"/>
      <c r="K135" s="697"/>
      <c r="L135" s="697"/>
      <c r="M135" s="1145"/>
      <c r="N135" s="697"/>
      <c r="O135" s="697"/>
      <c r="P135" s="1300"/>
    </row>
    <row r="136" spans="2:16" ht="28.5" customHeight="1" x14ac:dyDescent="0.25">
      <c r="B136" s="1301" t="s">
        <v>1601</v>
      </c>
      <c r="C136" s="684" t="s">
        <v>806</v>
      </c>
      <c r="D136" s="749" t="s">
        <v>489</v>
      </c>
      <c r="E136" s="282" t="s">
        <v>1063</v>
      </c>
      <c r="F136" s="855">
        <v>45748</v>
      </c>
      <c r="G136" s="855">
        <v>45901</v>
      </c>
      <c r="H136" s="626">
        <v>120000</v>
      </c>
      <c r="I136" s="1111">
        <v>0</v>
      </c>
      <c r="J136" s="498">
        <v>120000</v>
      </c>
      <c r="K136" s="498">
        <v>3444</v>
      </c>
      <c r="L136" s="498">
        <v>16381</v>
      </c>
      <c r="M136" s="1149">
        <v>3648</v>
      </c>
      <c r="N136" s="626">
        <v>1740.46</v>
      </c>
      <c r="O136" s="457">
        <f>+K136+L136+M136+N136</f>
        <v>25213.46</v>
      </c>
      <c r="P136" s="729">
        <f>+J136-O136</f>
        <v>94786.540000000008</v>
      </c>
    </row>
    <row r="137" spans="2:16" ht="28.5" customHeight="1" x14ac:dyDescent="0.25">
      <c r="B137" s="1301" t="s">
        <v>1607</v>
      </c>
      <c r="C137" s="281" t="s">
        <v>807</v>
      </c>
      <c r="D137" s="282" t="s">
        <v>78</v>
      </c>
      <c r="E137" s="281" t="s">
        <v>1063</v>
      </c>
      <c r="F137" s="855">
        <v>45748</v>
      </c>
      <c r="G137" s="855">
        <v>45901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5368.48</v>
      </c>
      <c r="M137" s="1149">
        <v>2128</v>
      </c>
      <c r="N137" s="468">
        <v>25</v>
      </c>
      <c r="O137" s="468">
        <f t="shared" ref="O137:O142" si="31">+K137+L137+M137+N137</f>
        <v>9530.48</v>
      </c>
      <c r="P137" s="1280">
        <f t="shared" ref="P137:P142" si="32">+J137-O137</f>
        <v>60469.520000000004</v>
      </c>
    </row>
    <row r="138" spans="2:16" ht="28.5" customHeight="1" x14ac:dyDescent="0.25">
      <c r="B138" s="1301" t="s">
        <v>1608</v>
      </c>
      <c r="C138" s="281" t="s">
        <v>807</v>
      </c>
      <c r="D138" s="282" t="s">
        <v>117</v>
      </c>
      <c r="E138" s="281" t="s">
        <v>1063</v>
      </c>
      <c r="F138" s="855">
        <v>45748</v>
      </c>
      <c r="G138" s="855">
        <v>45901</v>
      </c>
      <c r="H138" s="626">
        <v>70000</v>
      </c>
      <c r="I138" s="1169">
        <v>0</v>
      </c>
      <c r="J138" s="468">
        <v>70000</v>
      </c>
      <c r="K138" s="468">
        <v>2009</v>
      </c>
      <c r="L138" s="468">
        <v>5368.48</v>
      </c>
      <c r="M138" s="1149">
        <v>2128</v>
      </c>
      <c r="N138" s="468">
        <v>25</v>
      </c>
      <c r="O138" s="468">
        <f t="shared" si="31"/>
        <v>9530.48</v>
      </c>
      <c r="P138" s="1280">
        <f t="shared" si="32"/>
        <v>60469.520000000004</v>
      </c>
    </row>
    <row r="139" spans="2:16" ht="28.5" customHeight="1" x14ac:dyDescent="0.25">
      <c r="B139" s="1301" t="s">
        <v>1614</v>
      </c>
      <c r="C139" s="281" t="s">
        <v>806</v>
      </c>
      <c r="D139" s="282" t="s">
        <v>417</v>
      </c>
      <c r="E139" s="281" t="s">
        <v>1063</v>
      </c>
      <c r="F139" s="855">
        <v>45717</v>
      </c>
      <c r="G139" s="855">
        <v>45870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31"/>
        <v>9530.48</v>
      </c>
      <c r="P139" s="1280">
        <f t="shared" si="32"/>
        <v>60469.520000000004</v>
      </c>
    </row>
    <row r="140" spans="2:16" ht="28.5" customHeight="1" x14ac:dyDescent="0.25">
      <c r="B140" s="1301" t="s">
        <v>1617</v>
      </c>
      <c r="C140" s="281" t="s">
        <v>807</v>
      </c>
      <c r="D140" s="282" t="s">
        <v>918</v>
      </c>
      <c r="E140" s="281" t="s">
        <v>1063</v>
      </c>
      <c r="F140" s="855">
        <v>45717</v>
      </c>
      <c r="G140" s="855">
        <v>45870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31"/>
        <v>9530.48</v>
      </c>
      <c r="P140" s="1280">
        <f t="shared" si="32"/>
        <v>60469.520000000004</v>
      </c>
    </row>
    <row r="141" spans="2:16" ht="28.5" customHeight="1" x14ac:dyDescent="0.25">
      <c r="B141" s="1301" t="s">
        <v>1363</v>
      </c>
      <c r="C141" s="281" t="s">
        <v>806</v>
      </c>
      <c r="D141" s="282" t="s">
        <v>918</v>
      </c>
      <c r="E141" s="281" t="s">
        <v>1063</v>
      </c>
      <c r="F141" s="855">
        <v>45748</v>
      </c>
      <c r="G141" s="855">
        <v>45901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31"/>
        <v>9530.48</v>
      </c>
      <c r="P141" s="1280">
        <f t="shared" si="32"/>
        <v>60469.520000000004</v>
      </c>
    </row>
    <row r="142" spans="2:16" ht="28.5" customHeight="1" x14ac:dyDescent="0.25">
      <c r="B142" s="1301" t="s">
        <v>1620</v>
      </c>
      <c r="C142" s="281" t="s">
        <v>807</v>
      </c>
      <c r="D142" s="280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31"/>
        <v>9530.48</v>
      </c>
      <c r="P142" s="1280">
        <f t="shared" si="32"/>
        <v>60469.520000000004</v>
      </c>
    </row>
    <row r="143" spans="2:16" ht="28.5" customHeight="1" x14ac:dyDescent="0.25">
      <c r="B143" s="1281" t="s">
        <v>1299</v>
      </c>
      <c r="C143" s="281" t="s">
        <v>1296</v>
      </c>
      <c r="D143" s="282" t="s">
        <v>1636</v>
      </c>
      <c r="E143" s="281" t="s">
        <v>1063</v>
      </c>
      <c r="F143" s="855">
        <v>45748</v>
      </c>
      <c r="G143" s="855">
        <v>45901</v>
      </c>
      <c r="H143" s="626">
        <v>43500</v>
      </c>
      <c r="I143" s="1169">
        <v>0</v>
      </c>
      <c r="J143" s="468">
        <v>43500</v>
      </c>
      <c r="K143" s="468">
        <v>1248.45</v>
      </c>
      <c r="L143" s="468">
        <v>936.62</v>
      </c>
      <c r="M143" s="1149">
        <v>1322.4</v>
      </c>
      <c r="N143" s="468">
        <v>25</v>
      </c>
      <c r="O143" s="468">
        <f>+K143+L143+M143+N143</f>
        <v>3532.4700000000003</v>
      </c>
      <c r="P143" s="1280">
        <f>+J143-O143</f>
        <v>39967.53</v>
      </c>
    </row>
    <row r="144" spans="2:16" ht="28.5" customHeight="1" x14ac:dyDescent="0.25">
      <c r="B144" s="1301" t="s">
        <v>1623</v>
      </c>
      <c r="C144" s="281" t="s">
        <v>806</v>
      </c>
      <c r="D144" s="282" t="s">
        <v>529</v>
      </c>
      <c r="E144" s="281" t="s">
        <v>1063</v>
      </c>
      <c r="F144" s="855">
        <v>45748</v>
      </c>
      <c r="G144" s="855">
        <v>45901</v>
      </c>
      <c r="H144" s="626">
        <v>55000</v>
      </c>
      <c r="I144" s="1169">
        <v>0</v>
      </c>
      <c r="J144" s="468">
        <v>55000</v>
      </c>
      <c r="K144" s="468">
        <v>1578.5</v>
      </c>
      <c r="L144" s="468">
        <v>2559.6799999999998</v>
      </c>
      <c r="M144" s="1149">
        <v>1672</v>
      </c>
      <c r="N144" s="468">
        <v>25</v>
      </c>
      <c r="O144" s="468">
        <f>+K144+L144+M144+N144</f>
        <v>5835.18</v>
      </c>
      <c r="P144" s="1280">
        <f>+J144-O144</f>
        <v>49164.82</v>
      </c>
    </row>
    <row r="145" spans="2:17" ht="21" customHeight="1" x14ac:dyDescent="0.25">
      <c r="B145" s="1282" t="s">
        <v>813</v>
      </c>
      <c r="C145" s="569"/>
      <c r="D145" s="492">
        <v>9</v>
      </c>
      <c r="E145" s="465"/>
      <c r="F145" s="1016"/>
      <c r="G145" s="860"/>
      <c r="H145" s="695">
        <f>SUM(H136:H144)</f>
        <v>638500</v>
      </c>
      <c r="I145" s="695">
        <f t="shared" ref="I145:P145" si="33">SUM(I136:I144)</f>
        <v>0</v>
      </c>
      <c r="J145" s="695">
        <f t="shared" si="33"/>
        <v>638500</v>
      </c>
      <c r="K145" s="695">
        <f t="shared" si="33"/>
        <v>18324.95</v>
      </c>
      <c r="L145" s="695">
        <f t="shared" si="33"/>
        <v>52088.179999999993</v>
      </c>
      <c r="M145" s="695">
        <f t="shared" si="33"/>
        <v>19410.400000000001</v>
      </c>
      <c r="N145" s="695">
        <f t="shared" si="33"/>
        <v>1940.46</v>
      </c>
      <c r="O145" s="695">
        <f t="shared" si="33"/>
        <v>91763.989999999991</v>
      </c>
      <c r="P145" s="1288">
        <f t="shared" si="33"/>
        <v>546736.01</v>
      </c>
    </row>
    <row r="146" spans="2:17" ht="28.5" customHeight="1" x14ac:dyDescent="0.25">
      <c r="B146" s="1282"/>
      <c r="C146" s="569"/>
      <c r="D146" s="492"/>
      <c r="E146" s="465"/>
      <c r="F146" s="1272"/>
      <c r="G146" s="711"/>
      <c r="H146" s="695"/>
      <c r="I146" s="1144"/>
      <c r="J146" s="697"/>
      <c r="K146" s="697"/>
      <c r="L146" s="697"/>
      <c r="M146" s="1145"/>
      <c r="N146" s="697"/>
      <c r="O146" s="697"/>
      <c r="P146" s="1300"/>
    </row>
    <row r="147" spans="2:17" ht="28.5" customHeight="1" x14ac:dyDescent="0.25">
      <c r="B147" s="1282" t="s">
        <v>1763</v>
      </c>
      <c r="C147" s="569"/>
      <c r="D147" s="49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1300"/>
    </row>
    <row r="148" spans="2:17" ht="24" customHeight="1" x14ac:dyDescent="0.25">
      <c r="B148" s="1301" t="s">
        <v>1600</v>
      </c>
      <c r="C148" s="281" t="s">
        <v>806</v>
      </c>
      <c r="D148" s="282" t="s">
        <v>1463</v>
      </c>
      <c r="E148" s="281" t="s">
        <v>1063</v>
      </c>
      <c r="F148" s="855">
        <v>45748</v>
      </c>
      <c r="G148" s="855">
        <v>45901</v>
      </c>
      <c r="H148" s="626">
        <v>120000</v>
      </c>
      <c r="I148" s="1169">
        <v>0</v>
      </c>
      <c r="J148" s="468">
        <v>120000</v>
      </c>
      <c r="K148" s="468">
        <v>3444</v>
      </c>
      <c r="L148" s="468">
        <v>16809.87</v>
      </c>
      <c r="M148" s="1149">
        <v>3648</v>
      </c>
      <c r="N148" s="468">
        <v>25</v>
      </c>
      <c r="O148" s="468">
        <f t="shared" ref="O148:O154" si="34">+K148+L148+M148+N148</f>
        <v>23926.87</v>
      </c>
      <c r="P148" s="1280">
        <f t="shared" ref="P148:P154" si="35">+J148-O148</f>
        <v>96073.13</v>
      </c>
    </row>
    <row r="149" spans="2:17" ht="24" customHeight="1" x14ac:dyDescent="0.25">
      <c r="B149" s="1301" t="s">
        <v>1604</v>
      </c>
      <c r="C149" s="685" t="s">
        <v>806</v>
      </c>
      <c r="D149" s="282" t="s">
        <v>117</v>
      </c>
      <c r="E149" s="281" t="s">
        <v>1063</v>
      </c>
      <c r="F149" s="855">
        <v>45748</v>
      </c>
      <c r="G149" s="855">
        <v>45901</v>
      </c>
      <c r="H149" s="626">
        <v>70000</v>
      </c>
      <c r="I149" s="1169">
        <v>0</v>
      </c>
      <c r="J149" s="468">
        <v>70000</v>
      </c>
      <c r="K149" s="468">
        <v>2009</v>
      </c>
      <c r="L149" s="468">
        <v>5025.38</v>
      </c>
      <c r="M149" s="1149">
        <v>2128</v>
      </c>
      <c r="N149" s="468">
        <v>1740.46</v>
      </c>
      <c r="O149" s="468">
        <f t="shared" si="34"/>
        <v>10902.84</v>
      </c>
      <c r="P149" s="1280">
        <f t="shared" si="35"/>
        <v>59097.16</v>
      </c>
    </row>
    <row r="150" spans="2:17" ht="24" customHeight="1" x14ac:dyDescent="0.25">
      <c r="B150" s="1301" t="s">
        <v>1605</v>
      </c>
      <c r="C150" s="685" t="s">
        <v>806</v>
      </c>
      <c r="D150" s="282" t="s">
        <v>1044</v>
      </c>
      <c r="E150" s="281" t="s">
        <v>1063</v>
      </c>
      <c r="F150" s="855">
        <v>45748</v>
      </c>
      <c r="G150" s="855">
        <v>45901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4682.29</v>
      </c>
      <c r="M150" s="1149">
        <v>2128</v>
      </c>
      <c r="N150" s="468">
        <v>3455.92</v>
      </c>
      <c r="O150" s="468">
        <f t="shared" si="34"/>
        <v>12275.210000000001</v>
      </c>
      <c r="P150" s="1280">
        <f t="shared" si="35"/>
        <v>57724.79</v>
      </c>
    </row>
    <row r="151" spans="2:17" ht="24" customHeight="1" x14ac:dyDescent="0.25">
      <c r="B151" s="1301" t="s">
        <v>1611</v>
      </c>
      <c r="C151" s="685" t="s">
        <v>806</v>
      </c>
      <c r="D151" s="282" t="s">
        <v>417</v>
      </c>
      <c r="E151" s="281" t="s">
        <v>1063</v>
      </c>
      <c r="F151" s="855">
        <v>45717</v>
      </c>
      <c r="G151" s="855">
        <v>45870</v>
      </c>
      <c r="H151" s="626">
        <v>70000</v>
      </c>
      <c r="I151" s="1169">
        <v>0</v>
      </c>
      <c r="J151" s="468">
        <v>70000</v>
      </c>
      <c r="K151" s="468">
        <v>2009</v>
      </c>
      <c r="L151" s="468">
        <v>5368.48</v>
      </c>
      <c r="M151" s="1149">
        <v>2128</v>
      </c>
      <c r="N151" s="468">
        <v>25</v>
      </c>
      <c r="O151" s="468">
        <f t="shared" si="34"/>
        <v>9530.48</v>
      </c>
      <c r="P151" s="1280">
        <f t="shared" si="35"/>
        <v>60469.520000000004</v>
      </c>
    </row>
    <row r="152" spans="2:17" ht="24" customHeight="1" x14ac:dyDescent="0.25">
      <c r="B152" s="1301" t="s">
        <v>1610</v>
      </c>
      <c r="C152" s="685" t="s">
        <v>806</v>
      </c>
      <c r="D152" s="282" t="s">
        <v>417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5025.38</v>
      </c>
      <c r="M152" s="1149">
        <v>2128</v>
      </c>
      <c r="N152" s="468">
        <v>1740.46</v>
      </c>
      <c r="O152" s="468">
        <f t="shared" si="34"/>
        <v>10902.84</v>
      </c>
      <c r="P152" s="1280">
        <f t="shared" si="35"/>
        <v>59097.16</v>
      </c>
    </row>
    <row r="153" spans="2:17" ht="24" customHeight="1" x14ac:dyDescent="0.25">
      <c r="B153" s="1301" t="s">
        <v>1616</v>
      </c>
      <c r="C153" s="685" t="s">
        <v>806</v>
      </c>
      <c r="D153" s="282" t="s">
        <v>918</v>
      </c>
      <c r="E153" s="281" t="s">
        <v>1063</v>
      </c>
      <c r="F153" s="855">
        <v>45717</v>
      </c>
      <c r="G153" s="855">
        <v>45870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34"/>
        <v>9530.48</v>
      </c>
      <c r="P153" s="1280">
        <f t="shared" si="35"/>
        <v>60469.520000000004</v>
      </c>
    </row>
    <row r="154" spans="2:17" ht="24" customHeight="1" x14ac:dyDescent="0.25">
      <c r="B154" s="1301" t="s">
        <v>1615</v>
      </c>
      <c r="C154" s="685" t="s">
        <v>1296</v>
      </c>
      <c r="D154" s="282" t="s">
        <v>918</v>
      </c>
      <c r="E154" s="281" t="s">
        <v>1063</v>
      </c>
      <c r="F154" s="855">
        <v>45717</v>
      </c>
      <c r="G154" s="855">
        <v>45870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34"/>
        <v>9530.48</v>
      </c>
      <c r="P154" s="1280">
        <f t="shared" si="35"/>
        <v>60469.520000000004</v>
      </c>
    </row>
    <row r="155" spans="2:17" ht="24" customHeight="1" x14ac:dyDescent="0.25">
      <c r="B155" s="1301" t="s">
        <v>1625</v>
      </c>
      <c r="C155" s="685" t="s">
        <v>1296</v>
      </c>
      <c r="D155" s="282" t="s">
        <v>1636</v>
      </c>
      <c r="E155" s="281" t="s">
        <v>1063</v>
      </c>
      <c r="F155" s="855">
        <v>45717</v>
      </c>
      <c r="G155" s="855">
        <v>45870</v>
      </c>
      <c r="H155" s="626">
        <v>43500</v>
      </c>
      <c r="I155" s="1169">
        <v>0</v>
      </c>
      <c r="J155" s="468">
        <v>43500</v>
      </c>
      <c r="K155" s="468">
        <v>1248.45</v>
      </c>
      <c r="L155" s="468">
        <v>936.62</v>
      </c>
      <c r="M155" s="1149">
        <v>1322.4</v>
      </c>
      <c r="N155" s="468">
        <v>25</v>
      </c>
      <c r="O155" s="468">
        <f>+K155+L155+M155+N155</f>
        <v>3532.4700000000003</v>
      </c>
      <c r="P155" s="1280">
        <f>+J155-O155</f>
        <v>39967.53</v>
      </c>
    </row>
    <row r="156" spans="2:17" ht="21" customHeight="1" x14ac:dyDescent="0.25">
      <c r="B156" s="1282" t="s">
        <v>813</v>
      </c>
      <c r="C156" s="569"/>
      <c r="D156" s="492">
        <v>8</v>
      </c>
      <c r="E156" s="465"/>
      <c r="F156" s="1016"/>
      <c r="G156" s="860"/>
      <c r="H156" s="695">
        <f>SUM(H148:H155)</f>
        <v>583500</v>
      </c>
      <c r="I156" s="695">
        <f t="shared" ref="I156:P156" si="36">SUM(I148:I155)</f>
        <v>0</v>
      </c>
      <c r="J156" s="695">
        <f t="shared" si="36"/>
        <v>583500</v>
      </c>
      <c r="K156" s="695">
        <f t="shared" si="36"/>
        <v>16746.45</v>
      </c>
      <c r="L156" s="695">
        <f t="shared" si="36"/>
        <v>48584.98</v>
      </c>
      <c r="M156" s="695">
        <f t="shared" si="36"/>
        <v>17738.400000000001</v>
      </c>
      <c r="N156" s="695">
        <f t="shared" si="36"/>
        <v>7061.84</v>
      </c>
      <c r="O156" s="695">
        <f t="shared" si="36"/>
        <v>90131.669999999984</v>
      </c>
      <c r="P156" s="1288">
        <f t="shared" si="36"/>
        <v>493368.33000000007</v>
      </c>
    </row>
    <row r="157" spans="2:17" ht="21" customHeight="1" x14ac:dyDescent="0.25">
      <c r="B157" s="1282"/>
      <c r="C157" s="569"/>
      <c r="D157" s="492"/>
      <c r="E157" s="465"/>
      <c r="F157" s="1016"/>
      <c r="G157" s="860"/>
      <c r="H157" s="695">
        <f>+H156+H145+H133+H122</f>
        <v>2380500</v>
      </c>
      <c r="I157" s="695">
        <f t="shared" ref="I157:P157" si="37">+I156+I145+I133+I122</f>
        <v>0</v>
      </c>
      <c r="J157" s="695">
        <f t="shared" si="37"/>
        <v>2380500</v>
      </c>
      <c r="K157" s="695">
        <f t="shared" si="37"/>
        <v>68320.350000000006</v>
      </c>
      <c r="L157" s="695">
        <f t="shared" si="37"/>
        <v>190315.97999999998</v>
      </c>
      <c r="M157" s="695">
        <f t="shared" si="37"/>
        <v>72367.200000000012</v>
      </c>
      <c r="N157" s="695">
        <f t="shared" si="37"/>
        <v>18004.599999999999</v>
      </c>
      <c r="O157" s="695">
        <f t="shared" si="37"/>
        <v>349008.13</v>
      </c>
      <c r="P157" s="1288">
        <f t="shared" si="37"/>
        <v>2031491.87</v>
      </c>
    </row>
    <row r="158" spans="2:17" ht="21" customHeight="1" x14ac:dyDescent="0.25">
      <c r="B158" s="1285"/>
      <c r="C158" s="1223"/>
      <c r="D158" s="492"/>
      <c r="E158" s="465"/>
      <c r="F158" s="710"/>
      <c r="G158" s="711"/>
      <c r="H158" s="695"/>
      <c r="I158" s="1112"/>
      <c r="J158" s="463"/>
      <c r="K158" s="463"/>
      <c r="L158" s="463"/>
      <c r="M158" s="1145"/>
      <c r="N158" s="697"/>
      <c r="O158" s="463"/>
      <c r="P158" s="732"/>
    </row>
    <row r="159" spans="2:17" ht="23.25" customHeight="1" thickBot="1" x14ac:dyDescent="0.3">
      <c r="B159" s="1307" t="s">
        <v>865</v>
      </c>
      <c r="C159" s="1308"/>
      <c r="D159" s="1309">
        <f>+D156+D145+D133+D122+D16+D20+D25+D29+D33+D37+D41+D45+D50+D54+D60+D70+D77+D81+D86+D90+D100+D105+D109</f>
        <v>75</v>
      </c>
      <c r="E159" s="1309"/>
      <c r="F159" s="1309"/>
      <c r="G159" s="1309"/>
      <c r="H159" s="1310">
        <f>+H16+H20+H25+H29+H33+H37+H45+H50+H54+H60+H70+H77+H81+H86+H90+H100+H105+H157+H42+H109</f>
        <v>6345500</v>
      </c>
      <c r="I159" s="1310">
        <f t="shared" ref="I159" si="38">+I16+I20+I25+I29+I33+I37+I45+I50+I54+I60+I70+I77+I81+I86+I90+I100+I105+I157</f>
        <v>0</v>
      </c>
      <c r="J159" s="1310">
        <f>+J16+J20+J25+J29+J33+J37+J45+J50+J54+J60+J70+J77+J81+J86+J90+J100+J105+J157+J42+J109</f>
        <v>6345500</v>
      </c>
      <c r="K159" s="1310">
        <f t="shared" ref="K159:P159" si="39">+K16+K20+K25+K29+K33+K37+K45+K50+K54+K60+K70+K77+K81+K86+K90+K100+K105+K157+K42+K109</f>
        <v>182115.85</v>
      </c>
      <c r="L159" s="1310">
        <f t="shared" si="39"/>
        <v>666275.98999999987</v>
      </c>
      <c r="M159" s="1310">
        <f t="shared" si="39"/>
        <v>192903.2</v>
      </c>
      <c r="N159" s="1310">
        <f t="shared" si="39"/>
        <v>100594.38</v>
      </c>
      <c r="O159" s="1310">
        <f t="shared" si="39"/>
        <v>1141889.42</v>
      </c>
      <c r="P159" s="1311">
        <f t="shared" si="39"/>
        <v>5203610.58</v>
      </c>
    </row>
    <row r="160" spans="2:17" x14ac:dyDescent="0.25">
      <c r="B160" s="259"/>
      <c r="C160" s="1220"/>
      <c r="D160" s="259"/>
      <c r="E160" s="546"/>
      <c r="F160" s="546"/>
      <c r="G160" s="546"/>
      <c r="H160" s="862"/>
      <c r="I160" s="259"/>
      <c r="J160" s="259"/>
      <c r="K160" s="660"/>
      <c r="L160" s="660"/>
      <c r="M160" s="531"/>
      <c r="N160" s="1161"/>
      <c r="O160" s="660"/>
      <c r="P160" s="259"/>
      <c r="Q160" s="259"/>
    </row>
    <row r="161" spans="2:17" x14ac:dyDescent="0.25">
      <c r="B161" s="259"/>
      <c r="C161" s="1220"/>
      <c r="D161" s="259"/>
      <c r="E161" s="546"/>
      <c r="F161" s="546"/>
      <c r="G161" s="546"/>
      <c r="H161" s="1179"/>
      <c r="I161" s="259"/>
      <c r="J161" s="259"/>
      <c r="K161" s="660"/>
      <c r="L161" s="660"/>
      <c r="M161" s="531"/>
      <c r="N161" s="1161"/>
      <c r="O161" s="660"/>
      <c r="P161" s="259"/>
      <c r="Q161" s="259"/>
    </row>
    <row r="162" spans="2:17" x14ac:dyDescent="0.25">
      <c r="B162" s="259"/>
      <c r="C162" s="1220"/>
      <c r="D162" s="259"/>
      <c r="E162" s="546"/>
      <c r="F162" s="546"/>
      <c r="G162" s="546"/>
      <c r="H162" s="1179"/>
      <c r="I162" s="259"/>
      <c r="J162" s="259"/>
      <c r="K162" s="660"/>
      <c r="L162" s="660"/>
      <c r="M162" s="531"/>
      <c r="N162" s="1161"/>
      <c r="O162" s="660"/>
      <c r="P162" s="259"/>
      <c r="Q162" s="259"/>
    </row>
    <row r="163" spans="2:17" x14ac:dyDescent="0.25">
      <c r="B163" s="259"/>
      <c r="C163" s="1220"/>
      <c r="D163" s="259"/>
      <c r="E163" s="546"/>
      <c r="F163" s="546"/>
      <c r="G163" s="546"/>
      <c r="H163" s="1179"/>
      <c r="I163" s="259"/>
      <c r="J163" s="259"/>
      <c r="K163" s="660"/>
      <c r="L163" s="660"/>
      <c r="M163" s="531"/>
      <c r="N163" s="1161"/>
      <c r="O163" s="660"/>
      <c r="P163" s="259"/>
      <c r="Q163" s="259"/>
    </row>
    <row r="164" spans="2:17" x14ac:dyDescent="0.25">
      <c r="B164" s="259"/>
      <c r="C164" s="1220"/>
      <c r="D164" s="259"/>
      <c r="E164" s="546"/>
      <c r="F164" s="546"/>
      <c r="G164" s="546"/>
      <c r="H164" s="1179"/>
      <c r="I164" s="259"/>
      <c r="J164" s="259"/>
      <c r="K164" s="660"/>
      <c r="L164" s="660"/>
      <c r="M164" s="531"/>
      <c r="N164" s="1161"/>
      <c r="O164" s="660"/>
      <c r="P164" s="259"/>
      <c r="Q164" s="259"/>
    </row>
    <row r="165" spans="2:17" x14ac:dyDescent="0.25">
      <c r="B165" s="259"/>
      <c r="C165" s="1220"/>
      <c r="D165" s="259"/>
      <c r="E165" s="259"/>
      <c r="F165" s="259"/>
      <c r="G165" s="259"/>
      <c r="H165" s="259"/>
      <c r="I165" s="259"/>
      <c r="J165" s="259"/>
      <c r="K165" s="660"/>
      <c r="L165" s="259"/>
      <c r="M165" s="1152"/>
      <c r="N165" s="1161"/>
      <c r="O165" s="660"/>
      <c r="P165" s="660"/>
      <c r="Q165" s="259"/>
    </row>
    <row r="166" spans="2:17" x14ac:dyDescent="0.25">
      <c r="B166" s="259"/>
      <c r="C166" s="1220"/>
      <c r="D166" s="259"/>
      <c r="E166" s="259"/>
      <c r="F166" s="259"/>
      <c r="G166" s="259"/>
      <c r="H166" s="259"/>
      <c r="I166" s="259"/>
      <c r="J166" s="259"/>
      <c r="K166" s="660"/>
      <c r="L166" s="259"/>
      <c r="M166" s="1152"/>
      <c r="N166" s="1161"/>
      <c r="O166" s="660"/>
      <c r="P166" s="660"/>
      <c r="Q166" s="259"/>
    </row>
    <row r="167" spans="2:17" ht="9.75" customHeight="1" x14ac:dyDescent="0.25">
      <c r="B167" s="259"/>
      <c r="C167" s="1220"/>
      <c r="D167" s="259"/>
      <c r="E167" s="259"/>
      <c r="F167" s="259"/>
      <c r="G167" s="259"/>
      <c r="H167" s="259"/>
      <c r="I167" s="259"/>
      <c r="J167" s="259"/>
      <c r="K167" s="660"/>
      <c r="L167" s="259"/>
      <c r="M167" s="1152"/>
      <c r="N167" s="1161"/>
      <c r="O167" s="660"/>
      <c r="P167" s="660"/>
      <c r="Q167" s="259"/>
    </row>
    <row r="168" spans="2:17" hidden="1" x14ac:dyDescent="0.25">
      <c r="B168" s="259"/>
      <c r="C168" s="1220"/>
      <c r="D168" s="259"/>
      <c r="E168" s="259"/>
      <c r="F168" s="259"/>
      <c r="G168" s="259"/>
      <c r="H168" s="259"/>
      <c r="I168" s="259"/>
      <c r="J168" s="259"/>
      <c r="K168" s="660"/>
      <c r="L168" s="259"/>
      <c r="M168" s="1152"/>
      <c r="N168" s="1161"/>
      <c r="O168" s="660"/>
      <c r="P168" s="660"/>
      <c r="Q168" s="259"/>
    </row>
    <row r="169" spans="2:17" x14ac:dyDescent="0.25">
      <c r="B169" s="259"/>
      <c r="C169" s="1220"/>
      <c r="D169" s="259"/>
      <c r="E169" s="259"/>
      <c r="F169" s="259"/>
      <c r="G169" s="259"/>
      <c r="H169" s="259"/>
      <c r="I169" s="259"/>
      <c r="J169" s="259"/>
      <c r="K169" s="660"/>
      <c r="L169" s="259"/>
      <c r="M169" s="1152"/>
      <c r="N169" s="1161"/>
      <c r="O169" s="660"/>
      <c r="P169" s="660"/>
      <c r="Q169" s="259"/>
    </row>
    <row r="170" spans="2:17" x14ac:dyDescent="0.25">
      <c r="B170" s="259"/>
      <c r="C170" s="1220"/>
      <c r="D170" s="259"/>
      <c r="E170" s="259"/>
      <c r="F170" s="259"/>
      <c r="G170" s="259"/>
      <c r="H170" s="259"/>
      <c r="I170" s="259"/>
      <c r="J170" s="259"/>
      <c r="K170" s="660"/>
      <c r="L170" s="259"/>
      <c r="M170" s="1152"/>
      <c r="N170" s="1161"/>
      <c r="O170" s="660"/>
      <c r="P170" s="660"/>
      <c r="Q170" s="259"/>
    </row>
    <row r="171" spans="2:17" x14ac:dyDescent="0.25">
      <c r="B171" s="259"/>
      <c r="C171" s="1220"/>
      <c r="D171" s="259"/>
      <c r="E171" s="259"/>
      <c r="F171" s="259"/>
      <c r="G171" s="259"/>
      <c r="H171" s="259"/>
      <c r="I171" s="259"/>
      <c r="J171" s="259"/>
      <c r="K171" s="660" t="s">
        <v>641</v>
      </c>
      <c r="L171" s="259"/>
      <c r="M171" s="1152"/>
      <c r="N171" s="1161"/>
      <c r="O171" s="660"/>
      <c r="P171" s="660"/>
      <c r="Q171" s="259"/>
    </row>
    <row r="172" spans="2:17" x14ac:dyDescent="0.25">
      <c r="B172" s="259"/>
      <c r="C172" s="1220"/>
      <c r="D172" s="259"/>
      <c r="E172" s="259"/>
      <c r="F172" s="259"/>
      <c r="G172" s="259"/>
      <c r="H172" s="259"/>
      <c r="I172" s="259"/>
      <c r="J172" s="259"/>
      <c r="K172" s="660"/>
      <c r="L172" s="259"/>
      <c r="M172" s="1152"/>
      <c r="N172" s="1161"/>
      <c r="O172" s="660"/>
      <c r="P172" s="660"/>
      <c r="Q172" s="259"/>
    </row>
    <row r="173" spans="2:17" x14ac:dyDescent="0.25">
      <c r="B173" s="259"/>
      <c r="C173" s="1220"/>
      <c r="D173" s="259"/>
      <c r="E173" s="259"/>
      <c r="F173" s="259"/>
      <c r="G173" s="259"/>
      <c r="H173" s="259"/>
      <c r="I173" s="259"/>
      <c r="J173" s="259"/>
      <c r="K173" s="660"/>
      <c r="L173" s="259"/>
      <c r="M173" s="1152"/>
      <c r="N173" s="1161"/>
      <c r="O173" s="660"/>
      <c r="P173" s="660"/>
      <c r="Q173" s="259"/>
    </row>
    <row r="174" spans="2:17" x14ac:dyDescent="0.25">
      <c r="B174" s="259"/>
      <c r="C174" s="1220"/>
      <c r="D174" s="259"/>
      <c r="E174" s="259"/>
      <c r="F174" s="259"/>
      <c r="G174" s="259"/>
      <c r="H174" s="259"/>
      <c r="I174" s="259"/>
      <c r="J174" s="259"/>
      <c r="K174" s="660"/>
      <c r="L174" s="259"/>
      <c r="M174" s="1152"/>
      <c r="N174" s="1161"/>
      <c r="O174" s="660"/>
      <c r="P174" s="660"/>
      <c r="Q174" s="259"/>
    </row>
    <row r="175" spans="2:17" x14ac:dyDescent="0.25">
      <c r="B175" s="537"/>
      <c r="C175" s="1062"/>
      <c r="D175" s="537"/>
      <c r="E175" s="692"/>
      <c r="F175" s="692"/>
      <c r="G175" s="692"/>
      <c r="H175" s="537"/>
      <c r="I175" s="537"/>
      <c r="J175" s="537"/>
      <c r="K175" s="537"/>
      <c r="L175" s="537"/>
      <c r="M175" s="542"/>
      <c r="N175" s="467"/>
      <c r="O175" s="537"/>
      <c r="P175" s="537"/>
      <c r="Q175" s="537"/>
    </row>
    <row r="176" spans="2:17" x14ac:dyDescent="0.25">
      <c r="B176" s="537"/>
      <c r="C176" s="1062"/>
      <c r="D176" s="537"/>
      <c r="E176" s="692"/>
      <c r="F176" s="692"/>
      <c r="G176" s="692"/>
      <c r="H176" s="537"/>
      <c r="I176" s="537"/>
      <c r="J176" s="537"/>
      <c r="K176" s="537"/>
      <c r="L176" s="537"/>
      <c r="M176" s="542"/>
      <c r="N176" s="467"/>
      <c r="O176" s="537"/>
      <c r="P176" s="537"/>
      <c r="Q176" s="537"/>
    </row>
    <row r="177" spans="2:17" x14ac:dyDescent="0.25">
      <c r="B177" s="537"/>
      <c r="C177" s="1062"/>
      <c r="D177" s="537"/>
      <c r="E177" s="537"/>
      <c r="F177" s="537"/>
      <c r="G177" s="537"/>
      <c r="H177" s="537"/>
      <c r="I177" s="537"/>
      <c r="J177" s="537"/>
      <c r="K177" s="537"/>
      <c r="L177" s="537"/>
      <c r="M177" s="542"/>
      <c r="N177" s="467"/>
      <c r="O177" s="537"/>
      <c r="P177" s="537"/>
      <c r="Q177" s="537"/>
    </row>
    <row r="178" spans="2:17" x14ac:dyDescent="0.25">
      <c r="B178" s="542" t="s">
        <v>1449</v>
      </c>
      <c r="C178" s="1202"/>
      <c r="D178" s="542"/>
      <c r="E178" s="691"/>
      <c r="F178" s="691"/>
      <c r="G178" s="691"/>
      <c r="H178" s="866"/>
      <c r="I178" s="674" t="s">
        <v>1377</v>
      </c>
      <c r="K178" s="674"/>
      <c r="L178" s="674"/>
      <c r="M178" s="1153"/>
      <c r="N178" s="1097"/>
      <c r="P178" s="674"/>
      <c r="Q178" s="544"/>
    </row>
    <row r="179" spans="2:17" ht="25.5" customHeight="1" x14ac:dyDescent="0.25">
      <c r="B179" s="546" t="s">
        <v>935</v>
      </c>
      <c r="C179" s="1203"/>
      <c r="D179" s="546"/>
      <c r="E179" s="538"/>
      <c r="F179" s="538"/>
      <c r="G179" s="538"/>
      <c r="H179" s="467"/>
      <c r="I179" s="537"/>
      <c r="J179" s="1708" t="s">
        <v>1375</v>
      </c>
      <c r="K179" s="1708"/>
      <c r="L179" s="1708"/>
      <c r="M179" s="1708"/>
      <c r="N179" s="1708"/>
      <c r="O179" s="1708"/>
      <c r="P179" s="1708"/>
      <c r="Q179" s="539"/>
    </row>
    <row r="180" spans="2:17" x14ac:dyDescent="0.25">
      <c r="B180" s="542" t="s">
        <v>1231</v>
      </c>
      <c r="C180" s="1202"/>
      <c r="D180" s="542"/>
      <c r="E180" s="537"/>
      <c r="G180" s="1062"/>
      <c r="H180" s="1062"/>
      <c r="I180" s="1062"/>
      <c r="J180" s="1692" t="s">
        <v>1554</v>
      </c>
      <c r="K180" s="1692"/>
      <c r="L180" s="1692"/>
      <c r="M180" s="1692"/>
      <c r="N180" s="1692"/>
      <c r="O180" s="1692"/>
      <c r="P180" s="1692"/>
      <c r="Q180" s="537"/>
    </row>
    <row r="181" spans="2:17" x14ac:dyDescent="0.25">
      <c r="B181" s="546"/>
      <c r="C181" s="1203"/>
      <c r="D181" s="546"/>
      <c r="E181" s="547"/>
      <c r="F181" s="547"/>
      <c r="G181" s="547"/>
      <c r="H181" s="546"/>
      <c r="I181" s="541"/>
      <c r="J181" s="540"/>
      <c r="K181" s="537"/>
      <c r="L181" s="673" t="s">
        <v>1374</v>
      </c>
      <c r="M181" s="758"/>
      <c r="N181" s="513"/>
      <c r="O181" s="673"/>
      <c r="P181" s="673"/>
      <c r="Q181" s="673"/>
    </row>
    <row r="182" spans="2:17" ht="15.75" x14ac:dyDescent="0.25">
      <c r="B182" s="267"/>
      <c r="C182" s="1228"/>
      <c r="D182" s="267"/>
      <c r="E182" s="268"/>
      <c r="F182" s="268"/>
      <c r="G182" s="268"/>
      <c r="H182" s="268"/>
      <c r="I182" s="269"/>
      <c r="J182" s="268"/>
      <c r="K182" s="268"/>
      <c r="L182" s="268"/>
      <c r="M182" s="267"/>
      <c r="N182" s="205"/>
      <c r="O182" s="271"/>
      <c r="P182" s="271"/>
      <c r="Q182" s="259"/>
    </row>
    <row r="183" spans="2:17" s="259" customFormat="1" ht="138" customHeight="1" x14ac:dyDescent="0.25">
      <c r="C183" s="1220"/>
      <c r="E183" s="668"/>
      <c r="F183" s="668"/>
      <c r="G183" s="668"/>
      <c r="M183" s="531"/>
      <c r="N183"/>
    </row>
    <row r="184" spans="2:17" x14ac:dyDescent="0.25">
      <c r="L184" s="259"/>
      <c r="M184" s="531"/>
    </row>
  </sheetData>
  <mergeCells count="21">
    <mergeCell ref="N11:N12"/>
    <mergeCell ref="O11:O12"/>
    <mergeCell ref="P11:P12"/>
    <mergeCell ref="J179:P179"/>
    <mergeCell ref="J180:P180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5" min="1" max="15" man="1"/>
    <brk id="101" min="1" max="15" man="1"/>
    <brk id="145" min="1" max="15" man="1"/>
  </rowBreaks>
  <drawing r:id="rId2"/>
</worksheet>
</file>

<file path=xl/worksheets/sheet3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0F743E-1B55-469D-9D88-F5690F76AE00}">
  <sheetPr>
    <pageSetUpPr fitToPage="1"/>
  </sheetPr>
  <dimension ref="B5:N79"/>
  <sheetViews>
    <sheetView showGridLines="0" topLeftCell="A21" zoomScale="120" zoomScaleNormal="120" zoomScaleSheetLayoutView="100" workbookViewId="0">
      <selection activeCell="D37" sqref="D3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93" t="s">
        <v>0</v>
      </c>
      <c r="C5" s="1693"/>
      <c r="D5" s="1693"/>
      <c r="E5" s="1693"/>
      <c r="F5" s="1693"/>
      <c r="G5" s="1693"/>
      <c r="H5" s="1693"/>
      <c r="I5" s="1693"/>
      <c r="J5" s="1693"/>
      <c r="K5" s="1693"/>
      <c r="L5" s="1693"/>
      <c r="M5" s="1693"/>
    </row>
    <row r="6" spans="2:14" ht="13.5" customHeight="1" x14ac:dyDescent="0.25">
      <c r="B6" s="1693" t="s">
        <v>1</v>
      </c>
      <c r="C6" s="1693"/>
      <c r="D6" s="1693"/>
      <c r="E6" s="1693"/>
      <c r="F6" s="1693"/>
      <c r="G6" s="1693"/>
      <c r="H6" s="1693"/>
      <c r="I6" s="1693"/>
      <c r="J6" s="1693"/>
      <c r="K6" s="1693"/>
      <c r="L6" s="1693"/>
      <c r="M6" s="1693"/>
    </row>
    <row r="7" spans="2:14" ht="12" customHeight="1" x14ac:dyDescent="0.25">
      <c r="B7" s="1693" t="s">
        <v>3</v>
      </c>
      <c r="C7" s="1693"/>
      <c r="D7" s="1693"/>
      <c r="E7" s="1693"/>
      <c r="F7" s="1693"/>
      <c r="G7" s="1693"/>
      <c r="H7" s="1693"/>
      <c r="I7" s="1693"/>
      <c r="J7" s="1693"/>
      <c r="K7" s="1693"/>
      <c r="L7" s="1693"/>
      <c r="M7" s="1693"/>
    </row>
    <row r="8" spans="2:14" x14ac:dyDescent="0.25">
      <c r="B8" s="1693" t="s">
        <v>1756</v>
      </c>
      <c r="C8" s="1693"/>
      <c r="D8" s="1693"/>
      <c r="E8" s="1693"/>
      <c r="F8" s="1693"/>
      <c r="G8" s="1693"/>
      <c r="H8" s="1693"/>
      <c r="I8" s="1693"/>
      <c r="J8" s="1693"/>
      <c r="K8" s="1693"/>
      <c r="L8" s="1693"/>
      <c r="M8" s="1693"/>
    </row>
    <row r="9" spans="2:14" x14ac:dyDescent="0.25">
      <c r="B9" s="1694" t="s">
        <v>886</v>
      </c>
      <c r="C9" s="1694"/>
      <c r="D9" s="1694"/>
      <c r="E9" s="1694"/>
      <c r="F9" s="1694"/>
      <c r="G9" s="1694"/>
      <c r="H9" s="1694"/>
      <c r="I9" s="1694"/>
      <c r="J9" s="1694"/>
      <c r="K9" s="1694"/>
      <c r="L9" s="1694"/>
      <c r="M9" s="1694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726" t="s">
        <v>7</v>
      </c>
      <c r="C11" s="1726" t="s">
        <v>802</v>
      </c>
      <c r="D11" s="1728" t="s">
        <v>9</v>
      </c>
      <c r="E11" s="1046" t="s">
        <v>12</v>
      </c>
      <c r="F11" s="1730" t="s">
        <v>13</v>
      </c>
      <c r="G11" s="1724" t="s">
        <v>14</v>
      </c>
      <c r="H11" s="1724" t="s">
        <v>15</v>
      </c>
      <c r="I11" s="1724" t="s">
        <v>16</v>
      </c>
      <c r="J11" s="1724" t="s">
        <v>17</v>
      </c>
      <c r="K11" s="1724" t="s">
        <v>18</v>
      </c>
      <c r="L11" s="1724" t="s">
        <v>19</v>
      </c>
      <c r="M11" s="1724" t="s">
        <v>20</v>
      </c>
    </row>
    <row r="12" spans="2:14" ht="16.5" customHeight="1" x14ac:dyDescent="0.25">
      <c r="B12" s="1727"/>
      <c r="C12" s="1727"/>
      <c r="D12" s="1729"/>
      <c r="E12" s="1046" t="s">
        <v>21</v>
      </c>
      <c r="F12" s="1731"/>
      <c r="G12" s="1725"/>
      <c r="H12" s="1725"/>
      <c r="I12" s="1725"/>
      <c r="J12" s="1725"/>
      <c r="K12" s="1725"/>
      <c r="L12" s="1725"/>
      <c r="M12" s="1725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 t="shared" ref="G27:I27" si="1">+G26</f>
        <v>46500</v>
      </c>
      <c r="H27" s="905">
        <f t="shared" si="1"/>
        <v>1334.55</v>
      </c>
      <c r="I27" s="905">
        <f t="shared" si="1"/>
        <v>8816.5</v>
      </c>
      <c r="J27" s="905">
        <f>+J26</f>
        <v>1413.6</v>
      </c>
      <c r="K27" s="937">
        <v>0</v>
      </c>
      <c r="L27" s="905">
        <f t="shared" ref="L27" si="2"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/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89" t="s">
        <v>1126</v>
      </c>
      <c r="C30" s="889"/>
      <c r="D30" s="889"/>
      <c r="E30" s="905"/>
      <c r="F30" s="937"/>
      <c r="G30" s="936"/>
      <c r="H30" s="936"/>
      <c r="I30" s="936"/>
      <c r="J30" s="936"/>
      <c r="K30" s="937"/>
      <c r="L30" s="1164"/>
      <c r="M30" s="905"/>
    </row>
    <row r="31" spans="2:14" s="5" customFormat="1" ht="12" customHeight="1" x14ac:dyDescent="0.25">
      <c r="B31" s="890" t="s">
        <v>728</v>
      </c>
      <c r="C31" s="903" t="s">
        <v>807</v>
      </c>
      <c r="D31" s="890" t="s">
        <v>607</v>
      </c>
      <c r="E31" s="933">
        <v>22500</v>
      </c>
      <c r="F31" s="932">
        <v>0</v>
      </c>
      <c r="G31" s="933">
        <v>22500</v>
      </c>
      <c r="H31" s="933">
        <v>645.75</v>
      </c>
      <c r="I31" s="933">
        <v>3143.58</v>
      </c>
      <c r="J31" s="933">
        <v>684</v>
      </c>
      <c r="K31" s="932">
        <v>0</v>
      </c>
      <c r="L31" s="1086">
        <v>4473.33</v>
      </c>
      <c r="M31" s="904">
        <v>18026.669999999998</v>
      </c>
    </row>
    <row r="32" spans="2:14" s="5" customFormat="1" ht="12" customHeight="1" x14ac:dyDescent="0.25">
      <c r="B32" s="889" t="s">
        <v>749</v>
      </c>
      <c r="C32" s="889"/>
      <c r="D32" s="889">
        <v>1</v>
      </c>
      <c r="E32" s="936">
        <v>22500</v>
      </c>
      <c r="F32" s="937">
        <v>0</v>
      </c>
      <c r="G32" s="936">
        <v>22500</v>
      </c>
      <c r="H32" s="936">
        <v>645.75</v>
      </c>
      <c r="I32" s="936">
        <v>3143.58</v>
      </c>
      <c r="J32" s="936">
        <v>684</v>
      </c>
      <c r="K32" s="937">
        <v>0</v>
      </c>
      <c r="L32" s="1164">
        <v>4473.33</v>
      </c>
      <c r="M32" s="905">
        <v>18026.669999999998</v>
      </c>
    </row>
    <row r="33" spans="2:13" s="5" customFormat="1" ht="12" customHeight="1" x14ac:dyDescent="0.25">
      <c r="B33" s="889"/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ht="12" customHeight="1" x14ac:dyDescent="0.25">
      <c r="B34" s="889"/>
      <c r="C34" s="889"/>
      <c r="D34" s="889"/>
      <c r="E34" s="906"/>
      <c r="F34" s="907"/>
      <c r="G34" s="906"/>
      <c r="H34" s="936"/>
      <c r="I34" s="936"/>
      <c r="J34" s="936"/>
      <c r="K34" s="937"/>
      <c r="L34" s="905"/>
      <c r="M34" s="905"/>
    </row>
    <row r="35" spans="2:13" ht="12" customHeight="1" x14ac:dyDescent="0.25">
      <c r="B35" s="889"/>
      <c r="C35" s="889"/>
      <c r="D35" s="889"/>
      <c r="E35" s="906"/>
      <c r="F35" s="907"/>
      <c r="G35" s="906"/>
      <c r="H35" s="936"/>
      <c r="I35" s="936"/>
      <c r="J35" s="936"/>
      <c r="K35" s="937"/>
      <c r="L35" s="905"/>
      <c r="M35" s="905"/>
    </row>
    <row r="36" spans="2:13" ht="12" customHeight="1" x14ac:dyDescent="0.25">
      <c r="B36" s="1167" t="s">
        <v>1412</v>
      </c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90" t="s">
        <v>369</v>
      </c>
      <c r="C37" s="903" t="s">
        <v>806</v>
      </c>
      <c r="D37" s="1168" t="s">
        <v>1435</v>
      </c>
      <c r="E37" s="904">
        <v>11500</v>
      </c>
      <c r="F37" s="932">
        <v>0</v>
      </c>
      <c r="G37" s="933">
        <v>11500</v>
      </c>
      <c r="H37" s="933">
        <v>330.05</v>
      </c>
      <c r="I37" s="933">
        <v>1623.06</v>
      </c>
      <c r="J37" s="933">
        <v>349.6</v>
      </c>
      <c r="K37" s="932">
        <v>0</v>
      </c>
      <c r="L37" s="1086">
        <f>+H37+I37+J37+K37</f>
        <v>2302.71</v>
      </c>
      <c r="M37" s="904">
        <f>+G37-L37</f>
        <v>9197.2900000000009</v>
      </c>
    </row>
    <row r="38" spans="2:13" ht="12" customHeight="1" x14ac:dyDescent="0.25">
      <c r="B38" s="889" t="s">
        <v>813</v>
      </c>
      <c r="C38" s="889"/>
      <c r="D38" s="889">
        <v>1</v>
      </c>
      <c r="E38" s="905">
        <f t="shared" ref="E38" si="3">+E37</f>
        <v>11500</v>
      </c>
      <c r="F38" s="937">
        <v>0</v>
      </c>
      <c r="G38" s="905">
        <f t="shared" ref="G38:J38" si="4">+G37</f>
        <v>11500</v>
      </c>
      <c r="H38" s="905">
        <f t="shared" si="4"/>
        <v>330.05</v>
      </c>
      <c r="I38" s="905">
        <f t="shared" si="4"/>
        <v>1623.06</v>
      </c>
      <c r="J38" s="905">
        <f t="shared" si="4"/>
        <v>349.6</v>
      </c>
      <c r="K38" s="937">
        <v>0</v>
      </c>
      <c r="L38" s="905">
        <f t="shared" ref="L38" si="5">+L37</f>
        <v>2302.71</v>
      </c>
      <c r="M38" s="905">
        <f>+G38-L38</f>
        <v>9197.2900000000009</v>
      </c>
    </row>
    <row r="39" spans="2:13" ht="12" customHeight="1" x14ac:dyDescent="0.25">
      <c r="B39" s="889"/>
      <c r="C39" s="889"/>
      <c r="D39" s="889"/>
      <c r="E39" s="906"/>
      <c r="F39" s="907"/>
      <c r="G39" s="906"/>
      <c r="H39" s="936"/>
      <c r="I39" s="936"/>
      <c r="J39" s="936"/>
      <c r="K39" s="937"/>
      <c r="L39" s="905"/>
      <c r="M39" s="905"/>
    </row>
    <row r="40" spans="2:13" ht="12" customHeight="1" x14ac:dyDescent="0.25">
      <c r="B40" s="1167" t="s">
        <v>978</v>
      </c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90" t="s">
        <v>409</v>
      </c>
      <c r="C41" s="903" t="s">
        <v>806</v>
      </c>
      <c r="D41" s="1168" t="s">
        <v>529</v>
      </c>
      <c r="E41" s="904">
        <v>11500</v>
      </c>
      <c r="F41" s="932">
        <v>0</v>
      </c>
      <c r="G41" s="933">
        <v>11500</v>
      </c>
      <c r="H41" s="933">
        <v>330.05</v>
      </c>
      <c r="I41" s="933">
        <v>1623.06</v>
      </c>
      <c r="J41" s="933">
        <v>349.6</v>
      </c>
      <c r="K41" s="932">
        <v>0</v>
      </c>
      <c r="L41" s="1086">
        <f>+H41+I41+J41+K41</f>
        <v>2302.71</v>
      </c>
      <c r="M41" s="904">
        <f>+G41-L41</f>
        <v>9197.2900000000009</v>
      </c>
    </row>
    <row r="42" spans="2:13" ht="12" customHeight="1" x14ac:dyDescent="0.25">
      <c r="B42" s="889" t="s">
        <v>813</v>
      </c>
      <c r="C42" s="889"/>
      <c r="D42" s="889">
        <v>1</v>
      </c>
      <c r="E42" s="905">
        <f>SUM(E41:E41)</f>
        <v>11500</v>
      </c>
      <c r="F42" s="937">
        <v>0</v>
      </c>
      <c r="G42" s="905">
        <f>SUM(G41:G41)</f>
        <v>11500</v>
      </c>
      <c r="H42" s="905">
        <f>SUM(H41:H41)</f>
        <v>330.05</v>
      </c>
      <c r="I42" s="905">
        <f>SUM(I41:I41)</f>
        <v>1623.06</v>
      </c>
      <c r="J42" s="905">
        <f>SUM(J41:J41)</f>
        <v>349.6</v>
      </c>
      <c r="K42" s="937">
        <v>0</v>
      </c>
      <c r="L42" s="905">
        <f>SUM(L41:L41)</f>
        <v>2302.71</v>
      </c>
      <c r="M42" s="905">
        <f>SUM(M41:M41)</f>
        <v>9197.2900000000009</v>
      </c>
    </row>
    <row r="43" spans="2:13" ht="12" customHeight="1" x14ac:dyDescent="0.25">
      <c r="B43" s="889"/>
      <c r="C43" s="889"/>
      <c r="D43" s="889"/>
      <c r="E43" s="906"/>
      <c r="F43" s="907"/>
      <c r="G43" s="906"/>
      <c r="H43" s="936"/>
      <c r="I43" s="936"/>
      <c r="J43" s="936"/>
      <c r="K43" s="937"/>
      <c r="L43" s="905"/>
      <c r="M43" s="905"/>
    </row>
    <row r="44" spans="2:13" ht="12" customHeight="1" x14ac:dyDescent="0.25">
      <c r="B44" s="889" t="s">
        <v>1468</v>
      </c>
      <c r="C44" s="903"/>
      <c r="D44" s="934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890" t="s">
        <v>1414</v>
      </c>
      <c r="C45" s="903" t="s">
        <v>806</v>
      </c>
      <c r="D45" s="890" t="s">
        <v>1436</v>
      </c>
      <c r="E45" s="904">
        <v>11500</v>
      </c>
      <c r="F45" s="932">
        <v>0</v>
      </c>
      <c r="G45" s="933">
        <v>11500</v>
      </c>
      <c r="H45" s="933">
        <v>330.05</v>
      </c>
      <c r="I45" s="933">
        <v>1623.06</v>
      </c>
      <c r="J45" s="933">
        <v>349.6</v>
      </c>
      <c r="K45" s="932">
        <v>0</v>
      </c>
      <c r="L45" s="1086">
        <f>+H45+I45+J45+K45</f>
        <v>2302.71</v>
      </c>
      <c r="M45" s="904">
        <f>+G45-L45</f>
        <v>9197.2900000000009</v>
      </c>
    </row>
    <row r="46" spans="2:13" ht="12" customHeight="1" x14ac:dyDescent="0.25">
      <c r="B46" s="889" t="s">
        <v>813</v>
      </c>
      <c r="C46" s="889"/>
      <c r="D46" s="889">
        <v>1</v>
      </c>
      <c r="E46" s="905">
        <f>+E45</f>
        <v>11500</v>
      </c>
      <c r="F46" s="937">
        <v>0</v>
      </c>
      <c r="G46" s="905">
        <f t="shared" ref="G46:J46" si="6">+G45</f>
        <v>11500</v>
      </c>
      <c r="H46" s="905">
        <f t="shared" si="6"/>
        <v>330.05</v>
      </c>
      <c r="I46" s="905">
        <f t="shared" si="6"/>
        <v>1623.06</v>
      </c>
      <c r="J46" s="905">
        <f t="shared" si="6"/>
        <v>349.6</v>
      </c>
      <c r="K46" s="937">
        <v>0</v>
      </c>
      <c r="L46" s="905">
        <f t="shared" ref="L46" si="7">+L45</f>
        <v>2302.71</v>
      </c>
      <c r="M46" s="905">
        <f>+G46-L46</f>
        <v>9197.2900000000009</v>
      </c>
    </row>
    <row r="47" spans="2:13" ht="12" customHeight="1" x14ac:dyDescent="0.25">
      <c r="B47" s="889"/>
      <c r="C47" s="889"/>
      <c r="D47" s="889"/>
      <c r="E47" s="905"/>
      <c r="F47" s="937"/>
      <c r="G47" s="905"/>
      <c r="H47" s="905"/>
      <c r="I47" s="905"/>
      <c r="J47" s="905"/>
      <c r="K47" s="937"/>
      <c r="L47" s="905"/>
      <c r="M47" s="905"/>
    </row>
    <row r="48" spans="2:13" ht="12" customHeight="1" x14ac:dyDescent="0.25">
      <c r="B48" s="889"/>
      <c r="C48" s="889"/>
      <c r="D48" s="941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s="2" customFormat="1" ht="15.75" customHeight="1" x14ac:dyDescent="0.2">
      <c r="B49" s="1129" t="s">
        <v>865</v>
      </c>
      <c r="C49" s="1139"/>
      <c r="D49" s="1129">
        <v>8</v>
      </c>
      <c r="E49" s="1140">
        <f>+E46+E42+E38++E32++E23+E27+E19+E15</f>
        <v>178000</v>
      </c>
      <c r="F49" s="1045">
        <v>0</v>
      </c>
      <c r="G49" s="1140">
        <f>+G46+G42+G38++G32++G23+G27+G19+G15</f>
        <v>178000</v>
      </c>
      <c r="H49" s="1140">
        <f t="shared" ref="H49:M49" si="8">+H46+H42+H38++H32++H23+H27+H19+H15</f>
        <v>5108.6000000000004</v>
      </c>
      <c r="I49" s="1140">
        <f t="shared" si="8"/>
        <v>29818.880000000005</v>
      </c>
      <c r="J49" s="1140">
        <f t="shared" si="8"/>
        <v>5411.2000000000007</v>
      </c>
      <c r="K49" s="1045">
        <v>0</v>
      </c>
      <c r="L49" s="1140">
        <f t="shared" si="8"/>
        <v>40338.68</v>
      </c>
      <c r="M49" s="1140">
        <f t="shared" si="8"/>
        <v>137661.32</v>
      </c>
    </row>
    <row r="57" spans="2:13" ht="15" hidden="1" customHeight="1" x14ac:dyDescent="0.25"/>
    <row r="58" spans="2:13" ht="15" hidden="1" customHeight="1" x14ac:dyDescent="0.25"/>
    <row r="60" spans="2:13" ht="14.25" customHeight="1" x14ac:dyDescent="0.25"/>
    <row r="61" spans="2:13" ht="15" hidden="1" customHeight="1" x14ac:dyDescent="0.25"/>
    <row r="65" spans="2:13" ht="0.75" customHeight="1" x14ac:dyDescent="0.25"/>
    <row r="67" spans="2:13" ht="38.25" customHeight="1" x14ac:dyDescent="0.25">
      <c r="B67" s="916"/>
      <c r="C67" s="916"/>
      <c r="D67" s="917"/>
      <c r="E67" s="918"/>
      <c r="F67" s="919"/>
      <c r="G67" s="1696" t="s">
        <v>1372</v>
      </c>
      <c r="H67" s="1696"/>
      <c r="I67" s="1696"/>
      <c r="J67" s="1696"/>
      <c r="K67" s="1696"/>
      <c r="L67" s="1696"/>
    </row>
    <row r="68" spans="2:13" x14ac:dyDescent="0.25">
      <c r="B68" s="1083" t="s">
        <v>1238</v>
      </c>
      <c r="C68" s="1083"/>
      <c r="D68" s="921"/>
      <c r="E68" s="915"/>
      <c r="F68" s="915"/>
      <c r="G68" s="1702" t="s">
        <v>1222</v>
      </c>
      <c r="H68" s="1702"/>
      <c r="I68" s="1702"/>
      <c r="J68" s="1702"/>
      <c r="K68" s="1702"/>
      <c r="L68" s="1702"/>
    </row>
    <row r="69" spans="2:13" x14ac:dyDescent="0.25">
      <c r="B69" s="916" t="s">
        <v>1239</v>
      </c>
      <c r="C69" s="916"/>
      <c r="D69" s="915"/>
      <c r="E69" s="915"/>
      <c r="F69" s="923"/>
      <c r="G69" s="1701" t="s">
        <v>1224</v>
      </c>
      <c r="H69" s="1701"/>
      <c r="I69" s="1701"/>
      <c r="J69" s="1701"/>
      <c r="K69" s="1701"/>
      <c r="L69" s="1701"/>
    </row>
    <row r="73" spans="2:13" ht="30" customHeight="1" x14ac:dyDescent="0.25"/>
    <row r="77" spans="2:13" x14ac:dyDescent="0.25">
      <c r="E77" s="924"/>
      <c r="F77" s="923"/>
      <c r="G77" s="915"/>
      <c r="H77" s="1698"/>
      <c r="I77" s="1698"/>
      <c r="J77" s="1698"/>
      <c r="K77" s="1698"/>
      <c r="L77" s="1698"/>
      <c r="M77" s="1698"/>
    </row>
    <row r="78" spans="2:13" x14ac:dyDescent="0.25">
      <c r="E78" s="925"/>
      <c r="F78" s="1694"/>
      <c r="G78" s="1694"/>
      <c r="H78" s="1694"/>
      <c r="I78" s="1694"/>
      <c r="J78" s="1694"/>
      <c r="K78" s="926"/>
      <c r="L78" s="926"/>
      <c r="M78" s="886"/>
    </row>
    <row r="79" spans="2:13" ht="32.25" customHeight="1" x14ac:dyDescent="0.25">
      <c r="E79" s="927" t="s">
        <v>641</v>
      </c>
      <c r="F79" s="927"/>
      <c r="G79" s="927"/>
      <c r="H79" s="927"/>
      <c r="I79" s="927"/>
      <c r="J79" s="927"/>
      <c r="K79" s="927"/>
      <c r="L79" s="927"/>
      <c r="M79" s="927"/>
    </row>
  </sheetData>
  <mergeCells count="21">
    <mergeCell ref="G67:L67"/>
    <mergeCell ref="G68:L68"/>
    <mergeCell ref="G69:L69"/>
    <mergeCell ref="H77:M77"/>
    <mergeCell ref="F78:J78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54" orientation="landscape" r:id="rId1"/>
  <drawing r:id="rId2"/>
</worksheet>
</file>

<file path=xl/worksheets/sheet3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7FEB66-5A6F-488B-B163-995E89603BC0}">
  <sheetPr>
    <pageSetUpPr fitToPage="1"/>
  </sheetPr>
  <dimension ref="A6:M69"/>
  <sheetViews>
    <sheetView showGridLines="0" topLeftCell="B1" zoomScale="110" zoomScaleNormal="110" workbookViewId="0">
      <selection activeCell="H19" sqref="H1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51" t="s">
        <v>0</v>
      </c>
      <c r="C6" s="1551"/>
      <c r="D6" s="1551"/>
      <c r="E6" s="1551"/>
      <c r="F6" s="1551"/>
      <c r="G6" s="1551"/>
      <c r="H6" s="1551"/>
      <c r="I6" s="1551"/>
      <c r="J6" s="1551"/>
      <c r="K6" s="1551"/>
      <c r="L6" s="1551"/>
      <c r="M6" s="1551"/>
    </row>
    <row r="7" spans="2:13" x14ac:dyDescent="0.25">
      <c r="B7" s="1551" t="s">
        <v>1</v>
      </c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2:13" x14ac:dyDescent="0.25">
      <c r="B8" s="1551" t="s">
        <v>3</v>
      </c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2:13" x14ac:dyDescent="0.25">
      <c r="B9" s="1551" t="s">
        <v>1757</v>
      </c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2:13" x14ac:dyDescent="0.25">
      <c r="B10" s="1552" t="s">
        <v>1197</v>
      </c>
      <c r="C10" s="1552"/>
      <c r="D10" s="1552"/>
      <c r="E10" s="1552"/>
      <c r="F10" s="1552"/>
      <c r="G10" s="1552"/>
      <c r="H10" s="1552"/>
      <c r="I10" s="1552"/>
      <c r="J10" s="1552"/>
      <c r="K10" s="1552"/>
      <c r="L10" s="1552"/>
      <c r="M10" s="1552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712" t="s">
        <v>7</v>
      </c>
      <c r="C12" s="1709" t="s">
        <v>802</v>
      </c>
      <c r="D12" s="1709" t="s">
        <v>9</v>
      </c>
      <c r="E12" s="1067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2:13" ht="15" customHeight="1" x14ac:dyDescent="0.25">
      <c r="B13" s="1712"/>
      <c r="C13" s="1709"/>
      <c r="D13" s="1709"/>
      <c r="E13" s="1067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 t="shared" ref="H24:K24" si="2">SUM(H23)</f>
        <v>430.5</v>
      </c>
      <c r="I24" s="697">
        <f t="shared" si="2"/>
        <v>3528.37</v>
      </c>
      <c r="J24" s="697">
        <f t="shared" si="2"/>
        <v>456</v>
      </c>
      <c r="K24" s="697">
        <f t="shared" si="2"/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3">+G16+G20+G24+G28+G32+G36+G39</f>
        <v>196500</v>
      </c>
      <c r="H41" s="1065">
        <f t="shared" si="3"/>
        <v>5639.55</v>
      </c>
      <c r="I41" s="1065">
        <f t="shared" si="3"/>
        <v>43060.81</v>
      </c>
      <c r="J41" s="1065">
        <f t="shared" si="3"/>
        <v>5973.6</v>
      </c>
      <c r="K41" s="1114">
        <v>0</v>
      </c>
      <c r="L41" s="1065">
        <f t="shared" si="3"/>
        <v>54673.96</v>
      </c>
      <c r="M41" s="1065">
        <f>+M16+M20+M24+M28+M32+M36+M39</f>
        <v>141826.04</v>
      </c>
    </row>
    <row r="48" spans="2:13" ht="9.75" customHeight="1" x14ac:dyDescent="0.25"/>
    <row r="49" spans="2:13" hidden="1" x14ac:dyDescent="0.25"/>
    <row r="55" spans="2:13" ht="38.25" customHeight="1" x14ac:dyDescent="0.25">
      <c r="B55" s="542"/>
      <c r="C55" s="542"/>
      <c r="D55" s="543"/>
      <c r="E55" s="544"/>
      <c r="F55" s="545"/>
      <c r="G55" s="1682" t="s">
        <v>1250</v>
      </c>
      <c r="H55" s="1682"/>
      <c r="I55" s="1682"/>
      <c r="J55" s="1682"/>
      <c r="K55" s="1682"/>
      <c r="L55" s="1682"/>
      <c r="M55" s="544"/>
    </row>
    <row r="56" spans="2:13" x14ac:dyDescent="0.25">
      <c r="B56" s="1082" t="s">
        <v>1532</v>
      </c>
      <c r="C56" s="546"/>
      <c r="D56" s="538"/>
      <c r="E56" s="537"/>
      <c r="F56" s="537"/>
      <c r="G56" s="1627" t="s">
        <v>852</v>
      </c>
      <c r="H56" s="1627"/>
      <c r="I56" s="1627"/>
      <c r="J56" s="1627"/>
      <c r="K56" s="1627"/>
      <c r="L56" s="1627"/>
      <c r="M56" s="539"/>
    </row>
    <row r="57" spans="2:13" x14ac:dyDescent="0.25">
      <c r="B57" s="542" t="s">
        <v>1256</v>
      </c>
      <c r="C57" s="542"/>
      <c r="D57" s="537"/>
      <c r="E57" s="537"/>
      <c r="F57" s="540"/>
      <c r="G57" s="1628" t="s">
        <v>1506</v>
      </c>
      <c r="H57" s="1628"/>
      <c r="I57" s="1628"/>
      <c r="J57" s="1628"/>
      <c r="K57" s="1628"/>
      <c r="L57" s="1628"/>
      <c r="M57" s="537"/>
    </row>
    <row r="58" spans="2:13" x14ac:dyDescent="0.25">
      <c r="B58" s="546"/>
      <c r="C58" s="546"/>
      <c r="D58" s="547"/>
      <c r="E58" s="541"/>
      <c r="F58" s="540"/>
      <c r="G58" s="537"/>
      <c r="H58" s="1629"/>
      <c r="I58" s="1629"/>
      <c r="J58" s="1629"/>
      <c r="K58" s="1629"/>
      <c r="L58" s="1629"/>
      <c r="M58" s="1629"/>
    </row>
    <row r="59" spans="2:13" x14ac:dyDescent="0.25">
      <c r="B59" s="531"/>
      <c r="C59" s="531"/>
      <c r="D59" s="259"/>
      <c r="E59" s="1174"/>
      <c r="F59" s="1552"/>
      <c r="G59" s="1552"/>
      <c r="H59" s="1552"/>
      <c r="I59" s="1552"/>
      <c r="J59" s="1552"/>
      <c r="K59" s="1175"/>
      <c r="L59" s="1175"/>
      <c r="M59" s="259"/>
    </row>
    <row r="60" spans="2:13" ht="63.75" customHeight="1" x14ac:dyDescent="0.25">
      <c r="E60" t="s">
        <v>641</v>
      </c>
    </row>
    <row r="64" spans="2:13" ht="12" customHeight="1" x14ac:dyDescent="0.25"/>
    <row r="65" hidden="1" x14ac:dyDescent="0.25"/>
    <row r="66" hidden="1" x14ac:dyDescent="0.25"/>
    <row r="67" ht="3" hidden="1" customHeight="1" x14ac:dyDescent="0.25"/>
    <row r="68" hidden="1" x14ac:dyDescent="0.25"/>
    <row r="69" hidden="1" x14ac:dyDescent="0.25"/>
  </sheetData>
  <mergeCells count="21">
    <mergeCell ref="G55:L55"/>
    <mergeCell ref="G56:L56"/>
    <mergeCell ref="G57:L57"/>
    <mergeCell ref="H58:M58"/>
    <mergeCell ref="F59:J59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74803149606299213" header="0.12" footer="0.31496062992125984"/>
  <pageSetup scale="52" fitToHeight="0" orientation="landscape" r:id="rId1"/>
  <drawing r:id="rId2"/>
</worksheet>
</file>

<file path=xl/worksheets/sheet3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688E21-9E71-40F7-9E11-132824A67DDE}">
  <sheetPr>
    <pageSetUpPr fitToPage="1"/>
  </sheetPr>
  <dimension ref="A6:L34"/>
  <sheetViews>
    <sheetView showGridLines="0" zoomScale="118" zoomScaleNormal="118" workbookViewId="0">
      <selection activeCell="H12" sqref="H12:H13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56" t="s">
        <v>0</v>
      </c>
      <c r="B6" s="1556"/>
      <c r="C6" s="1556"/>
      <c r="D6" s="1556"/>
      <c r="E6" s="1556"/>
      <c r="F6" s="1556"/>
      <c r="G6" s="1556"/>
      <c r="H6" s="1556"/>
      <c r="I6" s="1556"/>
      <c r="J6" s="1556"/>
      <c r="K6" s="1556"/>
      <c r="L6" s="1556"/>
    </row>
    <row r="7" spans="1:12" x14ac:dyDescent="0.25">
      <c r="A7" s="1556" t="s">
        <v>1</v>
      </c>
      <c r="B7" s="1556"/>
      <c r="C7" s="1556"/>
      <c r="D7" s="1556"/>
      <c r="E7" s="1556"/>
      <c r="F7" s="1556"/>
      <c r="G7" s="1556"/>
      <c r="H7" s="1556"/>
      <c r="I7" s="1556"/>
      <c r="J7" s="1556"/>
      <c r="K7" s="1556"/>
      <c r="L7" s="1556"/>
    </row>
    <row r="8" spans="1:12" x14ac:dyDescent="0.25">
      <c r="A8" s="1556" t="s">
        <v>3</v>
      </c>
      <c r="B8" s="1556"/>
      <c r="C8" s="1556"/>
      <c r="D8" s="1556"/>
      <c r="E8" s="1556"/>
      <c r="F8" s="1556"/>
      <c r="G8" s="1556"/>
      <c r="H8" s="1556"/>
      <c r="I8" s="1556"/>
      <c r="J8" s="1556"/>
      <c r="K8" s="1556"/>
      <c r="L8" s="1556"/>
    </row>
    <row r="9" spans="1:12" x14ac:dyDescent="0.25">
      <c r="A9" s="1556" t="s">
        <v>1758</v>
      </c>
      <c r="B9" s="1556"/>
      <c r="C9" s="1556"/>
      <c r="D9" s="1556"/>
      <c r="E9" s="1556"/>
      <c r="F9" s="1556"/>
      <c r="G9" s="1556"/>
      <c r="H9" s="1556"/>
      <c r="I9" s="1556"/>
      <c r="J9" s="1556"/>
      <c r="K9" s="1556"/>
      <c r="L9" s="1556"/>
    </row>
    <row r="10" spans="1:12" x14ac:dyDescent="0.25">
      <c r="A10" s="1557" t="s">
        <v>1197</v>
      </c>
      <c r="B10" s="1557"/>
      <c r="C10" s="1557"/>
      <c r="D10" s="1557"/>
      <c r="E10" s="1557"/>
      <c r="F10" s="1557"/>
      <c r="G10" s="1557"/>
      <c r="H10" s="1557"/>
      <c r="I10" s="1557"/>
      <c r="J10" s="1557"/>
      <c r="K10" s="1557"/>
      <c r="L10" s="1557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734" t="s">
        <v>7</v>
      </c>
      <c r="B12" s="1736" t="s">
        <v>802</v>
      </c>
      <c r="C12" s="1736" t="s">
        <v>10</v>
      </c>
      <c r="D12" s="1067" t="s">
        <v>12</v>
      </c>
      <c r="E12" s="1738" t="s">
        <v>13</v>
      </c>
      <c r="F12" s="1732" t="s">
        <v>14</v>
      </c>
      <c r="G12" s="1732" t="s">
        <v>15</v>
      </c>
      <c r="H12" s="1732" t="s">
        <v>16</v>
      </c>
      <c r="I12" s="1732" t="s">
        <v>17</v>
      </c>
      <c r="J12" s="1732" t="s">
        <v>18</v>
      </c>
      <c r="K12" s="1732" t="s">
        <v>19</v>
      </c>
      <c r="L12" s="1732" t="s">
        <v>20</v>
      </c>
    </row>
    <row r="13" spans="1:12" ht="15" customHeight="1" x14ac:dyDescent="0.25">
      <c r="A13" s="1735"/>
      <c r="B13" s="1737"/>
      <c r="C13" s="1737"/>
      <c r="D13" s="1067" t="s">
        <v>21</v>
      </c>
      <c r="E13" s="1739"/>
      <c r="F13" s="1733"/>
      <c r="G13" s="1733"/>
      <c r="H13" s="1733"/>
      <c r="I13" s="1733"/>
      <c r="J13" s="1733"/>
      <c r="K13" s="1733"/>
      <c r="L13" s="1733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682" t="s">
        <v>1255</v>
      </c>
      <c r="G28" s="1682"/>
      <c r="H28" s="1682"/>
      <c r="I28" s="1682"/>
      <c r="J28" s="1682"/>
      <c r="K28" s="1682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627" t="s">
        <v>852</v>
      </c>
      <c r="G29" s="1627"/>
      <c r="H29" s="1627"/>
      <c r="I29" s="1627"/>
      <c r="J29" s="1627"/>
      <c r="K29" s="1627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628" t="s">
        <v>1506</v>
      </c>
      <c r="G30" s="1628"/>
      <c r="H30" s="1628"/>
      <c r="I30" s="1628"/>
      <c r="J30" s="1628"/>
      <c r="K30" s="1628"/>
      <c r="L30" s="537"/>
    </row>
    <row r="31" spans="1:12" x14ac:dyDescent="0.25">
      <c r="A31" s="546"/>
      <c r="B31" s="546"/>
      <c r="C31" s="547"/>
      <c r="D31" s="541"/>
      <c r="E31" s="540"/>
      <c r="F31" s="537"/>
      <c r="G31" s="1629"/>
      <c r="H31" s="1629"/>
      <c r="I31" s="1629"/>
      <c r="J31" s="1629"/>
      <c r="K31" s="1629"/>
      <c r="L31" s="1629"/>
    </row>
    <row r="32" spans="1:12" ht="15.75" x14ac:dyDescent="0.25">
      <c r="A32" s="267"/>
      <c r="B32" s="267"/>
      <c r="C32" s="268"/>
      <c r="D32" s="269"/>
      <c r="E32" s="1549"/>
      <c r="F32" s="1549"/>
      <c r="G32" s="1549"/>
      <c r="H32" s="1549"/>
      <c r="I32" s="1549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F28:K28"/>
    <mergeCell ref="F29:K29"/>
    <mergeCell ref="F30:K30"/>
    <mergeCell ref="G31:L31"/>
    <mergeCell ref="E32:I3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36" bottom="0.28000000000000003" header="0.3" footer="0.3"/>
  <pageSetup paperSize="3" scale="97" orientation="landscape" r:id="rId1"/>
  <drawing r:id="rId2"/>
</worksheet>
</file>

<file path=xl/worksheets/sheet3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A54FF9-047A-4DDE-A7E1-637107ECAC22}">
  <sheetPr>
    <pageSetUpPr fitToPage="1"/>
  </sheetPr>
  <dimension ref="A1:M81"/>
  <sheetViews>
    <sheetView topLeftCell="A9" zoomScale="80" zoomScaleNormal="80" zoomScaleSheetLayoutView="80" workbookViewId="0">
      <selection activeCell="F18" sqref="F18"/>
    </sheetView>
  </sheetViews>
  <sheetFormatPr baseColWidth="10" defaultRowHeight="15" x14ac:dyDescent="0.25"/>
  <cols>
    <col min="1" max="1" width="67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1:13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1:13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1:13" x14ac:dyDescent="0.25">
      <c r="A10" s="1551" t="s">
        <v>1759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</row>
    <row r="11" spans="1:13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713" t="s">
        <v>7</v>
      </c>
      <c r="B13" s="1713" t="s">
        <v>937</v>
      </c>
      <c r="C13" s="1713" t="s">
        <v>10</v>
      </c>
      <c r="D13" s="1713" t="s">
        <v>11</v>
      </c>
      <c r="E13" s="1047" t="s">
        <v>12</v>
      </c>
      <c r="F13" s="1713" t="s">
        <v>13</v>
      </c>
      <c r="G13" s="1713" t="s">
        <v>14</v>
      </c>
      <c r="H13" s="1713" t="s">
        <v>15</v>
      </c>
      <c r="I13" s="1713" t="s">
        <v>16</v>
      </c>
      <c r="J13" s="1713" t="s">
        <v>17</v>
      </c>
      <c r="K13" s="1713" t="s">
        <v>18</v>
      </c>
      <c r="L13" s="1713" t="s">
        <v>19</v>
      </c>
      <c r="M13" s="1713" t="s">
        <v>20</v>
      </c>
    </row>
    <row r="14" spans="1:13" x14ac:dyDescent="0.25">
      <c r="A14" s="1713"/>
      <c r="B14" s="1713"/>
      <c r="C14" s="1713"/>
      <c r="D14" s="1713"/>
      <c r="E14" s="1047" t="s">
        <v>21</v>
      </c>
      <c r="F14" s="1713"/>
      <c r="G14" s="1713"/>
      <c r="H14" s="1713"/>
      <c r="I14" s="1713"/>
      <c r="J14" s="1713"/>
      <c r="K14" s="1713"/>
      <c r="L14" s="1713"/>
      <c r="M14" s="1713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8.5" customHeight="1" x14ac:dyDescent="0.25">
      <c r="A32" s="761" t="s">
        <v>1765</v>
      </c>
      <c r="B32" s="601" t="s">
        <v>806</v>
      </c>
      <c r="C32" s="286" t="s">
        <v>235</v>
      </c>
      <c r="D32" s="283" t="s">
        <v>236</v>
      </c>
      <c r="E32" s="284">
        <v>12000</v>
      </c>
      <c r="F32" s="285">
        <v>0</v>
      </c>
      <c r="G32" s="284">
        <v>12000</v>
      </c>
      <c r="H32" s="285">
        <v>0</v>
      </c>
      <c r="I32" s="285">
        <v>0</v>
      </c>
      <c r="J32" s="285">
        <v>0</v>
      </c>
      <c r="K32" s="285">
        <v>0</v>
      </c>
      <c r="L32" s="284">
        <f t="shared" ref="L32:L33" si="1">+H32+I32+J32+K32</f>
        <v>0</v>
      </c>
      <c r="M32" s="284">
        <v>12000</v>
      </c>
    </row>
    <row r="33" spans="1:13" ht="28.5" customHeight="1" x14ac:dyDescent="0.25">
      <c r="A33" s="761" t="s">
        <v>1766</v>
      </c>
      <c r="B33" s="601" t="s">
        <v>806</v>
      </c>
      <c r="C33" s="286" t="s">
        <v>235</v>
      </c>
      <c r="D33" s="283" t="s">
        <v>236</v>
      </c>
      <c r="E33" s="284">
        <v>12000</v>
      </c>
      <c r="F33" s="285">
        <v>0</v>
      </c>
      <c r="G33" s="284">
        <v>12000</v>
      </c>
      <c r="H33" s="285">
        <v>0</v>
      </c>
      <c r="I33" s="285">
        <v>0</v>
      </c>
      <c r="J33" s="285">
        <v>0</v>
      </c>
      <c r="K33" s="285">
        <v>0</v>
      </c>
      <c r="L33" s="284">
        <f t="shared" si="1"/>
        <v>0</v>
      </c>
      <c r="M33" s="284">
        <v>12000</v>
      </c>
    </row>
    <row r="34" spans="1:13" ht="28.5" customHeight="1" x14ac:dyDescent="0.25">
      <c r="A34" s="1312" t="s">
        <v>1767</v>
      </c>
      <c r="B34" s="601"/>
      <c r="C34" s="462">
        <v>18</v>
      </c>
      <c r="D34" s="283"/>
      <c r="E34" s="1313">
        <f>SUM(E16:E33)</f>
        <v>266000</v>
      </c>
      <c r="F34" s="1313">
        <f t="shared" ref="F34:M34" si="2">SUM(F16:F33)</f>
        <v>0</v>
      </c>
      <c r="G34" s="1313">
        <f t="shared" si="2"/>
        <v>266000</v>
      </c>
      <c r="H34" s="1313">
        <f t="shared" si="2"/>
        <v>0</v>
      </c>
      <c r="I34" s="1313">
        <f t="shared" si="2"/>
        <v>4195.88</v>
      </c>
      <c r="J34" s="1313">
        <f t="shared" si="2"/>
        <v>0</v>
      </c>
      <c r="K34" s="1313">
        <f t="shared" si="2"/>
        <v>0</v>
      </c>
      <c r="L34" s="1313">
        <f t="shared" si="2"/>
        <v>4195.88</v>
      </c>
      <c r="M34" s="1313">
        <f t="shared" si="2"/>
        <v>261804.12</v>
      </c>
    </row>
    <row r="35" spans="1:13" ht="28.5" customHeight="1" x14ac:dyDescent="0.25">
      <c r="A35" s="1260" t="s">
        <v>1760</v>
      </c>
      <c r="B35" s="601"/>
      <c r="C35" s="286"/>
      <c r="D35" s="283"/>
      <c r="E35" s="284"/>
      <c r="F35" s="285"/>
      <c r="G35" s="284"/>
      <c r="H35" s="285"/>
      <c r="I35" s="285"/>
      <c r="J35" s="285"/>
      <c r="K35" s="285"/>
      <c r="L35" s="284"/>
      <c r="M35" s="284"/>
    </row>
    <row r="36" spans="1:13" ht="32.25" customHeight="1" x14ac:dyDescent="0.25">
      <c r="A36" s="1260" t="s">
        <v>1740</v>
      </c>
      <c r="B36" s="601"/>
      <c r="C36" s="286"/>
      <c r="D36" s="283"/>
      <c r="E36" s="284"/>
      <c r="F36" s="285"/>
      <c r="G36" s="284"/>
      <c r="H36" s="285"/>
      <c r="I36" s="285"/>
      <c r="J36" s="285"/>
      <c r="K36" s="285"/>
      <c r="L36" s="284"/>
      <c r="M36" s="284"/>
    </row>
    <row r="37" spans="1:13" ht="28.5" customHeight="1" x14ac:dyDescent="0.25">
      <c r="A37" s="761" t="s">
        <v>1764</v>
      </c>
      <c r="B37" s="601" t="s">
        <v>806</v>
      </c>
      <c r="C37" s="286" t="s">
        <v>235</v>
      </c>
      <c r="D37" s="283" t="s">
        <v>236</v>
      </c>
      <c r="E37" s="284">
        <v>12000</v>
      </c>
      <c r="F37" s="285">
        <v>0</v>
      </c>
      <c r="G37" s="284">
        <v>12000</v>
      </c>
      <c r="H37" s="285">
        <v>0</v>
      </c>
      <c r="I37" s="285">
        <v>0</v>
      </c>
      <c r="J37" s="285">
        <v>0</v>
      </c>
      <c r="K37" s="285">
        <v>0</v>
      </c>
      <c r="L37" s="284">
        <f t="shared" ref="L37" si="3">+H37+I37+J37+K37</f>
        <v>0</v>
      </c>
      <c r="M37" s="284">
        <v>12000</v>
      </c>
    </row>
    <row r="38" spans="1:13" ht="28.5" customHeight="1" x14ac:dyDescent="0.25">
      <c r="A38" s="1312" t="s">
        <v>1767</v>
      </c>
      <c r="B38" s="601"/>
      <c r="C38" s="462">
        <v>1</v>
      </c>
      <c r="D38" s="283"/>
      <c r="E38" s="1313">
        <f>SUM(E37)</f>
        <v>12000</v>
      </c>
      <c r="F38" s="1313">
        <f t="shared" ref="F38:M38" si="4">SUM(F37)</f>
        <v>0</v>
      </c>
      <c r="G38" s="1313">
        <f t="shared" si="4"/>
        <v>12000</v>
      </c>
      <c r="H38" s="1313">
        <f t="shared" si="4"/>
        <v>0</v>
      </c>
      <c r="I38" s="1313">
        <f t="shared" si="4"/>
        <v>0</v>
      </c>
      <c r="J38" s="1313">
        <f t="shared" si="4"/>
        <v>0</v>
      </c>
      <c r="K38" s="1313">
        <f t="shared" si="4"/>
        <v>0</v>
      </c>
      <c r="L38" s="1313">
        <f t="shared" si="4"/>
        <v>0</v>
      </c>
      <c r="M38" s="1313">
        <f t="shared" si="4"/>
        <v>12000</v>
      </c>
    </row>
    <row r="39" spans="1:13" ht="24.75" hidden="1" customHeight="1" x14ac:dyDescent="0.25">
      <c r="A39" s="724"/>
      <c r="B39" s="602"/>
      <c r="C39" s="725">
        <v>19</v>
      </c>
      <c r="D39" s="283"/>
      <c r="E39" s="273">
        <f t="shared" ref="E39:M39" si="5">+E34+E38</f>
        <v>278000</v>
      </c>
      <c r="F39" s="273">
        <f t="shared" si="5"/>
        <v>0</v>
      </c>
      <c r="G39" s="273">
        <f t="shared" si="5"/>
        <v>278000</v>
      </c>
      <c r="H39" s="273">
        <f t="shared" si="5"/>
        <v>0</v>
      </c>
      <c r="I39" s="273">
        <f t="shared" si="5"/>
        <v>4195.88</v>
      </c>
      <c r="J39" s="273">
        <f t="shared" si="5"/>
        <v>0</v>
      </c>
      <c r="K39" s="273">
        <f t="shared" si="5"/>
        <v>0</v>
      </c>
      <c r="L39" s="273">
        <f t="shared" si="5"/>
        <v>4195.88</v>
      </c>
      <c r="M39" s="273">
        <f t="shared" si="5"/>
        <v>273804.12</v>
      </c>
    </row>
    <row r="40" spans="1:13" ht="25.5" customHeight="1" x14ac:dyDescent="0.25">
      <c r="A40" s="1180" t="s">
        <v>865</v>
      </c>
      <c r="B40" s="1180"/>
      <c r="C40" s="1181">
        <v>19</v>
      </c>
      <c r="D40" s="1181"/>
      <c r="E40" s="1182">
        <f t="shared" ref="E40:M40" si="6">+E39</f>
        <v>278000</v>
      </c>
      <c r="F40" s="1182">
        <f t="shared" si="6"/>
        <v>0</v>
      </c>
      <c r="G40" s="1182">
        <f t="shared" si="6"/>
        <v>278000</v>
      </c>
      <c r="H40" s="1182">
        <f t="shared" si="6"/>
        <v>0</v>
      </c>
      <c r="I40" s="1182">
        <f t="shared" si="6"/>
        <v>4195.88</v>
      </c>
      <c r="J40" s="1182">
        <f t="shared" si="6"/>
        <v>0</v>
      </c>
      <c r="K40" s="1182">
        <f t="shared" si="6"/>
        <v>0</v>
      </c>
      <c r="L40" s="1182">
        <f t="shared" si="6"/>
        <v>4195.88</v>
      </c>
      <c r="M40" s="1182">
        <f t="shared" si="6"/>
        <v>273804.12</v>
      </c>
    </row>
    <row r="41" spans="1:13" s="259" customFormat="1" ht="19.5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19.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9.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0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hidden="1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4.2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hidden="1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17.25" hidden="1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6.7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5.7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9.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9.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542"/>
      <c r="B64" s="542"/>
      <c r="C64" s="753"/>
      <c r="D64" s="753"/>
      <c r="E64" s="754"/>
      <c r="F64" s="755"/>
      <c r="G64" s="674"/>
      <c r="H64" s="674"/>
      <c r="I64" s="674"/>
      <c r="J64" s="674"/>
      <c r="K64" s="674"/>
      <c r="L64" s="674"/>
      <c r="M64" s="756"/>
    </row>
    <row r="65" spans="1:13" s="259" customFormat="1" ht="19.5" customHeight="1" x14ac:dyDescent="0.25">
      <c r="A65" s="1690" t="s">
        <v>1269</v>
      </c>
      <c r="B65" s="1690"/>
      <c r="C65" s="753"/>
      <c r="D65" s="753"/>
      <c r="E65" s="754"/>
      <c r="F65" s="755"/>
      <c r="H65" s="1691" t="s">
        <v>852</v>
      </c>
      <c r="I65" s="1691"/>
      <c r="J65" s="1691"/>
      <c r="K65" s="1691"/>
      <c r="L65" s="1691"/>
      <c r="M65" s="1691"/>
    </row>
    <row r="66" spans="1:13" s="259" customFormat="1" ht="19.5" customHeight="1" x14ac:dyDescent="0.25">
      <c r="A66" s="1628" t="s">
        <v>1270</v>
      </c>
      <c r="B66" s="1628"/>
      <c r="C66" s="753"/>
      <c r="D66" s="753"/>
      <c r="E66" s="754"/>
      <c r="F66" s="755"/>
      <c r="H66" s="1692" t="s">
        <v>1505</v>
      </c>
      <c r="I66" s="1692"/>
      <c r="J66" s="1692"/>
      <c r="K66" s="1692"/>
      <c r="L66" s="1692"/>
      <c r="M66" s="1692"/>
    </row>
    <row r="67" spans="1:13" ht="16.5" customHeight="1" x14ac:dyDescent="0.25">
      <c r="A67" s="546"/>
      <c r="B67" s="546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667"/>
    </row>
    <row r="68" spans="1:13" ht="16.5" customHeight="1" x14ac:dyDescent="0.25">
      <c r="A68" s="546"/>
      <c r="B68" s="546"/>
      <c r="C68" s="259"/>
      <c r="D68" s="259"/>
      <c r="E68" s="259"/>
      <c r="F68" s="259"/>
      <c r="G68" s="259"/>
      <c r="H68" s="259"/>
      <c r="I68" s="259"/>
      <c r="J68" s="259"/>
      <c r="K68" s="259"/>
      <c r="L68" s="259"/>
      <c r="M68" s="667"/>
    </row>
    <row r="69" spans="1:13" ht="16.5" customHeight="1" x14ac:dyDescent="0.25">
      <c r="A69" s="546"/>
      <c r="B69" s="546"/>
      <c r="C69" s="259"/>
      <c r="D69" s="259"/>
      <c r="E69" s="259"/>
      <c r="F69" s="259"/>
      <c r="G69" s="259"/>
      <c r="H69" s="259"/>
      <c r="I69" s="259"/>
      <c r="J69" s="259"/>
      <c r="K69" s="259"/>
      <c r="L69" s="259"/>
      <c r="M69" s="667"/>
    </row>
    <row r="70" spans="1:13" ht="16.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158.2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6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9.5" customHeight="1" x14ac:dyDescent="0.25">
      <c r="A73" s="537"/>
      <c r="B73" s="542"/>
      <c r="C73" s="537"/>
      <c r="D73" s="537"/>
      <c r="E73" s="537"/>
      <c r="F73" s="537"/>
      <c r="G73" s="537"/>
      <c r="H73" s="537"/>
      <c r="I73" s="537"/>
      <c r="J73" s="537"/>
      <c r="K73" s="537"/>
      <c r="L73" s="537"/>
      <c r="M73" s="537"/>
    </row>
    <row r="74" spans="1:13" ht="19.5" customHeight="1" x14ac:dyDescent="0.25">
      <c r="A74" s="537"/>
      <c r="B74" s="542"/>
      <c r="C74" s="537"/>
      <c r="D74" s="537"/>
      <c r="E74" s="537"/>
      <c r="F74" s="537"/>
      <c r="G74" s="537"/>
      <c r="H74" s="537"/>
      <c r="I74" s="537"/>
      <c r="J74" s="537"/>
      <c r="K74" s="537"/>
      <c r="L74" s="537"/>
      <c r="M74" s="537"/>
    </row>
    <row r="75" spans="1:13" x14ac:dyDescent="0.25">
      <c r="C75" s="543"/>
      <c r="D75" s="543"/>
      <c r="E75" s="544"/>
      <c r="F75" s="545"/>
      <c r="M75" s="544"/>
    </row>
    <row r="76" spans="1:13" x14ac:dyDescent="0.25">
      <c r="C76" s="538"/>
      <c r="D76" s="537"/>
      <c r="E76" s="537"/>
      <c r="F76" s="537"/>
      <c r="M76" s="539"/>
    </row>
    <row r="77" spans="1:13" x14ac:dyDescent="0.25">
      <c r="C77" s="537"/>
      <c r="D77" s="537"/>
      <c r="E77" s="537"/>
      <c r="F77" s="540"/>
      <c r="M77" s="537"/>
    </row>
    <row r="78" spans="1:13" x14ac:dyDescent="0.25">
      <c r="C78" s="547"/>
      <c r="D78" s="546"/>
      <c r="E78" s="541"/>
      <c r="F78" s="540"/>
      <c r="G78" s="537"/>
      <c r="H78" s="1629"/>
      <c r="I78" s="1629"/>
      <c r="J78" s="1629"/>
      <c r="K78" s="1629"/>
      <c r="L78" s="1629"/>
      <c r="M78" s="1629"/>
    </row>
    <row r="79" spans="1:13" ht="15.75" x14ac:dyDescent="0.25">
      <c r="A79" s="267"/>
      <c r="B79" s="267"/>
      <c r="C79" s="268"/>
      <c r="D79" s="268"/>
      <c r="E79" s="269"/>
      <c r="F79" s="1549"/>
      <c r="G79" s="1549"/>
      <c r="H79" s="1549"/>
      <c r="I79" s="1549"/>
      <c r="J79" s="1549"/>
      <c r="K79" s="271"/>
      <c r="L79" s="271"/>
      <c r="M79" s="259"/>
    </row>
    <row r="80" spans="1:13" x14ac:dyDescent="0.25">
      <c r="B80" s="531"/>
      <c r="C80" s="259"/>
      <c r="D80" s="259"/>
      <c r="E80" s="259"/>
      <c r="F80" s="259"/>
      <c r="G80" s="259"/>
      <c r="H80" s="259"/>
      <c r="I80" s="259"/>
      <c r="J80" s="259"/>
      <c r="K80" s="259"/>
      <c r="L80" s="259"/>
      <c r="M80" s="259"/>
    </row>
    <row r="81" spans="1:13" x14ac:dyDescent="0.25">
      <c r="A81" s="259"/>
      <c r="B81" s="531"/>
      <c r="C81" s="259"/>
      <c r="D81" s="259"/>
      <c r="E81" s="259"/>
      <c r="F81" s="259"/>
      <c r="G81" s="259"/>
      <c r="H81" s="259"/>
      <c r="I81" s="259"/>
      <c r="J81" s="259"/>
      <c r="K81" s="259"/>
      <c r="L81" s="259"/>
      <c r="M81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79:J79"/>
    <mergeCell ref="M13:M14"/>
    <mergeCell ref="A65:B65"/>
    <mergeCell ref="H65:M65"/>
    <mergeCell ref="A66:B66"/>
    <mergeCell ref="H66:M66"/>
    <mergeCell ref="H78:M7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1.65" right="0.39370078740157483" top="0.21" bottom="0.15748031496062992" header="7.874015748031496E-2" footer="0.31496062992125984"/>
  <pageSetup paperSize="5" scale="38" orientation="landscape" r:id="rId1"/>
  <drawing r:id="rId2"/>
</worksheet>
</file>

<file path=xl/worksheets/sheet3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A72507-B59F-49A8-8038-D765A9E4E49B}">
  <sheetPr>
    <pageSetUpPr fitToPage="1"/>
  </sheetPr>
  <dimension ref="A1:N276"/>
  <sheetViews>
    <sheetView showGridLines="0" topLeftCell="A5" zoomScale="84" zoomScaleNormal="84" workbookViewId="0">
      <pane ySplit="15" topLeftCell="A20" activePane="bottomLeft" state="frozen"/>
      <selection activeCell="A5" sqref="A5"/>
      <selection pane="bottomLeft" activeCell="G11" sqref="G11"/>
    </sheetView>
  </sheetViews>
  <sheetFormatPr baseColWidth="10" defaultRowHeight="15" x14ac:dyDescent="0.25"/>
  <cols>
    <col min="1" max="1" width="87.7109375" customWidth="1"/>
    <col min="2" max="2" width="14.7109375" customWidth="1"/>
    <col min="3" max="3" width="56.28515625" customWidth="1"/>
    <col min="4" max="4" width="45.71093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867"/>
      <c r="I5" s="867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867"/>
      <c r="I6" s="867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867"/>
      <c r="I7" s="867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867"/>
      <c r="I8" s="867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867"/>
      <c r="I9" s="867"/>
      <c r="J9" s="1089"/>
      <c r="K9" s="1089"/>
      <c r="L9" s="1089"/>
      <c r="M9" s="867"/>
    </row>
    <row r="10" spans="1:14" ht="15.75" x14ac:dyDescent="0.25">
      <c r="A10" s="869"/>
      <c r="B10" s="851"/>
      <c r="C10" s="853"/>
      <c r="D10" s="853"/>
      <c r="E10" s="867"/>
      <c r="F10" s="868"/>
      <c r="G10" s="867"/>
      <c r="H10" s="867"/>
      <c r="I10" s="867"/>
      <c r="J10" s="1089"/>
      <c r="K10" s="1089"/>
      <c r="L10" s="1089"/>
      <c r="M10" s="867"/>
    </row>
    <row r="11" spans="1:14" ht="27" customHeight="1" x14ac:dyDescent="0.25">
      <c r="A11" s="853" t="s">
        <v>641</v>
      </c>
      <c r="B11" s="851"/>
      <c r="C11" s="853"/>
      <c r="D11" s="853"/>
      <c r="E11" s="867"/>
      <c r="F11" s="868"/>
      <c r="G11" s="867"/>
      <c r="H11" s="867" t="s">
        <v>1539</v>
      </c>
      <c r="I11" s="867" t="s">
        <v>1809</v>
      </c>
      <c r="J11" s="1089"/>
      <c r="K11" s="1089"/>
      <c r="L11" s="1089"/>
      <c r="M11" s="867"/>
    </row>
    <row r="12" spans="1:14" ht="15.75" x14ac:dyDescent="0.25">
      <c r="A12" s="1685" t="s">
        <v>1502</v>
      </c>
      <c r="B12" s="1685"/>
      <c r="C12" s="1685"/>
      <c r="D12" s="1685"/>
      <c r="E12" s="1685"/>
      <c r="F12" s="1685"/>
      <c r="G12" s="1685"/>
      <c r="H12" s="1685"/>
      <c r="I12" s="1685"/>
      <c r="J12" s="1685"/>
      <c r="K12" s="1685"/>
      <c r="L12" s="1685"/>
      <c r="M12" s="1685"/>
    </row>
    <row r="13" spans="1:14" ht="0.75" customHeight="1" x14ac:dyDescent="0.25">
      <c r="A13" s="1685"/>
      <c r="B13" s="1685"/>
      <c r="C13" s="1685"/>
      <c r="D13" s="1685"/>
      <c r="E13" s="1685"/>
      <c r="F13" s="1685"/>
      <c r="G13" s="1685"/>
      <c r="H13" s="1685"/>
      <c r="I13" s="1685"/>
      <c r="J13" s="1685"/>
      <c r="K13" s="1685"/>
      <c r="L13" s="1685"/>
      <c r="M13" s="1685"/>
      <c r="N13" s="1685"/>
    </row>
    <row r="14" spans="1:14" ht="15.75" x14ac:dyDescent="0.25">
      <c r="A14" s="1685" t="s">
        <v>1460</v>
      </c>
      <c r="B14" s="1685"/>
      <c r="C14" s="1685"/>
      <c r="D14" s="1685"/>
      <c r="E14" s="1685"/>
      <c r="F14" s="1685"/>
      <c r="G14" s="1685"/>
      <c r="H14" s="1685"/>
      <c r="I14" s="1685"/>
      <c r="J14" s="1685"/>
      <c r="K14" s="1685"/>
      <c r="L14" s="1685"/>
      <c r="M14" s="1685"/>
    </row>
    <row r="15" spans="1:14" ht="15.75" x14ac:dyDescent="0.25">
      <c r="A15" s="1685" t="s">
        <v>1768</v>
      </c>
      <c r="B15" s="1685"/>
      <c r="C15" s="1685"/>
      <c r="D15" s="1685"/>
      <c r="E15" s="1685"/>
      <c r="F15" s="1685"/>
      <c r="G15" s="1685"/>
      <c r="H15" s="1685"/>
      <c r="I15" s="1685"/>
      <c r="J15" s="1685"/>
      <c r="K15" s="1685"/>
      <c r="L15" s="1685"/>
      <c r="M15" s="1685"/>
    </row>
    <row r="16" spans="1:14" ht="15.75" x14ac:dyDescent="0.25">
      <c r="A16" s="1706" t="s">
        <v>404</v>
      </c>
      <c r="B16" s="1706"/>
      <c r="C16" s="1706"/>
      <c r="D16" s="1706"/>
      <c r="E16" s="1706"/>
      <c r="F16" s="1706"/>
      <c r="G16" s="1706"/>
      <c r="H16" s="1706"/>
      <c r="I16" s="1706"/>
      <c r="J16" s="1706"/>
      <c r="K16" s="1706"/>
      <c r="L16" s="1706"/>
      <c r="M16" s="1706"/>
    </row>
    <row r="17" spans="1:13" ht="16.5" thickBot="1" x14ac:dyDescent="0.3">
      <c r="A17" s="851"/>
      <c r="B17" s="851"/>
      <c r="C17" s="851"/>
      <c r="D17" s="851"/>
      <c r="E17" s="851"/>
      <c r="F17" s="851"/>
      <c r="G17" s="851"/>
      <c r="H17" s="851"/>
      <c r="I17" s="851"/>
      <c r="J17" s="1090"/>
      <c r="K17" s="1090"/>
      <c r="L17" s="1090"/>
      <c r="M17" s="851"/>
    </row>
    <row r="18" spans="1:13" ht="15.75" x14ac:dyDescent="0.25">
      <c r="A18" s="1755" t="s">
        <v>7</v>
      </c>
      <c r="B18" s="1757" t="s">
        <v>802</v>
      </c>
      <c r="C18" s="1757" t="s">
        <v>9</v>
      </c>
      <c r="D18" s="1757" t="s">
        <v>11</v>
      </c>
      <c r="E18" s="1390" t="s">
        <v>12</v>
      </c>
      <c r="F18" s="1759" t="s">
        <v>13</v>
      </c>
      <c r="G18" s="1751" t="s">
        <v>14</v>
      </c>
      <c r="H18" s="1751" t="s">
        <v>15</v>
      </c>
      <c r="I18" s="1753" t="s">
        <v>16</v>
      </c>
      <c r="J18" s="1753" t="s">
        <v>17</v>
      </c>
      <c r="K18" s="1753" t="s">
        <v>18</v>
      </c>
      <c r="L18" s="1753" t="s">
        <v>19</v>
      </c>
      <c r="M18" s="1749" t="s">
        <v>20</v>
      </c>
    </row>
    <row r="19" spans="1:13" ht="16.5" thickBot="1" x14ac:dyDescent="0.3">
      <c r="A19" s="1756"/>
      <c r="B19" s="1758"/>
      <c r="C19" s="1758"/>
      <c r="D19" s="1758"/>
      <c r="E19" s="1391" t="s">
        <v>21</v>
      </c>
      <c r="F19" s="1760"/>
      <c r="G19" s="1752"/>
      <c r="H19" s="1752"/>
      <c r="I19" s="1754"/>
      <c r="J19" s="1754"/>
      <c r="K19" s="1754"/>
      <c r="L19" s="1754"/>
      <c r="M19" s="1750"/>
    </row>
    <row r="20" spans="1:13" ht="18.75" x14ac:dyDescent="0.3">
      <c r="A20" s="1387" t="s">
        <v>1140</v>
      </c>
      <c r="B20" s="1236"/>
      <c r="C20" s="1387"/>
      <c r="D20" s="1387"/>
      <c r="E20" s="1388"/>
      <c r="F20" s="1239"/>
      <c r="G20" s="1389"/>
      <c r="H20" s="1389"/>
      <c r="I20" s="1392"/>
      <c r="J20" s="1388"/>
      <c r="K20" s="1388"/>
      <c r="L20" s="1388"/>
      <c r="M20" s="1389"/>
    </row>
    <row r="21" spans="1:13" ht="18.75" x14ac:dyDescent="0.3">
      <c r="A21" s="955" t="s">
        <v>1645</v>
      </c>
      <c r="B21" s="950" t="s">
        <v>806</v>
      </c>
      <c r="C21" s="955" t="s">
        <v>142</v>
      </c>
      <c r="D21" s="955" t="s">
        <v>1065</v>
      </c>
      <c r="E21" s="956">
        <v>260000</v>
      </c>
      <c r="F21" s="952">
        <v>0</v>
      </c>
      <c r="G21" s="957">
        <v>260000</v>
      </c>
      <c r="H21" s="953">
        <v>7462</v>
      </c>
      <c r="I21" s="954">
        <v>50070.080000000002</v>
      </c>
      <c r="J21" s="951">
        <v>6589.14</v>
      </c>
      <c r="K21" s="951">
        <v>4169.3999999999996</v>
      </c>
      <c r="L21" s="951">
        <f>+H21+I21+J21+K21</f>
        <v>68290.62</v>
      </c>
      <c r="M21" s="953">
        <f>+G21-L21</f>
        <v>191709.38</v>
      </c>
    </row>
    <row r="22" spans="1:13" ht="18.75" x14ac:dyDescent="0.3">
      <c r="A22" s="958" t="s">
        <v>1646</v>
      </c>
      <c r="B22" s="950" t="s">
        <v>806</v>
      </c>
      <c r="C22" s="959" t="s">
        <v>30</v>
      </c>
      <c r="D22" s="955" t="s">
        <v>1065</v>
      </c>
      <c r="E22" s="951">
        <v>210000</v>
      </c>
      <c r="F22" s="952">
        <v>0</v>
      </c>
      <c r="G22" s="953">
        <v>210000</v>
      </c>
      <c r="H22" s="953">
        <v>6027</v>
      </c>
      <c r="I22" s="954">
        <v>37980.120000000003</v>
      </c>
      <c r="J22" s="951">
        <v>6384</v>
      </c>
      <c r="K22" s="951">
        <v>4169.3999999999996</v>
      </c>
      <c r="L22" s="951">
        <f>+H22+I22+J22+K22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3">
        <v>3731</v>
      </c>
      <c r="I23" s="954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4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4</v>
      </c>
      <c r="D25" s="962"/>
      <c r="E25" s="963">
        <f>SUM(E21:E24)</f>
        <v>660000</v>
      </c>
      <c r="F25" s="964">
        <f t="shared" ref="F25:J25" si="0">SUM(F21:F24)</f>
        <v>0</v>
      </c>
      <c r="G25" s="965">
        <f t="shared" si="0"/>
        <v>660000</v>
      </c>
      <c r="H25" s="966">
        <f t="shared" si="0"/>
        <v>18942</v>
      </c>
      <c r="I25" s="966">
        <f>SUM(I21:I24)</f>
        <v>109841.27</v>
      </c>
      <c r="J25" s="963">
        <f t="shared" si="0"/>
        <v>18749.14</v>
      </c>
      <c r="K25" s="963">
        <f>SUM(K21:K24)</f>
        <v>14312.46</v>
      </c>
      <c r="L25" s="963">
        <f>SUM(L21:L24)</f>
        <v>161844.87</v>
      </c>
      <c r="M25" s="965">
        <f>SUM(M21:M24)</f>
        <v>498155.13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3"/>
      <c r="I26" s="954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3"/>
      <c r="I27" s="954"/>
      <c r="J27" s="951"/>
      <c r="K27" s="951"/>
      <c r="L27" s="951"/>
      <c r="M27" s="953"/>
    </row>
    <row r="28" spans="1:13" ht="35.2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3">
        <v>2726.5</v>
      </c>
      <c r="I28" s="954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1191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1191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1191">
        <v>89.81</v>
      </c>
      <c r="J31" s="951">
        <v>1140</v>
      </c>
      <c r="K31" s="951">
        <v>25</v>
      </c>
      <c r="L31" s="951">
        <f t="shared" ref="L31" si="1"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2">SUM(G28:G31)</f>
        <v>219500</v>
      </c>
      <c r="H32" s="966">
        <f>SUM(H28:H31)</f>
        <v>6299.65</v>
      </c>
      <c r="I32" s="966">
        <f t="shared" si="2"/>
        <v>12463.43</v>
      </c>
      <c r="J32" s="963">
        <f t="shared" si="2"/>
        <v>6672.7999999999993</v>
      </c>
      <c r="K32" s="963">
        <f>SUM(K28:K31)</f>
        <v>13585.37</v>
      </c>
      <c r="L32" s="963">
        <f t="shared" si="2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3"/>
      <c r="I33" s="954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5"/>
      <c r="I34" s="966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3">
        <v>5309.5</v>
      </c>
      <c r="I35" s="954">
        <v>30812.9</v>
      </c>
      <c r="J35" s="951">
        <v>5624</v>
      </c>
      <c r="K35" s="951">
        <v>5171.38</v>
      </c>
      <c r="L35" s="951">
        <f t="shared" ref="L35:L38" si="3"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679.3</v>
      </c>
      <c r="J36" s="951">
        <v>1322.4</v>
      </c>
      <c r="K36" s="951">
        <v>1740.46</v>
      </c>
      <c r="L36" s="951">
        <f t="shared" si="3"/>
        <v>4990.6100000000006</v>
      </c>
      <c r="M36" s="953">
        <f t="shared" ref="M36:M38" si="4"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3">
        <v>1248.45</v>
      </c>
      <c r="I37" s="1191">
        <v>936.62</v>
      </c>
      <c r="J37" s="951">
        <v>1322.4</v>
      </c>
      <c r="K37" s="951">
        <v>125</v>
      </c>
      <c r="L37" s="951">
        <f t="shared" si="3"/>
        <v>3632.4700000000003</v>
      </c>
      <c r="M37" s="953">
        <f t="shared" si="4"/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5">SUM(G35:G38)</f>
        <v>327000</v>
      </c>
      <c r="H39" s="966">
        <f t="shared" si="5"/>
        <v>9384.9</v>
      </c>
      <c r="I39" s="966">
        <f t="shared" si="5"/>
        <v>34988.5</v>
      </c>
      <c r="J39" s="963">
        <f t="shared" si="5"/>
        <v>9940.7999999999993</v>
      </c>
      <c r="K39" s="963">
        <f>SUM(K35:K38)</f>
        <v>7061.84</v>
      </c>
      <c r="L39" s="963">
        <f t="shared" si="5"/>
        <v>61376.04</v>
      </c>
      <c r="M39" s="963">
        <f t="shared" si="5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L43" si="6">SUM(H42)</f>
        <v>2152.5</v>
      </c>
      <c r="I43" s="966">
        <f t="shared" si="6"/>
        <v>6309.38</v>
      </c>
      <c r="J43" s="963">
        <f t="shared" si="6"/>
        <v>2280</v>
      </c>
      <c r="K43" s="963">
        <f>SUM(K42)</f>
        <v>25</v>
      </c>
      <c r="L43" s="963">
        <f t="shared" si="6"/>
        <v>10766.880000000001</v>
      </c>
      <c r="M43" s="965">
        <f>SUM(M42)</f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7">SUM(F46:F47)</f>
        <v>0</v>
      </c>
      <c r="G48" s="965">
        <f t="shared" si="7"/>
        <v>73500</v>
      </c>
      <c r="H48" s="966">
        <f t="shared" si="7"/>
        <v>2109.4499999999998</v>
      </c>
      <c r="I48" s="1192">
        <f t="shared" si="7"/>
        <v>936.62</v>
      </c>
      <c r="J48" s="963">
        <f t="shared" si="7"/>
        <v>2234.4</v>
      </c>
      <c r="K48" s="963">
        <f>SUM(K46:K47)</f>
        <v>1765.46</v>
      </c>
      <c r="L48" s="963">
        <f t="shared" si="7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1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7">
        <v>861</v>
      </c>
      <c r="I53" s="1318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1191">
        <v>0</v>
      </c>
      <c r="J54" s="951">
        <v>1064</v>
      </c>
      <c r="K54" s="951">
        <v>7509.27</v>
      </c>
      <c r="L54" s="951">
        <f t="shared" ref="L54" si="8">+H54+I54+J54+K54</f>
        <v>9577.77</v>
      </c>
      <c r="M54" s="951">
        <f>+G54-L54</f>
        <v>25422.23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1191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9">SUM(G51:G56)</f>
        <v>222000</v>
      </c>
      <c r="H57" s="1233">
        <f t="shared" si="9"/>
        <v>6371.4</v>
      </c>
      <c r="I57" s="1233">
        <f t="shared" si="9"/>
        <v>1873.24</v>
      </c>
      <c r="J57" s="1233">
        <f t="shared" si="9"/>
        <v>6748.7999999999993</v>
      </c>
      <c r="K57" s="1233">
        <f>SUM(K51:K56)</f>
        <v>8905.9700000000012</v>
      </c>
      <c r="L57" s="1233">
        <f t="shared" si="9"/>
        <v>23899.410000000003</v>
      </c>
      <c r="M57" s="1233">
        <f t="shared" si="9"/>
        <v>198100.59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234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40"/>
      <c r="I59" s="1241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4">
        <v>1248.45</v>
      </c>
      <c r="I60" s="1191">
        <v>936.62</v>
      </c>
      <c r="J60" s="954">
        <v>1322.4</v>
      </c>
      <c r="K60" s="951">
        <v>25</v>
      </c>
      <c r="L60" s="954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1191">
        <v>89.81</v>
      </c>
      <c r="J61" s="951">
        <v>1140</v>
      </c>
      <c r="K61" s="951">
        <v>525</v>
      </c>
      <c r="L61" s="951">
        <f>+H61+I61+J61+K61</f>
        <v>2831.06</v>
      </c>
      <c r="M61" s="951">
        <f t="shared" ref="M61:M62" si="10"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1191">
        <v>89.81</v>
      </c>
      <c r="J62" s="951">
        <v>1140</v>
      </c>
      <c r="K62" s="951">
        <v>454.5</v>
      </c>
      <c r="L62" s="951">
        <v>2760.56</v>
      </c>
      <c r="M62" s="951">
        <f t="shared" si="10"/>
        <v>34739.440000000002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11">SUM(H60:H62)</f>
        <v>3400.95</v>
      </c>
      <c r="I63" s="963">
        <f t="shared" si="11"/>
        <v>1116.24</v>
      </c>
      <c r="J63" s="963">
        <f t="shared" si="11"/>
        <v>3602.4</v>
      </c>
      <c r="K63" s="963">
        <f>SUM(K60:K62)</f>
        <v>1004.5</v>
      </c>
      <c r="L63" s="963">
        <f t="shared" si="11"/>
        <v>9124.09</v>
      </c>
      <c r="M63" s="963">
        <f t="shared" si="11"/>
        <v>109375.91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5"/>
      <c r="I64" s="966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5"/>
      <c r="I65" s="966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3">
        <v>1248.45</v>
      </c>
      <c r="I66" s="954">
        <v>936.62</v>
      </c>
      <c r="J66" s="951">
        <v>1322.4</v>
      </c>
      <c r="K66" s="951">
        <v>25</v>
      </c>
      <c r="L66" s="951">
        <f t="shared" ref="L66:L78" si="12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3">
        <v>1248.45</v>
      </c>
      <c r="I67" s="1191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1191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3">
        <v>1004.5</v>
      </c>
      <c r="I69" s="1191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4">
        <v>861</v>
      </c>
      <c r="I70" s="1191">
        <v>0</v>
      </c>
      <c r="J70" s="954">
        <v>912</v>
      </c>
      <c r="K70" s="951">
        <v>6341.6</v>
      </c>
      <c r="L70" s="954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2"/>
        <v>1798</v>
      </c>
      <c r="M71" s="953">
        <f t="shared" ref="M71:M78" si="13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1191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2568.4</v>
      </c>
      <c r="L73" s="951">
        <f t="shared" si="12"/>
        <v>4341.3999999999996</v>
      </c>
      <c r="M73" s="953">
        <f t="shared" si="13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3">
        <v>861</v>
      </c>
      <c r="I74" s="1191">
        <v>0</v>
      </c>
      <c r="J74" s="951">
        <v>912</v>
      </c>
      <c r="K74" s="951">
        <v>25</v>
      </c>
      <c r="L74" s="951">
        <f t="shared" si="12"/>
        <v>1798</v>
      </c>
      <c r="M74" s="953">
        <f t="shared" si="13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3">
        <v>861</v>
      </c>
      <c r="I75" s="1191">
        <v>0</v>
      </c>
      <c r="J75" s="951">
        <v>912</v>
      </c>
      <c r="K75" s="951">
        <v>25</v>
      </c>
      <c r="L75" s="951">
        <f t="shared" si="12"/>
        <v>1798</v>
      </c>
      <c r="M75" s="953">
        <f t="shared" si="13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1191">
        <v>0</v>
      </c>
      <c r="J76" s="951">
        <v>912</v>
      </c>
      <c r="K76" s="951">
        <v>1740.46</v>
      </c>
      <c r="L76" s="951">
        <f t="shared" si="12"/>
        <v>3513.46</v>
      </c>
      <c r="M76" s="953">
        <f t="shared" si="13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3">
        <v>861</v>
      </c>
      <c r="I77" s="1191">
        <v>0</v>
      </c>
      <c r="J77" s="951">
        <v>912</v>
      </c>
      <c r="K77" s="951">
        <v>25</v>
      </c>
      <c r="L77" s="951">
        <f t="shared" si="12"/>
        <v>1798</v>
      </c>
      <c r="M77" s="953">
        <f t="shared" si="13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3">
        <v>861</v>
      </c>
      <c r="I78" s="1191">
        <v>0</v>
      </c>
      <c r="J78" s="951">
        <v>912</v>
      </c>
      <c r="K78" s="951">
        <v>25</v>
      </c>
      <c r="L78" s="951">
        <f t="shared" si="12"/>
        <v>1798</v>
      </c>
      <c r="M78" s="953">
        <f t="shared" si="13"/>
        <v>28202</v>
      </c>
    </row>
    <row r="79" spans="1:13" ht="18.75" x14ac:dyDescent="0.3">
      <c r="A79" s="961" t="s">
        <v>755</v>
      </c>
      <c r="B79" s="950"/>
      <c r="C79" s="962">
        <v>13</v>
      </c>
      <c r="D79" s="962"/>
      <c r="E79" s="963">
        <f>SUM(E66:E78)</f>
        <v>422000</v>
      </c>
      <c r="F79" s="1071">
        <v>0</v>
      </c>
      <c r="G79" s="963">
        <f t="shared" ref="G79:M79" si="14">SUM(G66:G78)</f>
        <v>422000</v>
      </c>
      <c r="H79" s="963">
        <f t="shared" si="14"/>
        <v>12111.4</v>
      </c>
      <c r="I79" s="963">
        <f t="shared" si="14"/>
        <v>1873.24</v>
      </c>
      <c r="J79" s="963">
        <f t="shared" si="14"/>
        <v>12828.8</v>
      </c>
      <c r="K79" s="963">
        <f>SUM(K66:K78)</f>
        <v>11000.46</v>
      </c>
      <c r="L79" s="963">
        <f t="shared" si="14"/>
        <v>37813.9</v>
      </c>
      <c r="M79" s="963">
        <f t="shared" si="14"/>
        <v>384186.1</v>
      </c>
    </row>
    <row r="80" spans="1:13" ht="18.75" x14ac:dyDescent="0.3">
      <c r="A80" s="958"/>
      <c r="B80" s="950"/>
      <c r="C80" s="960"/>
      <c r="D80" s="960"/>
      <c r="E80" s="951"/>
      <c r="F80" s="952"/>
      <c r="G80" s="953"/>
      <c r="H80" s="953"/>
      <c r="I80" s="954"/>
      <c r="J80" s="951"/>
      <c r="K80" s="951"/>
      <c r="L80" s="951"/>
      <c r="M80" s="953"/>
    </row>
    <row r="81" spans="1:13" ht="18.75" x14ac:dyDescent="0.3">
      <c r="A81" s="975" t="s">
        <v>1665</v>
      </c>
      <c r="B81" s="950"/>
      <c r="C81" s="967"/>
      <c r="D81" s="967"/>
      <c r="E81" s="963"/>
      <c r="F81" s="964"/>
      <c r="G81" s="965"/>
      <c r="H81" s="965"/>
      <c r="I81" s="966"/>
      <c r="J81" s="963"/>
      <c r="K81" s="963"/>
      <c r="L81" s="963"/>
      <c r="M81" s="965"/>
    </row>
    <row r="82" spans="1:13" ht="18.75" x14ac:dyDescent="0.3">
      <c r="A82" s="955" t="s">
        <v>1666</v>
      </c>
      <c r="B82" s="950" t="s">
        <v>807</v>
      </c>
      <c r="C82" s="960" t="s">
        <v>1778</v>
      </c>
      <c r="D82" s="960" t="s">
        <v>307</v>
      </c>
      <c r="E82" s="951">
        <v>43500</v>
      </c>
      <c r="F82" s="952">
        <v>0</v>
      </c>
      <c r="G82" s="953">
        <v>43500</v>
      </c>
      <c r="H82" s="953">
        <v>1248.45</v>
      </c>
      <c r="I82" s="1191">
        <v>936.62</v>
      </c>
      <c r="J82" s="951">
        <v>1322.4</v>
      </c>
      <c r="K82" s="951">
        <v>1025</v>
      </c>
      <c r="L82" s="951">
        <f t="shared" ref="L82:L90" si="15">+H82+I82+J82+K82</f>
        <v>4532.47</v>
      </c>
      <c r="M82" s="953">
        <f>+G82-L82</f>
        <v>38967.53</v>
      </c>
    </row>
    <row r="83" spans="1:13" ht="18.75" x14ac:dyDescent="0.3">
      <c r="A83" s="955" t="s">
        <v>760</v>
      </c>
      <c r="B83" s="950" t="s">
        <v>807</v>
      </c>
      <c r="C83" s="960" t="s">
        <v>105</v>
      </c>
      <c r="D83" s="960" t="s">
        <v>1067</v>
      </c>
      <c r="E83" s="951">
        <v>25000</v>
      </c>
      <c r="F83" s="952">
        <v>0</v>
      </c>
      <c r="G83" s="953">
        <v>25000</v>
      </c>
      <c r="H83" s="953">
        <v>717.5</v>
      </c>
      <c r="I83" s="1191">
        <v>0</v>
      </c>
      <c r="J83" s="951">
        <v>760</v>
      </c>
      <c r="K83" s="951">
        <v>125</v>
      </c>
      <c r="L83" s="951">
        <f t="shared" si="15"/>
        <v>1602.5</v>
      </c>
      <c r="M83" s="953">
        <f t="shared" ref="M83:M91" si="16">+G83-L83</f>
        <v>23397.5</v>
      </c>
    </row>
    <row r="84" spans="1:13" ht="18.75" x14ac:dyDescent="0.3">
      <c r="A84" s="955" t="s">
        <v>860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728</v>
      </c>
      <c r="L84" s="951">
        <f t="shared" si="15"/>
        <v>2205.5</v>
      </c>
      <c r="M84" s="953">
        <f t="shared" si="16"/>
        <v>22794.5</v>
      </c>
    </row>
    <row r="85" spans="1:13" ht="18.75" x14ac:dyDescent="0.3">
      <c r="A85" s="955" t="s">
        <v>1667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1296.7</v>
      </c>
      <c r="L85" s="951">
        <f t="shared" si="15"/>
        <v>2774.2</v>
      </c>
      <c r="M85" s="953">
        <f t="shared" si="16"/>
        <v>22225.8</v>
      </c>
    </row>
    <row r="86" spans="1:13" ht="21" customHeight="1" x14ac:dyDescent="0.3">
      <c r="A86" s="955" t="s">
        <v>1668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25</v>
      </c>
      <c r="L86" s="951">
        <f t="shared" si="15"/>
        <v>1502.5</v>
      </c>
      <c r="M86" s="953">
        <f t="shared" si="16"/>
        <v>23497.5</v>
      </c>
    </row>
    <row r="87" spans="1:13" ht="18.75" x14ac:dyDescent="0.3">
      <c r="A87" s="955" t="s">
        <v>1669</v>
      </c>
      <c r="B87" s="968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1191">
        <v>0</v>
      </c>
      <c r="J87" s="951">
        <v>760</v>
      </c>
      <c r="K87" s="951">
        <v>25</v>
      </c>
      <c r="L87" s="951">
        <f t="shared" si="15"/>
        <v>1502.5</v>
      </c>
      <c r="M87" s="953">
        <f t="shared" si="16"/>
        <v>23497.5</v>
      </c>
    </row>
    <row r="88" spans="1:13" ht="18.75" x14ac:dyDescent="0.3">
      <c r="A88" s="955" t="s">
        <v>1670</v>
      </c>
      <c r="B88" s="968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1191">
        <v>0</v>
      </c>
      <c r="J88" s="951">
        <v>760</v>
      </c>
      <c r="K88" s="951">
        <v>25</v>
      </c>
      <c r="L88" s="951">
        <f t="shared" si="15"/>
        <v>1502.5</v>
      </c>
      <c r="M88" s="953">
        <f t="shared" si="16"/>
        <v>23497.5</v>
      </c>
    </row>
    <row r="89" spans="1:13" ht="18.75" x14ac:dyDescent="0.3">
      <c r="A89" s="955" t="s">
        <v>1671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1191">
        <v>0</v>
      </c>
      <c r="J89" s="951">
        <v>760</v>
      </c>
      <c r="K89" s="951">
        <v>25</v>
      </c>
      <c r="L89" s="951">
        <f t="shared" si="15"/>
        <v>1502.5</v>
      </c>
      <c r="M89" s="953">
        <f t="shared" si="16"/>
        <v>23497.5</v>
      </c>
    </row>
    <row r="90" spans="1:13" ht="18.75" x14ac:dyDescent="0.3">
      <c r="A90" s="955" t="s">
        <v>1672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1191">
        <v>0</v>
      </c>
      <c r="J90" s="951">
        <v>760</v>
      </c>
      <c r="K90" s="951">
        <v>25</v>
      </c>
      <c r="L90" s="951">
        <f t="shared" si="15"/>
        <v>1502.5</v>
      </c>
      <c r="M90" s="953">
        <f t="shared" si="16"/>
        <v>23497.5</v>
      </c>
    </row>
    <row r="91" spans="1:13" ht="19.5" customHeight="1" x14ac:dyDescent="0.3">
      <c r="A91" s="955" t="s">
        <v>1075</v>
      </c>
      <c r="B91" s="950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1191">
        <v>0</v>
      </c>
      <c r="J91" s="951">
        <v>760</v>
      </c>
      <c r="K91" s="951">
        <v>4353.66</v>
      </c>
      <c r="L91" s="951">
        <f>+H91+I91+J91+K91</f>
        <v>5831.16</v>
      </c>
      <c r="M91" s="953">
        <f t="shared" si="16"/>
        <v>19168.84</v>
      </c>
    </row>
    <row r="92" spans="1:13" ht="18.75" x14ac:dyDescent="0.3">
      <c r="A92" s="961" t="s">
        <v>763</v>
      </c>
      <c r="B92" s="950"/>
      <c r="C92" s="962">
        <v>10</v>
      </c>
      <c r="D92" s="962"/>
      <c r="E92" s="963">
        <f>SUM(E82:E91)</f>
        <v>268500</v>
      </c>
      <c r="F92" s="1071">
        <v>0</v>
      </c>
      <c r="G92" s="963">
        <f t="shared" ref="G92:M92" si="17">SUM(G82:G91)</f>
        <v>268500</v>
      </c>
      <c r="H92" s="966">
        <f t="shared" si="17"/>
        <v>7705.95</v>
      </c>
      <c r="I92" s="966">
        <f t="shared" si="17"/>
        <v>936.62</v>
      </c>
      <c r="J92" s="963">
        <f t="shared" si="17"/>
        <v>8162.4</v>
      </c>
      <c r="K92" s="963">
        <f>SUM(K82:K91)</f>
        <v>7653.36</v>
      </c>
      <c r="L92" s="963">
        <f t="shared" si="17"/>
        <v>24458.33</v>
      </c>
      <c r="M92" s="963">
        <f t="shared" si="17"/>
        <v>244041.67</v>
      </c>
    </row>
    <row r="93" spans="1:13" ht="18.75" x14ac:dyDescent="0.3">
      <c r="A93" s="958"/>
      <c r="B93" s="950"/>
      <c r="C93" s="967"/>
      <c r="D93" s="967"/>
      <c r="E93" s="951"/>
      <c r="F93" s="952"/>
      <c r="G93" s="953"/>
      <c r="H93" s="953"/>
      <c r="I93" s="954"/>
      <c r="J93" s="951"/>
      <c r="K93" s="951"/>
      <c r="L93" s="951"/>
      <c r="M93" s="953"/>
    </row>
    <row r="94" spans="1:13" ht="18.75" x14ac:dyDescent="0.3">
      <c r="A94" s="961" t="s">
        <v>1126</v>
      </c>
      <c r="B94" s="950"/>
      <c r="C94" s="960"/>
      <c r="D94" s="960"/>
      <c r="E94" s="951"/>
      <c r="F94" s="964"/>
      <c r="G94" s="953"/>
      <c r="H94" s="953"/>
      <c r="I94" s="954"/>
      <c r="J94" s="951"/>
      <c r="K94" s="951"/>
      <c r="L94" s="951"/>
      <c r="M94" s="953"/>
    </row>
    <row r="95" spans="1:13" ht="18.75" x14ac:dyDescent="0.3">
      <c r="A95" s="955" t="s">
        <v>1641</v>
      </c>
      <c r="B95" s="950" t="s">
        <v>807</v>
      </c>
      <c r="C95" s="960" t="s">
        <v>1673</v>
      </c>
      <c r="D95" s="960" t="s">
        <v>1069</v>
      </c>
      <c r="E95" s="951">
        <v>55000</v>
      </c>
      <c r="F95" s="952">
        <v>0</v>
      </c>
      <c r="G95" s="953">
        <v>55000</v>
      </c>
      <c r="H95" s="953">
        <v>1578.5</v>
      </c>
      <c r="I95" s="987">
        <v>2559.6799999999998</v>
      </c>
      <c r="J95" s="951">
        <v>1672</v>
      </c>
      <c r="K95" s="951">
        <v>25</v>
      </c>
      <c r="L95" s="951">
        <f>+H95+I95+J95+K95</f>
        <v>5835.18</v>
      </c>
      <c r="M95" s="953">
        <f>+G95-L95</f>
        <v>49164.82</v>
      </c>
    </row>
    <row r="96" spans="1:13" ht="18.75" x14ac:dyDescent="0.3">
      <c r="A96" s="961" t="s">
        <v>749</v>
      </c>
      <c r="B96" s="950"/>
      <c r="C96" s="962">
        <v>1</v>
      </c>
      <c r="D96" s="962"/>
      <c r="E96" s="963">
        <f>SUM(E95:E95)</f>
        <v>55000</v>
      </c>
      <c r="F96" s="964">
        <f t="shared" ref="F96:M96" si="18">SUM(F95:F95)</f>
        <v>0</v>
      </c>
      <c r="G96" s="965">
        <f t="shared" si="18"/>
        <v>55000</v>
      </c>
      <c r="H96" s="966">
        <f t="shared" si="18"/>
        <v>1578.5</v>
      </c>
      <c r="I96" s="966">
        <f t="shared" si="18"/>
        <v>2559.6799999999998</v>
      </c>
      <c r="J96" s="963">
        <f t="shared" si="18"/>
        <v>1672</v>
      </c>
      <c r="K96" s="963">
        <f>SUM(K95:K95)</f>
        <v>25</v>
      </c>
      <c r="L96" s="963">
        <f t="shared" si="18"/>
        <v>5835.18</v>
      </c>
      <c r="M96" s="965">
        <f t="shared" si="18"/>
        <v>49164.82</v>
      </c>
    </row>
    <row r="97" spans="1:13" ht="18.75" x14ac:dyDescent="0.3">
      <c r="A97" s="958"/>
      <c r="B97" s="950"/>
      <c r="C97" s="960"/>
      <c r="D97" s="960"/>
      <c r="E97" s="951"/>
      <c r="F97" s="952"/>
      <c r="G97" s="953"/>
      <c r="H97" s="953"/>
      <c r="I97" s="954"/>
      <c r="J97" s="951"/>
      <c r="K97" s="951"/>
      <c r="L97" s="951"/>
      <c r="M97" s="953"/>
    </row>
    <row r="98" spans="1:13" ht="18.75" x14ac:dyDescent="0.3">
      <c r="A98" s="961" t="s">
        <v>1127</v>
      </c>
      <c r="B98" s="950"/>
      <c r="C98" s="960"/>
      <c r="D98" s="960"/>
      <c r="E98" s="951"/>
      <c r="F98" s="952"/>
      <c r="G98" s="953"/>
      <c r="H98" s="953"/>
      <c r="I98" s="954"/>
      <c r="J98" s="951"/>
      <c r="K98" s="951"/>
      <c r="L98" s="951"/>
      <c r="M98" s="953"/>
    </row>
    <row r="99" spans="1:13" ht="18.75" x14ac:dyDescent="0.3">
      <c r="A99" s="955" t="s">
        <v>1642</v>
      </c>
      <c r="B99" s="950" t="s">
        <v>806</v>
      </c>
      <c r="C99" s="960" t="s">
        <v>1675</v>
      </c>
      <c r="D99" s="960" t="s">
        <v>1069</v>
      </c>
      <c r="E99" s="951">
        <v>55000</v>
      </c>
      <c r="F99" s="974">
        <v>0</v>
      </c>
      <c r="G99" s="951">
        <v>55000</v>
      </c>
      <c r="H99" s="951">
        <v>1578.5</v>
      </c>
      <c r="I99" s="954">
        <v>2559.6799999999998</v>
      </c>
      <c r="J99" s="951">
        <v>1672</v>
      </c>
      <c r="K99" s="951">
        <v>1296.7</v>
      </c>
      <c r="L99" s="951">
        <f>+H99+I99+J99+K99</f>
        <v>7106.88</v>
      </c>
      <c r="M99" s="953">
        <f>+G99-L99</f>
        <v>47893.120000000003</v>
      </c>
    </row>
    <row r="100" spans="1:13" ht="18.75" x14ac:dyDescent="0.3">
      <c r="A100" s="955" t="s">
        <v>1315</v>
      </c>
      <c r="B100" s="968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1">
        <v>1248.45</v>
      </c>
      <c r="I100" s="1191">
        <v>936.62</v>
      </c>
      <c r="J100" s="951">
        <v>1322.4</v>
      </c>
      <c r="K100" s="951">
        <v>1296.7</v>
      </c>
      <c r="L100" s="951">
        <f>+H100+I100+J100+K100</f>
        <v>4804.17</v>
      </c>
      <c r="M100" s="953">
        <f>+G100-L100</f>
        <v>38695.83</v>
      </c>
    </row>
    <row r="101" spans="1:13" ht="18.75" x14ac:dyDescent="0.3">
      <c r="A101" s="961" t="s">
        <v>749</v>
      </c>
      <c r="B101" s="950"/>
      <c r="C101" s="962">
        <v>2</v>
      </c>
      <c r="D101" s="962"/>
      <c r="E101" s="963">
        <f>SUM(E99:E100)</f>
        <v>98500</v>
      </c>
      <c r="F101" s="952">
        <v>0</v>
      </c>
      <c r="G101" s="963">
        <f t="shared" ref="G101:M101" si="19">SUM(G99:G100)</f>
        <v>98500</v>
      </c>
      <c r="H101" s="966">
        <f t="shared" si="19"/>
        <v>2826.95</v>
      </c>
      <c r="I101" s="966">
        <f t="shared" si="19"/>
        <v>3496.2999999999997</v>
      </c>
      <c r="J101" s="963">
        <f t="shared" si="19"/>
        <v>2994.4</v>
      </c>
      <c r="K101" s="963">
        <f t="shared" si="19"/>
        <v>2593.4</v>
      </c>
      <c r="L101" s="963">
        <f t="shared" si="19"/>
        <v>11911.05</v>
      </c>
      <c r="M101" s="963">
        <f t="shared" si="19"/>
        <v>86588.950000000012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1676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951">
        <v>5368.48</v>
      </c>
      <c r="J104" s="951">
        <v>2128</v>
      </c>
      <c r="K104" s="951">
        <v>25</v>
      </c>
      <c r="L104" s="951">
        <f>+H104+I104+J104+K104</f>
        <v>9530.48</v>
      </c>
      <c r="M104" s="951">
        <f>+G104-L104</f>
        <v>60469.520000000004</v>
      </c>
    </row>
    <row r="105" spans="1:13" ht="18.75" x14ac:dyDescent="0.3">
      <c r="A105" s="955" t="s">
        <v>124</v>
      </c>
      <c r="B105" s="968" t="s">
        <v>807</v>
      </c>
      <c r="C105" s="960" t="s">
        <v>604</v>
      </c>
      <c r="D105" s="960" t="s">
        <v>1069</v>
      </c>
      <c r="E105" s="951">
        <v>70000</v>
      </c>
      <c r="F105" s="974">
        <v>0</v>
      </c>
      <c r="G105" s="951">
        <v>70000</v>
      </c>
      <c r="H105" s="951">
        <v>2009</v>
      </c>
      <c r="I105" s="951">
        <v>4682.29</v>
      </c>
      <c r="J105" s="951">
        <v>2128</v>
      </c>
      <c r="K105" s="951">
        <v>3555.92</v>
      </c>
      <c r="L105" s="951">
        <v>12375.21</v>
      </c>
      <c r="M105" s="951">
        <v>57624.79</v>
      </c>
    </row>
    <row r="106" spans="1:13" ht="18.75" x14ac:dyDescent="0.3">
      <c r="A106" s="961" t="s">
        <v>749</v>
      </c>
      <c r="B106" s="950"/>
      <c r="C106" s="962">
        <v>2</v>
      </c>
      <c r="D106" s="962"/>
      <c r="E106" s="963">
        <f>SUM(E104:E105)</f>
        <v>140000</v>
      </c>
      <c r="F106" s="1071">
        <v>0</v>
      </c>
      <c r="G106" s="963">
        <f t="shared" ref="G106:J106" si="20">SUM(G104:G105)</f>
        <v>140000</v>
      </c>
      <c r="H106" s="963">
        <f t="shared" si="20"/>
        <v>4018</v>
      </c>
      <c r="I106" s="963">
        <f>SUM(I104:I105)</f>
        <v>10050.77</v>
      </c>
      <c r="J106" s="963">
        <f t="shared" si="20"/>
        <v>4256</v>
      </c>
      <c r="K106" s="963">
        <f>SUM(K104:K105)</f>
        <v>3580.92</v>
      </c>
      <c r="L106" s="963">
        <f>SUM(L104:L105)</f>
        <v>21905.69</v>
      </c>
      <c r="M106" s="963">
        <f>SUM(M104:M105)</f>
        <v>118094.31</v>
      </c>
    </row>
    <row r="107" spans="1:13" ht="18.75" x14ac:dyDescent="0.3">
      <c r="A107" s="961"/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20.25" customHeight="1" x14ac:dyDescent="0.3">
      <c r="A108" s="981" t="s">
        <v>1167</v>
      </c>
      <c r="B108" s="950"/>
      <c r="C108" s="962"/>
      <c r="D108" s="962"/>
      <c r="E108" s="963"/>
      <c r="F108" s="964"/>
      <c r="G108" s="965"/>
      <c r="H108" s="965"/>
      <c r="I108" s="966"/>
      <c r="J108" s="963"/>
      <c r="K108" s="963"/>
      <c r="L108" s="963"/>
      <c r="M108" s="965"/>
    </row>
    <row r="109" spans="1:13" s="259" customFormat="1" ht="18.75" x14ac:dyDescent="0.3">
      <c r="A109" s="1258" t="s">
        <v>1168</v>
      </c>
      <c r="B109" s="1256" t="s">
        <v>807</v>
      </c>
      <c r="C109" s="1257" t="s">
        <v>1564</v>
      </c>
      <c r="D109" s="1257" t="s">
        <v>1069</v>
      </c>
      <c r="E109" s="954">
        <v>80000</v>
      </c>
      <c r="F109" s="1191">
        <v>0</v>
      </c>
      <c r="G109" s="954">
        <v>80000</v>
      </c>
      <c r="H109" s="954">
        <v>2296</v>
      </c>
      <c r="I109" s="954">
        <v>7400.87</v>
      </c>
      <c r="J109" s="954">
        <v>2432</v>
      </c>
      <c r="K109" s="951">
        <v>2134</v>
      </c>
      <c r="L109" s="954">
        <f>SUM(H109:K109)</f>
        <v>14262.869999999999</v>
      </c>
      <c r="M109" s="954">
        <f>+E109-L109</f>
        <v>65737.13</v>
      </c>
    </row>
    <row r="110" spans="1:13" ht="18.75" x14ac:dyDescent="0.3">
      <c r="A110" s="955" t="s">
        <v>1053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4">
        <f t="shared" ref="L110:L111" si="21">SUM(H110:K110)</f>
        <v>3532.4700000000003</v>
      </c>
      <c r="M110" s="951">
        <f>+G110-L110</f>
        <v>39967.53</v>
      </c>
    </row>
    <row r="111" spans="1:13" ht="18.75" x14ac:dyDescent="0.3">
      <c r="A111" s="955" t="s">
        <v>1147</v>
      </c>
      <c r="B111" s="950" t="s">
        <v>807</v>
      </c>
      <c r="C111" s="960" t="s">
        <v>276</v>
      </c>
      <c r="D111" s="960" t="s">
        <v>307</v>
      </c>
      <c r="E111" s="951">
        <v>43500</v>
      </c>
      <c r="F111" s="974">
        <v>0</v>
      </c>
      <c r="G111" s="951">
        <v>43500</v>
      </c>
      <c r="H111" s="951">
        <v>1248.45</v>
      </c>
      <c r="I111" s="1191">
        <v>936.62</v>
      </c>
      <c r="J111" s="951">
        <v>1322.4</v>
      </c>
      <c r="K111" s="951">
        <v>25</v>
      </c>
      <c r="L111" s="954">
        <f t="shared" si="21"/>
        <v>3532.4700000000003</v>
      </c>
      <c r="M111" s="951">
        <f>+G111-L111</f>
        <v>39967.53</v>
      </c>
    </row>
    <row r="112" spans="1:13" ht="18.75" x14ac:dyDescent="0.3">
      <c r="A112" s="961" t="s">
        <v>749</v>
      </c>
      <c r="B112" s="950"/>
      <c r="C112" s="962">
        <v>3</v>
      </c>
      <c r="D112" s="962"/>
      <c r="E112" s="963">
        <f>SUM(E109:E111)</f>
        <v>167000</v>
      </c>
      <c r="F112" s="1071">
        <v>0</v>
      </c>
      <c r="G112" s="963">
        <f t="shared" ref="G112:M112" si="22">SUM(G109:G111)</f>
        <v>167000</v>
      </c>
      <c r="H112" s="963">
        <f t="shared" si="22"/>
        <v>4792.8999999999996</v>
      </c>
      <c r="I112" s="963">
        <f t="shared" si="22"/>
        <v>9274.11</v>
      </c>
      <c r="J112" s="963">
        <f t="shared" si="22"/>
        <v>5076.8</v>
      </c>
      <c r="K112" s="963">
        <f>SUM(K109:K111)</f>
        <v>2184</v>
      </c>
      <c r="L112" s="963">
        <f>SUM(L109:L111)</f>
        <v>21327.81</v>
      </c>
      <c r="M112" s="963">
        <f t="shared" si="22"/>
        <v>145672.19</v>
      </c>
    </row>
    <row r="113" spans="1:13" ht="18.75" x14ac:dyDescent="0.3">
      <c r="A113" s="961"/>
      <c r="B113" s="950"/>
      <c r="C113" s="962"/>
      <c r="D113" s="962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61" t="s">
        <v>1128</v>
      </c>
      <c r="B114" s="950"/>
      <c r="C114" s="967"/>
      <c r="D114" s="967"/>
      <c r="E114" s="963"/>
      <c r="F114" s="964"/>
      <c r="G114" s="965"/>
      <c r="H114" s="965"/>
      <c r="I114" s="966"/>
      <c r="J114" s="963"/>
      <c r="K114" s="963"/>
      <c r="L114" s="963"/>
      <c r="M114" s="965"/>
    </row>
    <row r="115" spans="1:13" ht="18.75" x14ac:dyDescent="0.3">
      <c r="A115" s="958" t="s">
        <v>47</v>
      </c>
      <c r="B115" s="950" t="s">
        <v>806</v>
      </c>
      <c r="C115" s="960" t="s">
        <v>1677</v>
      </c>
      <c r="D115" s="960" t="s">
        <v>1069</v>
      </c>
      <c r="E115" s="951">
        <v>80000</v>
      </c>
      <c r="F115" s="952">
        <v>0</v>
      </c>
      <c r="G115" s="953">
        <v>80000</v>
      </c>
      <c r="H115" s="953">
        <v>2296</v>
      </c>
      <c r="I115" s="954">
        <v>6972</v>
      </c>
      <c r="J115" s="951">
        <v>2432</v>
      </c>
      <c r="K115" s="951">
        <v>1740.46</v>
      </c>
      <c r="L115" s="951">
        <f>+H115+I115+J115+K115</f>
        <v>13440.46</v>
      </c>
      <c r="M115" s="953">
        <f>+G115-L115</f>
        <v>66559.540000000008</v>
      </c>
    </row>
    <row r="116" spans="1:13" ht="18.75" x14ac:dyDescent="0.3">
      <c r="A116" s="961" t="s">
        <v>749</v>
      </c>
      <c r="B116" s="950"/>
      <c r="C116" s="962">
        <v>1</v>
      </c>
      <c r="D116" s="962"/>
      <c r="E116" s="963">
        <f>SUM(E115:E115)</f>
        <v>80000</v>
      </c>
      <c r="F116" s="952">
        <v>0</v>
      </c>
      <c r="G116" s="965">
        <f t="shared" ref="G116:L116" si="23">SUM(G115:G115)</f>
        <v>80000</v>
      </c>
      <c r="H116" s="965">
        <f t="shared" si="23"/>
        <v>2296</v>
      </c>
      <c r="I116" s="966">
        <f t="shared" si="23"/>
        <v>6972</v>
      </c>
      <c r="J116" s="963">
        <f t="shared" si="23"/>
        <v>2432</v>
      </c>
      <c r="K116" s="963">
        <f>SUM(K115:K115)</f>
        <v>1740.46</v>
      </c>
      <c r="L116" s="963">
        <f t="shared" si="23"/>
        <v>13440.46</v>
      </c>
      <c r="M116" s="965">
        <f>SUM(M115:M115)</f>
        <v>66559.540000000008</v>
      </c>
    </row>
    <row r="117" spans="1:13" ht="18.75" x14ac:dyDescent="0.3">
      <c r="A117" s="961"/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2.5" customHeight="1" x14ac:dyDescent="0.3">
      <c r="A118" s="982" t="s">
        <v>1462</v>
      </c>
      <c r="B118" s="950"/>
      <c r="C118" s="967"/>
      <c r="D118" s="967"/>
      <c r="E118" s="963"/>
      <c r="F118" s="964"/>
      <c r="G118" s="965"/>
      <c r="H118" s="965"/>
      <c r="I118" s="966"/>
      <c r="J118" s="963"/>
      <c r="K118" s="963"/>
      <c r="L118" s="963"/>
      <c r="M118" s="965"/>
    </row>
    <row r="119" spans="1:13" ht="20.25" customHeight="1" x14ac:dyDescent="0.3">
      <c r="A119" s="1242" t="s">
        <v>1678</v>
      </c>
      <c r="B119" s="950" t="s">
        <v>806</v>
      </c>
      <c r="C119" s="960" t="s">
        <v>1265</v>
      </c>
      <c r="D119" s="960" t="s">
        <v>1066</v>
      </c>
      <c r="E119" s="951">
        <v>185000</v>
      </c>
      <c r="F119" s="952">
        <v>0</v>
      </c>
      <c r="G119" s="953">
        <v>185000</v>
      </c>
      <c r="H119" s="953">
        <v>5309.5</v>
      </c>
      <c r="I119" s="954">
        <v>32099.49</v>
      </c>
      <c r="J119" s="951">
        <v>5624</v>
      </c>
      <c r="K119" s="951">
        <v>25</v>
      </c>
      <c r="L119" s="951">
        <f>+H119+I119+J119+K119</f>
        <v>43057.990000000005</v>
      </c>
      <c r="M119" s="953">
        <f>+G119-L119</f>
        <v>141942.01</v>
      </c>
    </row>
    <row r="120" spans="1:13" ht="18.75" x14ac:dyDescent="0.3">
      <c r="A120" s="955" t="s">
        <v>65</v>
      </c>
      <c r="B120" s="968" t="s">
        <v>806</v>
      </c>
      <c r="C120" s="960" t="s">
        <v>1174</v>
      </c>
      <c r="D120" s="960" t="s">
        <v>1069</v>
      </c>
      <c r="E120" s="951">
        <v>70000</v>
      </c>
      <c r="F120" s="974">
        <v>0</v>
      </c>
      <c r="G120" s="951">
        <v>70000</v>
      </c>
      <c r="H120" s="951">
        <v>2009</v>
      </c>
      <c r="I120" s="1191">
        <v>5025.38</v>
      </c>
      <c r="J120" s="951">
        <v>2128</v>
      </c>
      <c r="K120" s="951">
        <v>18052.62</v>
      </c>
      <c r="L120" s="951">
        <f>+H120+I120+J120+K120</f>
        <v>27215</v>
      </c>
      <c r="M120" s="953">
        <f t="shared" ref="M120:M123" si="24">+G120-L120</f>
        <v>42785</v>
      </c>
    </row>
    <row r="121" spans="1:13" ht="18.75" x14ac:dyDescent="0.3">
      <c r="A121" s="955" t="s">
        <v>843</v>
      </c>
      <c r="B121" s="968" t="s">
        <v>806</v>
      </c>
      <c r="C121" s="960" t="s">
        <v>1199</v>
      </c>
      <c r="D121" s="960" t="s">
        <v>1069</v>
      </c>
      <c r="E121" s="951">
        <v>80000</v>
      </c>
      <c r="F121" s="952">
        <v>0</v>
      </c>
      <c r="G121" s="953">
        <v>80000</v>
      </c>
      <c r="H121" s="953">
        <v>2296</v>
      </c>
      <c r="I121" s="1195">
        <v>7400.87</v>
      </c>
      <c r="J121" s="951">
        <v>2432</v>
      </c>
      <c r="K121" s="951">
        <v>25</v>
      </c>
      <c r="L121" s="951">
        <f>+H121+I121+J121+K121</f>
        <v>12153.869999999999</v>
      </c>
      <c r="M121" s="953">
        <f t="shared" si="24"/>
        <v>67846.13</v>
      </c>
    </row>
    <row r="122" spans="1:13" ht="18.75" x14ac:dyDescent="0.3">
      <c r="A122" s="958" t="s">
        <v>1679</v>
      </c>
      <c r="B122" s="950" t="s">
        <v>807</v>
      </c>
      <c r="C122" s="977" t="s">
        <v>327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1191">
        <v>0</v>
      </c>
      <c r="J122" s="951">
        <v>957.6</v>
      </c>
      <c r="K122" s="951">
        <v>25</v>
      </c>
      <c r="L122" s="951">
        <v>1886.65</v>
      </c>
      <c r="M122" s="953">
        <f t="shared" si="24"/>
        <v>29613.35</v>
      </c>
    </row>
    <row r="123" spans="1:13" ht="18.75" x14ac:dyDescent="0.3">
      <c r="A123" s="958" t="s">
        <v>1680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1191">
        <v>936.62</v>
      </c>
      <c r="J123" s="951">
        <v>1322.4</v>
      </c>
      <c r="K123" s="951">
        <v>25</v>
      </c>
      <c r="L123" s="951">
        <f>+H123+I123+J123+K123</f>
        <v>3532.4700000000003</v>
      </c>
      <c r="M123" s="953">
        <f t="shared" si="24"/>
        <v>39967.53</v>
      </c>
    </row>
    <row r="124" spans="1:13" ht="18.75" x14ac:dyDescent="0.3">
      <c r="A124" s="961" t="s">
        <v>749</v>
      </c>
      <c r="B124" s="950"/>
      <c r="C124" s="962">
        <v>5</v>
      </c>
      <c r="D124" s="962"/>
      <c r="E124" s="963">
        <f>SUM(E119:E123)</f>
        <v>410000</v>
      </c>
      <c r="F124" s="964">
        <f t="shared" ref="F124" si="25">SUM(F119:F123)</f>
        <v>0</v>
      </c>
      <c r="G124" s="963">
        <f>SUM(G119:G123)</f>
        <v>410000</v>
      </c>
      <c r="H124" s="963">
        <f t="shared" ref="H124:M124" si="26">SUM(H119:H123)</f>
        <v>11767</v>
      </c>
      <c r="I124" s="963">
        <f t="shared" si="26"/>
        <v>45462.360000000008</v>
      </c>
      <c r="J124" s="963">
        <f t="shared" si="26"/>
        <v>12464</v>
      </c>
      <c r="K124" s="963">
        <f>SUM(K119:K123)</f>
        <v>18152.62</v>
      </c>
      <c r="L124" s="963">
        <f t="shared" si="26"/>
        <v>87845.98</v>
      </c>
      <c r="M124" s="963">
        <f t="shared" si="26"/>
        <v>322154.02</v>
      </c>
    </row>
    <row r="125" spans="1:13" ht="18.75" x14ac:dyDescent="0.3">
      <c r="A125" s="961"/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ht="36" customHeight="1" x14ac:dyDescent="0.3">
      <c r="A126" s="1273" t="s">
        <v>1681</v>
      </c>
      <c r="B126" s="950"/>
      <c r="C126" s="962"/>
      <c r="D126" s="962"/>
      <c r="E126" s="963"/>
      <c r="F126" s="964"/>
      <c r="G126" s="963"/>
      <c r="H126" s="963"/>
      <c r="I126" s="966"/>
      <c r="J126" s="963"/>
      <c r="K126" s="963"/>
      <c r="L126" s="963"/>
      <c r="M126" s="963"/>
    </row>
    <row r="127" spans="1:13" s="259" customFormat="1" ht="18.75" x14ac:dyDescent="0.3">
      <c r="A127" s="1258" t="s">
        <v>232</v>
      </c>
      <c r="B127" s="1259" t="s">
        <v>807</v>
      </c>
      <c r="C127" s="1257" t="s">
        <v>1174</v>
      </c>
      <c r="D127" s="1257" t="s">
        <v>1069</v>
      </c>
      <c r="E127" s="954">
        <v>80000</v>
      </c>
      <c r="F127" s="1191">
        <v>0</v>
      </c>
      <c r="G127" s="954">
        <v>80000</v>
      </c>
      <c r="H127" s="954">
        <v>2296</v>
      </c>
      <c r="I127" s="954">
        <v>6972</v>
      </c>
      <c r="J127" s="954">
        <v>2432</v>
      </c>
      <c r="K127" s="951">
        <v>5884.86</v>
      </c>
      <c r="L127" s="954">
        <f>+H127+I127+J127+K127</f>
        <v>17584.86</v>
      </c>
      <c r="M127" s="954">
        <f>+G127-L127</f>
        <v>62415.14</v>
      </c>
    </row>
    <row r="128" spans="1:13" ht="18.75" x14ac:dyDescent="0.3">
      <c r="A128" s="961" t="s">
        <v>749</v>
      </c>
      <c r="B128" s="950"/>
      <c r="C128" s="962">
        <v>1</v>
      </c>
      <c r="D128" s="962"/>
      <c r="E128" s="963">
        <f>SUM(E127:E127)</f>
        <v>80000</v>
      </c>
      <c r="F128" s="952">
        <v>0</v>
      </c>
      <c r="G128" s="965">
        <f t="shared" ref="G128:L128" si="27">SUM(G127:G127)</f>
        <v>80000</v>
      </c>
      <c r="H128" s="965">
        <f t="shared" si="27"/>
        <v>2296</v>
      </c>
      <c r="I128" s="966">
        <f t="shared" si="27"/>
        <v>6972</v>
      </c>
      <c r="J128" s="963">
        <f t="shared" si="27"/>
        <v>2432</v>
      </c>
      <c r="K128" s="963">
        <f>SUM(K127:K127)</f>
        <v>5884.86</v>
      </c>
      <c r="L128" s="963">
        <f t="shared" si="27"/>
        <v>17584.86</v>
      </c>
      <c r="M128" s="965">
        <f>SUM(M127:M127)</f>
        <v>62415.14</v>
      </c>
    </row>
    <row r="129" spans="1:13" ht="18.75" x14ac:dyDescent="0.3">
      <c r="A129" s="961"/>
      <c r="B129" s="950"/>
      <c r="C129" s="962"/>
      <c r="D129" s="962"/>
      <c r="E129" s="963"/>
      <c r="F129" s="952"/>
      <c r="G129" s="965"/>
      <c r="H129" s="965"/>
      <c r="I129" s="966"/>
      <c r="J129" s="963"/>
      <c r="K129" s="963"/>
      <c r="L129" s="963"/>
      <c r="M129" s="965"/>
    </row>
    <row r="130" spans="1:13" ht="21.75" customHeight="1" x14ac:dyDescent="0.3">
      <c r="A130" s="982" t="s">
        <v>1682</v>
      </c>
      <c r="B130" s="950"/>
      <c r="C130" s="967"/>
      <c r="D130" s="967"/>
      <c r="E130" s="963"/>
      <c r="F130" s="964"/>
      <c r="G130" s="965"/>
      <c r="H130" s="965"/>
      <c r="I130" s="966"/>
      <c r="J130" s="963"/>
      <c r="K130" s="963"/>
      <c r="L130" s="963"/>
      <c r="M130" s="965"/>
    </row>
    <row r="131" spans="1:13" ht="18.75" x14ac:dyDescent="0.3">
      <c r="A131" s="955" t="s">
        <v>419</v>
      </c>
      <c r="B131" s="950" t="s">
        <v>806</v>
      </c>
      <c r="C131" s="960" t="s">
        <v>1683</v>
      </c>
      <c r="D131" s="960" t="s">
        <v>1069</v>
      </c>
      <c r="E131" s="951">
        <v>50000</v>
      </c>
      <c r="F131" s="952">
        <v>0</v>
      </c>
      <c r="G131" s="953">
        <v>50000</v>
      </c>
      <c r="H131" s="953">
        <v>1435</v>
      </c>
      <c r="I131" s="954">
        <v>1854</v>
      </c>
      <c r="J131" s="951">
        <v>1520</v>
      </c>
      <c r="K131" s="951">
        <v>728</v>
      </c>
      <c r="L131" s="951">
        <f>+H131+I131+J131+K131</f>
        <v>5537</v>
      </c>
      <c r="M131" s="953">
        <f>+G131-L131</f>
        <v>44463</v>
      </c>
    </row>
    <row r="132" spans="1:13" ht="18.75" x14ac:dyDescent="0.3">
      <c r="A132" s="961" t="s">
        <v>749</v>
      </c>
      <c r="B132" s="950"/>
      <c r="C132" s="962">
        <v>1</v>
      </c>
      <c r="D132" s="962"/>
      <c r="E132" s="963">
        <f>SUM(E131:E131)</f>
        <v>50000</v>
      </c>
      <c r="F132" s="964">
        <f t="shared" ref="F132:M132" si="28">SUM(F131:F131)</f>
        <v>0</v>
      </c>
      <c r="G132" s="963">
        <f t="shared" si="28"/>
        <v>50000</v>
      </c>
      <c r="H132" s="963">
        <f t="shared" si="28"/>
        <v>1435</v>
      </c>
      <c r="I132" s="966">
        <f t="shared" si="28"/>
        <v>1854</v>
      </c>
      <c r="J132" s="963">
        <f t="shared" si="28"/>
        <v>1520</v>
      </c>
      <c r="K132" s="963">
        <f>SUM(K131:K131)</f>
        <v>728</v>
      </c>
      <c r="L132" s="963">
        <f t="shared" si="28"/>
        <v>5537</v>
      </c>
      <c r="M132" s="963">
        <f t="shared" si="28"/>
        <v>44463</v>
      </c>
    </row>
    <row r="133" spans="1:13" ht="18.75" x14ac:dyDescent="0.3">
      <c r="A133" s="958"/>
      <c r="B133" s="950"/>
      <c r="C133" s="960"/>
      <c r="D133" s="960"/>
      <c r="E133" s="951"/>
      <c r="F133" s="952"/>
      <c r="G133" s="953"/>
      <c r="H133" s="953"/>
      <c r="I133" s="954"/>
      <c r="J133" s="963"/>
      <c r="K133" s="951"/>
      <c r="L133" s="951"/>
      <c r="M133" s="953"/>
    </row>
    <row r="134" spans="1:13" ht="18.75" x14ac:dyDescent="0.3">
      <c r="A134" s="961" t="s">
        <v>842</v>
      </c>
      <c r="B134" s="950"/>
      <c r="C134" s="967"/>
      <c r="D134" s="967"/>
      <c r="E134" s="963"/>
      <c r="F134" s="964"/>
      <c r="G134" s="965"/>
      <c r="H134" s="965"/>
      <c r="I134" s="966"/>
      <c r="J134" s="963"/>
      <c r="K134" s="963"/>
      <c r="L134" s="963"/>
      <c r="M134" s="965"/>
    </row>
    <row r="135" spans="1:13" ht="18.75" x14ac:dyDescent="0.3">
      <c r="A135" s="955" t="s">
        <v>1131</v>
      </c>
      <c r="B135" s="950" t="s">
        <v>806</v>
      </c>
      <c r="C135" s="960" t="s">
        <v>905</v>
      </c>
      <c r="D135" s="960" t="s">
        <v>307</v>
      </c>
      <c r="E135" s="951">
        <v>80000</v>
      </c>
      <c r="F135" s="974">
        <v>0</v>
      </c>
      <c r="G135" s="951">
        <v>80000</v>
      </c>
      <c r="H135" s="951">
        <v>2296</v>
      </c>
      <c r="I135" s="954">
        <v>7400.87</v>
      </c>
      <c r="J135" s="951">
        <v>2432</v>
      </c>
      <c r="K135" s="951">
        <v>828</v>
      </c>
      <c r="L135" s="951">
        <f t="shared" ref="L135:L138" si="29">+H135+I135+J135+K135</f>
        <v>12956.869999999999</v>
      </c>
      <c r="M135" s="951">
        <f>+G135-L135</f>
        <v>67043.13</v>
      </c>
    </row>
    <row r="136" spans="1:13" ht="18.75" x14ac:dyDescent="0.3">
      <c r="A136" s="955" t="s">
        <v>773</v>
      </c>
      <c r="B136" s="950" t="s">
        <v>807</v>
      </c>
      <c r="C136" s="960" t="s">
        <v>774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4">
        <v>2559.6799999999998</v>
      </c>
      <c r="J136" s="951">
        <v>1672</v>
      </c>
      <c r="K136" s="951">
        <v>125</v>
      </c>
      <c r="L136" s="951">
        <v>5935.18</v>
      </c>
      <c r="M136" s="951">
        <f t="shared" ref="M136:M138" si="30">+G136-L136</f>
        <v>49064.82</v>
      </c>
    </row>
    <row r="137" spans="1:13" ht="18.75" x14ac:dyDescent="0.3">
      <c r="A137" s="955" t="s">
        <v>1142</v>
      </c>
      <c r="B137" s="950" t="s">
        <v>806</v>
      </c>
      <c r="C137" s="960" t="s">
        <v>1684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728</v>
      </c>
      <c r="L137" s="951">
        <f t="shared" si="29"/>
        <v>6538.18</v>
      </c>
      <c r="M137" s="951">
        <f t="shared" si="30"/>
        <v>48461.82</v>
      </c>
    </row>
    <row r="138" spans="1:13" ht="18.75" x14ac:dyDescent="0.3">
      <c r="A138" s="955" t="s">
        <v>444</v>
      </c>
      <c r="B138" s="950" t="s">
        <v>806</v>
      </c>
      <c r="C138" s="960" t="s">
        <v>1777</v>
      </c>
      <c r="D138" s="960" t="s">
        <v>307</v>
      </c>
      <c r="E138" s="951">
        <v>43500</v>
      </c>
      <c r="F138" s="974">
        <v>0</v>
      </c>
      <c r="G138" s="951">
        <v>43500</v>
      </c>
      <c r="H138" s="951">
        <v>1248.45</v>
      </c>
      <c r="I138" s="1191">
        <v>936.62</v>
      </c>
      <c r="J138" s="951">
        <v>1322.4</v>
      </c>
      <c r="K138" s="951">
        <v>25</v>
      </c>
      <c r="L138" s="951">
        <f t="shared" si="29"/>
        <v>3532.4700000000003</v>
      </c>
      <c r="M138" s="951">
        <f t="shared" si="30"/>
        <v>39967.53</v>
      </c>
    </row>
    <row r="139" spans="1:13" ht="18.75" x14ac:dyDescent="0.3">
      <c r="A139" s="961" t="s">
        <v>749</v>
      </c>
      <c r="B139" s="950"/>
      <c r="C139" s="962">
        <v>4</v>
      </c>
      <c r="D139" s="962"/>
      <c r="E139" s="963">
        <f>SUM(E135:E138)</f>
        <v>233500</v>
      </c>
      <c r="F139" s="964">
        <f>SUM(F135:F138)</f>
        <v>0</v>
      </c>
      <c r="G139" s="963">
        <f t="shared" ref="G139:L139" si="31">SUM(G135:G138)</f>
        <v>233500</v>
      </c>
      <c r="H139" s="963">
        <f t="shared" si="31"/>
        <v>6701.45</v>
      </c>
      <c r="I139" s="966">
        <f t="shared" si="31"/>
        <v>13456.85</v>
      </c>
      <c r="J139" s="963">
        <f t="shared" si="31"/>
        <v>7098.4</v>
      </c>
      <c r="K139" s="963">
        <f>SUM(K135:K138)</f>
        <v>1706</v>
      </c>
      <c r="L139" s="963">
        <f t="shared" si="31"/>
        <v>28962.7</v>
      </c>
      <c r="M139" s="963">
        <f>SUM(M135:M138)</f>
        <v>204537.30000000002</v>
      </c>
    </row>
    <row r="140" spans="1:13" ht="18.75" x14ac:dyDescent="0.3">
      <c r="A140" s="958"/>
      <c r="B140" s="950"/>
      <c r="C140" s="960"/>
      <c r="D140" s="960"/>
      <c r="E140" s="951"/>
      <c r="F140" s="952"/>
      <c r="G140" s="953"/>
      <c r="H140" s="953"/>
      <c r="I140" s="954"/>
      <c r="J140" s="951"/>
      <c r="K140" s="951"/>
      <c r="L140" s="951"/>
      <c r="M140" s="953"/>
    </row>
    <row r="141" spans="1:13" ht="18.75" x14ac:dyDescent="0.3">
      <c r="A141" s="961" t="s">
        <v>1515</v>
      </c>
      <c r="B141" s="950"/>
      <c r="C141" s="967"/>
      <c r="D141" s="967"/>
      <c r="E141" s="963"/>
      <c r="F141" s="964"/>
      <c r="G141" s="965"/>
      <c r="H141" s="965"/>
      <c r="I141" s="966"/>
      <c r="J141" s="963"/>
      <c r="K141" s="963"/>
      <c r="L141" s="963"/>
      <c r="M141" s="965"/>
    </row>
    <row r="142" spans="1:13" ht="18.75" x14ac:dyDescent="0.3">
      <c r="A142" s="958" t="s">
        <v>1686</v>
      </c>
      <c r="B142" s="950" t="s">
        <v>806</v>
      </c>
      <c r="C142" s="960" t="s">
        <v>1687</v>
      </c>
      <c r="D142" s="960" t="s">
        <v>307</v>
      </c>
      <c r="E142" s="951">
        <v>185000</v>
      </c>
      <c r="F142" s="952">
        <v>0</v>
      </c>
      <c r="G142" s="953">
        <v>185000</v>
      </c>
      <c r="H142" s="953">
        <v>5309.5</v>
      </c>
      <c r="I142" s="954">
        <v>32099.49</v>
      </c>
      <c r="J142" s="951">
        <v>5624</v>
      </c>
      <c r="K142" s="951">
        <v>2568.4</v>
      </c>
      <c r="L142" s="951">
        <f>+H142+I142+J142+K142</f>
        <v>45601.390000000007</v>
      </c>
      <c r="M142" s="953">
        <f>+G142-L142</f>
        <v>139398.60999999999</v>
      </c>
    </row>
    <row r="143" spans="1:13" ht="18.75" x14ac:dyDescent="0.3">
      <c r="A143" s="955" t="s">
        <v>77</v>
      </c>
      <c r="B143" s="986" t="s">
        <v>807</v>
      </c>
      <c r="C143" s="960" t="s">
        <v>1734</v>
      </c>
      <c r="D143" s="960" t="s">
        <v>1069</v>
      </c>
      <c r="E143" s="951">
        <v>70000</v>
      </c>
      <c r="F143" s="974">
        <v>0</v>
      </c>
      <c r="G143" s="1070">
        <v>70000</v>
      </c>
      <c r="H143" s="956">
        <v>2009</v>
      </c>
      <c r="I143" s="987">
        <v>5368.48</v>
      </c>
      <c r="J143" s="951">
        <v>2128</v>
      </c>
      <c r="K143" s="956">
        <v>828</v>
      </c>
      <c r="L143" s="951">
        <f>+H143+I143+J143+K143</f>
        <v>10333.48</v>
      </c>
      <c r="M143" s="953">
        <f>+G143-L143</f>
        <v>59666.520000000004</v>
      </c>
    </row>
    <row r="144" spans="1:13" ht="18.75" x14ac:dyDescent="0.3">
      <c r="A144" s="955" t="s">
        <v>1437</v>
      </c>
      <c r="B144" s="950" t="s">
        <v>807</v>
      </c>
      <c r="C144" s="960" t="s">
        <v>276</v>
      </c>
      <c r="D144" s="960" t="s">
        <v>307</v>
      </c>
      <c r="E144" s="951">
        <v>43500</v>
      </c>
      <c r="F144" s="974">
        <v>0</v>
      </c>
      <c r="G144" s="951">
        <v>43500</v>
      </c>
      <c r="H144" s="951">
        <v>1248.45</v>
      </c>
      <c r="I144" s="1191">
        <v>936.62</v>
      </c>
      <c r="J144" s="951">
        <v>1322.4</v>
      </c>
      <c r="K144" s="951">
        <v>25</v>
      </c>
      <c r="L144" s="951">
        <f>+H144+I144+J144+K144</f>
        <v>3532.4700000000003</v>
      </c>
      <c r="M144" s="953">
        <f>+G144-L144</f>
        <v>39967.53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 t="shared" ref="M145" si="32">+G145-L145</f>
        <v>43166</v>
      </c>
    </row>
    <row r="146" spans="1:13" ht="18.75" x14ac:dyDescent="0.3">
      <c r="A146" s="961" t="s">
        <v>749</v>
      </c>
      <c r="B146" s="950"/>
      <c r="C146" s="962">
        <v>4</v>
      </c>
      <c r="D146" s="962"/>
      <c r="E146" s="963">
        <f>SUM(E142:E145)</f>
        <v>348500</v>
      </c>
      <c r="F146" s="964">
        <f ca="1">SUM(F142:F169)</f>
        <v>0</v>
      </c>
      <c r="G146" s="965">
        <f>SUM(G142:G145)</f>
        <v>348500</v>
      </c>
      <c r="H146" s="965">
        <f t="shared" ref="H146:L146" si="33">SUM(H142:H145)</f>
        <v>10001.950000000001</v>
      </c>
      <c r="I146" s="966">
        <f t="shared" si="33"/>
        <v>40258.590000000004</v>
      </c>
      <c r="J146" s="963">
        <f t="shared" si="33"/>
        <v>10594.4</v>
      </c>
      <c r="K146" s="963">
        <f>SUM(K142:K145)</f>
        <v>5446.4</v>
      </c>
      <c r="L146" s="963">
        <f t="shared" si="33"/>
        <v>66301.340000000011</v>
      </c>
      <c r="M146" s="965">
        <f>SUM(M142:M145)</f>
        <v>282198.66000000003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1772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I151" si="34">SUM(G149:G150)</f>
        <v>123500</v>
      </c>
      <c r="H151" s="966">
        <f t="shared" si="34"/>
        <v>3544.45</v>
      </c>
      <c r="I151" s="966">
        <f t="shared" si="34"/>
        <v>8080.17</v>
      </c>
      <c r="J151" s="963">
        <f>SUM(J149:J150)</f>
        <v>3754.4</v>
      </c>
      <c r="K151" s="963">
        <f>SUM(K149:K150)</f>
        <v>3837.66</v>
      </c>
      <c r="L151" s="963">
        <f>SUM(L149:L150)</f>
        <v>19216.68</v>
      </c>
      <c r="M151" s="963">
        <f>SUM(M149:M150)</f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>SUM(E154:E154)</f>
        <v>43500</v>
      </c>
      <c r="F155" s="964">
        <f t="shared" ref="F155:J155" si="35">SUM(F154:F154)</f>
        <v>0</v>
      </c>
      <c r="G155" s="965">
        <f t="shared" si="35"/>
        <v>43500</v>
      </c>
      <c r="H155" s="965">
        <f t="shared" si="35"/>
        <v>1248.45</v>
      </c>
      <c r="I155" s="1196">
        <f>SUM(I154:I154)</f>
        <v>936.62</v>
      </c>
      <c r="J155" s="1091">
        <f t="shared" si="35"/>
        <v>1322.4</v>
      </c>
      <c r="K155" s="963">
        <f>SUM(K154:K154)</f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1693</v>
      </c>
      <c r="B158" s="950" t="s">
        <v>807</v>
      </c>
      <c r="C158" s="960" t="s">
        <v>1734</v>
      </c>
      <c r="D158" s="960" t="s">
        <v>307</v>
      </c>
      <c r="E158" s="951">
        <v>70000</v>
      </c>
      <c r="F158" s="974">
        <v>0</v>
      </c>
      <c r="G158" s="951">
        <v>70000</v>
      </c>
      <c r="H158" s="951">
        <v>2009</v>
      </c>
      <c r="I158" s="954">
        <v>5368.48</v>
      </c>
      <c r="J158" s="951">
        <v>2128</v>
      </c>
      <c r="K158" s="951">
        <v>1296.7</v>
      </c>
      <c r="L158" s="951">
        <f>+H158+I158+J158+K158</f>
        <v>10802.18</v>
      </c>
      <c r="M158" s="953">
        <f t="shared" ref="M158:M159" si="36">+G158-L158</f>
        <v>59197.82</v>
      </c>
    </row>
    <row r="159" spans="1:13" ht="18.75" x14ac:dyDescent="0.3">
      <c r="A159" s="955" t="s">
        <v>1694</v>
      </c>
      <c r="B159" s="950" t="s">
        <v>806</v>
      </c>
      <c r="C159" s="960" t="s">
        <v>551</v>
      </c>
      <c r="D159" s="960" t="s">
        <v>307</v>
      </c>
      <c r="E159" s="951">
        <v>43500</v>
      </c>
      <c r="F159" s="952">
        <v>0</v>
      </c>
      <c r="G159" s="953">
        <v>43500</v>
      </c>
      <c r="H159" s="953">
        <v>1248.45</v>
      </c>
      <c r="I159" s="1191">
        <v>936.62</v>
      </c>
      <c r="J159" s="951">
        <v>1322.4</v>
      </c>
      <c r="K159" s="951">
        <v>2025</v>
      </c>
      <c r="L159" s="951">
        <f>+H159+I159+J159+K159</f>
        <v>5532.47</v>
      </c>
      <c r="M159" s="953">
        <f t="shared" si="36"/>
        <v>37967.53</v>
      </c>
    </row>
    <row r="160" spans="1:13" ht="18.75" x14ac:dyDescent="0.3">
      <c r="A160" s="955" t="s">
        <v>1695</v>
      </c>
      <c r="B160" s="950" t="s">
        <v>806</v>
      </c>
      <c r="C160" s="960" t="s">
        <v>551</v>
      </c>
      <c r="D160" s="960" t="s">
        <v>321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25</v>
      </c>
      <c r="L160" s="951">
        <f>+H160+I160+J160+K160</f>
        <v>3532.4700000000003</v>
      </c>
      <c r="M160" s="953">
        <f>+G160-L160</f>
        <v>39967.53</v>
      </c>
    </row>
    <row r="161" spans="1:13" ht="18.75" x14ac:dyDescent="0.3">
      <c r="A161" s="961" t="s">
        <v>847</v>
      </c>
      <c r="B161" s="950"/>
      <c r="C161" s="962">
        <v>3</v>
      </c>
      <c r="D161" s="962"/>
      <c r="E161" s="963">
        <f>SUM(E158:E160)</f>
        <v>157000</v>
      </c>
      <c r="F161" s="993">
        <f t="shared" ref="F161" si="37">SUM(F160)</f>
        <v>0</v>
      </c>
      <c r="G161" s="963">
        <f t="shared" ref="G161:M161" si="38">SUM(G158:G160)</f>
        <v>157000</v>
      </c>
      <c r="H161" s="963">
        <f t="shared" si="38"/>
        <v>4505.8999999999996</v>
      </c>
      <c r="I161" s="966">
        <f t="shared" si="38"/>
        <v>7241.7199999999993</v>
      </c>
      <c r="J161" s="963">
        <f t="shared" si="38"/>
        <v>4772.8</v>
      </c>
      <c r="K161" s="963">
        <f>SUM(K158:K160)</f>
        <v>3346.7</v>
      </c>
      <c r="L161" s="963">
        <f t="shared" si="38"/>
        <v>19867.120000000003</v>
      </c>
      <c r="M161" s="963">
        <f t="shared" si="38"/>
        <v>137132.88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4"/>
      <c r="J162" s="951"/>
      <c r="K162" s="951"/>
      <c r="L162" s="951"/>
      <c r="M162" s="953"/>
    </row>
    <row r="163" spans="1:13" ht="29.25" customHeight="1" x14ac:dyDescent="0.3">
      <c r="A163" s="982" t="s">
        <v>1138</v>
      </c>
      <c r="B163" s="950"/>
      <c r="C163" s="967"/>
      <c r="D163" s="967"/>
      <c r="E163" s="963"/>
      <c r="F163" s="964"/>
      <c r="G163" s="965"/>
      <c r="H163" s="965"/>
      <c r="I163" s="966"/>
      <c r="J163" s="963"/>
      <c r="K163" s="963"/>
      <c r="L163" s="963"/>
      <c r="M163" s="965"/>
    </row>
    <row r="164" spans="1:13" ht="18.75" x14ac:dyDescent="0.3">
      <c r="A164" s="958" t="s">
        <v>1640</v>
      </c>
      <c r="B164" s="950" t="s">
        <v>806</v>
      </c>
      <c r="C164" s="960" t="s">
        <v>417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4">
        <v>7400.87</v>
      </c>
      <c r="J164" s="951">
        <v>2432</v>
      </c>
      <c r="K164" s="951">
        <v>728</v>
      </c>
      <c r="L164" s="951">
        <f>+H164+I164+J164+K164</f>
        <v>12856.869999999999</v>
      </c>
      <c r="M164" s="953">
        <f>+G164-L164</f>
        <v>67143.13</v>
      </c>
    </row>
    <row r="165" spans="1:13" ht="18.75" x14ac:dyDescent="0.3">
      <c r="A165" s="961" t="s">
        <v>847</v>
      </c>
      <c r="B165" s="950"/>
      <c r="C165" s="962">
        <v>1</v>
      </c>
      <c r="D165" s="962"/>
      <c r="E165" s="963">
        <f>SUM(E164:E164)</f>
        <v>80000</v>
      </c>
      <c r="F165" s="1071">
        <v>0</v>
      </c>
      <c r="G165" s="963">
        <f t="shared" ref="G165:M165" si="39">SUM(G164:G164)</f>
        <v>80000</v>
      </c>
      <c r="H165" s="963">
        <f t="shared" si="39"/>
        <v>2296</v>
      </c>
      <c r="I165" s="966">
        <f t="shared" si="39"/>
        <v>7400.87</v>
      </c>
      <c r="J165" s="963">
        <f t="shared" si="39"/>
        <v>2432</v>
      </c>
      <c r="K165" s="963">
        <f>SUM(K164:K164)</f>
        <v>728</v>
      </c>
      <c r="L165" s="963">
        <f t="shared" si="39"/>
        <v>12856.869999999999</v>
      </c>
      <c r="M165" s="963">
        <f t="shared" si="39"/>
        <v>67143.13</v>
      </c>
    </row>
    <row r="166" spans="1:13" ht="18.75" x14ac:dyDescent="0.3">
      <c r="A166" s="958"/>
      <c r="B166" s="950"/>
      <c r="C166" s="960"/>
      <c r="D166" s="960"/>
      <c r="E166" s="951"/>
      <c r="F166" s="952"/>
      <c r="G166" s="953"/>
      <c r="H166" s="953"/>
      <c r="I166" s="954"/>
      <c r="J166" s="951"/>
      <c r="K166" s="951"/>
      <c r="L166" s="951"/>
      <c r="M166" s="953"/>
    </row>
    <row r="167" spans="1:13" ht="18.75" customHeight="1" x14ac:dyDescent="0.3">
      <c r="A167" s="982" t="s">
        <v>1195</v>
      </c>
      <c r="B167" s="950"/>
      <c r="C167" s="967"/>
      <c r="D167" s="967"/>
      <c r="E167" s="963"/>
      <c r="F167" s="964"/>
      <c r="G167" s="965"/>
      <c r="H167" s="965"/>
      <c r="I167" s="966"/>
      <c r="J167" s="963"/>
      <c r="K167" s="963"/>
      <c r="L167" s="963"/>
      <c r="M167" s="965"/>
    </row>
    <row r="168" spans="1:13" ht="18.75" x14ac:dyDescent="0.3">
      <c r="A168" s="955" t="s">
        <v>217</v>
      </c>
      <c r="B168" s="950" t="s">
        <v>807</v>
      </c>
      <c r="C168" s="960" t="s">
        <v>1734</v>
      </c>
      <c r="D168" s="960" t="s">
        <v>1069</v>
      </c>
      <c r="E168" s="951">
        <v>80000</v>
      </c>
      <c r="F168" s="952">
        <v>0</v>
      </c>
      <c r="G168" s="953">
        <v>80000</v>
      </c>
      <c r="H168" s="953">
        <v>2296</v>
      </c>
      <c r="I168" s="954">
        <v>7400.87</v>
      </c>
      <c r="J168" s="951">
        <v>2432</v>
      </c>
      <c r="K168" s="951">
        <v>3639.14</v>
      </c>
      <c r="L168" s="951">
        <f>+H168+I168+J168+K168</f>
        <v>15768.009999999998</v>
      </c>
      <c r="M168" s="953">
        <f>+G168-L168</f>
        <v>64231.990000000005</v>
      </c>
    </row>
    <row r="169" spans="1:13" ht="18.75" x14ac:dyDescent="0.3">
      <c r="A169" s="955" t="s">
        <v>1688</v>
      </c>
      <c r="B169" s="950" t="s">
        <v>806</v>
      </c>
      <c r="C169" s="960" t="s">
        <v>1683</v>
      </c>
      <c r="D169" s="960" t="s">
        <v>1069</v>
      </c>
      <c r="E169" s="951">
        <v>55000</v>
      </c>
      <c r="F169" s="974">
        <v>0</v>
      </c>
      <c r="G169" s="951">
        <v>55000</v>
      </c>
      <c r="H169" s="951">
        <v>1578.5</v>
      </c>
      <c r="I169" s="954">
        <v>2559.6799999999998</v>
      </c>
      <c r="J169" s="951">
        <v>1672</v>
      </c>
      <c r="K169" s="951">
        <v>1396.7</v>
      </c>
      <c r="L169" s="951">
        <f>+H169+I169+J169+K169</f>
        <v>7206.88</v>
      </c>
      <c r="M169" s="953">
        <f>+G169-L169</f>
        <v>47793.120000000003</v>
      </c>
    </row>
    <row r="170" spans="1:13" ht="18.75" x14ac:dyDescent="0.3">
      <c r="A170" s="961" t="s">
        <v>749</v>
      </c>
      <c r="B170" s="950"/>
      <c r="C170" s="962">
        <v>2</v>
      </c>
      <c r="D170" s="962"/>
      <c r="E170" s="963">
        <f>SUM(E168:E169)</f>
        <v>135000</v>
      </c>
      <c r="F170" s="964">
        <f t="shared" ref="F170:M170" si="40">SUM(F168:F169)</f>
        <v>0</v>
      </c>
      <c r="G170" s="965">
        <f t="shared" si="40"/>
        <v>135000</v>
      </c>
      <c r="H170" s="965">
        <f t="shared" si="40"/>
        <v>3874.5</v>
      </c>
      <c r="I170" s="966">
        <f t="shared" si="40"/>
        <v>9960.5499999999993</v>
      </c>
      <c r="J170" s="963">
        <f t="shared" si="40"/>
        <v>4104</v>
      </c>
      <c r="K170" s="963">
        <f>SUM(K168:K169)</f>
        <v>5035.84</v>
      </c>
      <c r="L170" s="963">
        <f t="shared" si="40"/>
        <v>22974.89</v>
      </c>
      <c r="M170" s="965">
        <f t="shared" si="40"/>
        <v>112025.11000000002</v>
      </c>
    </row>
    <row r="171" spans="1:13" ht="18.75" x14ac:dyDescent="0.3">
      <c r="A171" s="961"/>
      <c r="B171" s="950"/>
      <c r="C171" s="962"/>
      <c r="D171" s="962"/>
      <c r="E171" s="963"/>
      <c r="F171" s="964"/>
      <c r="G171" s="965"/>
      <c r="H171" s="965"/>
      <c r="I171" s="966"/>
      <c r="J171" s="963"/>
      <c r="K171" s="963"/>
      <c r="L171" s="963"/>
      <c r="M171" s="965"/>
    </row>
    <row r="172" spans="1:13" ht="18.75" x14ac:dyDescent="0.3">
      <c r="A172" s="982" t="s">
        <v>1421</v>
      </c>
      <c r="B172" s="950"/>
      <c r="C172" s="962"/>
      <c r="D172" s="962"/>
      <c r="E172" s="963"/>
      <c r="F172" s="964"/>
      <c r="G172" s="965"/>
      <c r="H172" s="965"/>
      <c r="I172" s="966"/>
      <c r="J172" s="963"/>
      <c r="K172" s="963"/>
      <c r="L172" s="963"/>
      <c r="M172" s="965"/>
    </row>
    <row r="173" spans="1:13" ht="18.75" x14ac:dyDescent="0.3">
      <c r="A173" s="1319" t="s">
        <v>1780</v>
      </c>
      <c r="B173" s="950" t="s">
        <v>806</v>
      </c>
      <c r="C173" s="1320" t="s">
        <v>551</v>
      </c>
      <c r="D173" s="960" t="s">
        <v>307</v>
      </c>
      <c r="E173" s="951">
        <v>43500</v>
      </c>
      <c r="F173" s="952">
        <v>0</v>
      </c>
      <c r="G173" s="953">
        <v>43500</v>
      </c>
      <c r="H173" s="953">
        <v>1248.45</v>
      </c>
      <c r="I173" s="954">
        <v>936.62</v>
      </c>
      <c r="J173" s="951">
        <v>1322.4</v>
      </c>
      <c r="K173" s="951">
        <v>25</v>
      </c>
      <c r="L173" s="951">
        <v>3532.47</v>
      </c>
      <c r="M173" s="953">
        <v>39967.53</v>
      </c>
    </row>
    <row r="174" spans="1:13" ht="18.75" x14ac:dyDescent="0.3">
      <c r="A174" s="961" t="s">
        <v>749</v>
      </c>
      <c r="B174" s="950"/>
      <c r="C174" s="962">
        <v>1</v>
      </c>
      <c r="D174" s="962"/>
      <c r="E174" s="963">
        <v>43500</v>
      </c>
      <c r="F174" s="964">
        <v>0</v>
      </c>
      <c r="G174" s="965">
        <v>43500</v>
      </c>
      <c r="H174" s="965">
        <v>1248.45</v>
      </c>
      <c r="I174" s="966">
        <v>936.62</v>
      </c>
      <c r="J174" s="963">
        <v>1322.4</v>
      </c>
      <c r="K174" s="963">
        <v>25</v>
      </c>
      <c r="L174" s="963">
        <v>3532.47</v>
      </c>
      <c r="M174" s="965">
        <v>39967.53</v>
      </c>
    </row>
    <row r="175" spans="1:13" ht="18.75" x14ac:dyDescent="0.3">
      <c r="A175" s="961"/>
      <c r="B175" s="950"/>
      <c r="C175" s="962"/>
      <c r="D175" s="962"/>
      <c r="E175" s="963"/>
      <c r="F175" s="964"/>
      <c r="G175" s="965"/>
      <c r="H175" s="965"/>
      <c r="I175" s="966"/>
      <c r="J175" s="963"/>
      <c r="K175" s="963"/>
      <c r="L175" s="963"/>
      <c r="M175" s="965"/>
    </row>
    <row r="176" spans="1:13" ht="18.75" x14ac:dyDescent="0.3">
      <c r="A176" s="961" t="s">
        <v>803</v>
      </c>
      <c r="B176" s="950"/>
      <c r="C176" s="967"/>
      <c r="D176" s="967"/>
      <c r="E176" s="963"/>
      <c r="F176" s="964"/>
      <c r="G176" s="965"/>
      <c r="H176" s="965"/>
      <c r="I176" s="966"/>
      <c r="J176" s="963"/>
      <c r="K176" s="963"/>
      <c r="L176" s="963"/>
      <c r="M176" s="965"/>
    </row>
    <row r="177" spans="1:13" ht="18.75" x14ac:dyDescent="0.3">
      <c r="A177" s="955" t="s">
        <v>1698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 t="shared" ref="L177:L181" si="41">+H177+I177+J177+K177</f>
        <v>3532.4700000000003</v>
      </c>
      <c r="M177" s="951">
        <f t="shared" ref="M177:M181" si="42">+G177-L177</f>
        <v>39967.53</v>
      </c>
    </row>
    <row r="178" spans="1:13" ht="18.75" x14ac:dyDescent="0.3">
      <c r="A178" s="955" t="s">
        <v>1699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936.62</v>
      </c>
      <c r="J178" s="951">
        <v>1322.4</v>
      </c>
      <c r="K178" s="951">
        <v>25</v>
      </c>
      <c r="L178" s="951">
        <f t="shared" si="41"/>
        <v>3532.4700000000003</v>
      </c>
      <c r="M178" s="951">
        <f t="shared" si="42"/>
        <v>39967.53</v>
      </c>
    </row>
    <row r="179" spans="1:13" ht="18.75" x14ac:dyDescent="0.3">
      <c r="A179" s="955" t="s">
        <v>1700</v>
      </c>
      <c r="B179" s="950" t="s">
        <v>806</v>
      </c>
      <c r="C179" s="1024" t="s">
        <v>1325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1191">
        <v>936.62</v>
      </c>
      <c r="J179" s="951">
        <v>1322.4</v>
      </c>
      <c r="K179" s="951">
        <v>25</v>
      </c>
      <c r="L179" s="951">
        <f t="shared" si="41"/>
        <v>3532.4700000000003</v>
      </c>
      <c r="M179" s="951">
        <f t="shared" si="42"/>
        <v>39967.53</v>
      </c>
    </row>
    <row r="180" spans="1:13" ht="16.5" customHeight="1" x14ac:dyDescent="0.3">
      <c r="A180" s="1069" t="s">
        <v>1701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1191">
        <v>421.98</v>
      </c>
      <c r="J180" s="951">
        <v>1322.4</v>
      </c>
      <c r="K180" s="951">
        <v>4861.92</v>
      </c>
      <c r="L180" s="951">
        <f t="shared" si="41"/>
        <v>7854.75</v>
      </c>
      <c r="M180" s="951">
        <f t="shared" si="42"/>
        <v>35645.25</v>
      </c>
    </row>
    <row r="181" spans="1:13" ht="18.75" x14ac:dyDescent="0.3">
      <c r="A181" s="998" t="s">
        <v>1702</v>
      </c>
      <c r="B181" s="950" t="s">
        <v>1296</v>
      </c>
      <c r="C181" s="1024" t="s">
        <v>1325</v>
      </c>
      <c r="D181" s="960" t="s">
        <v>321</v>
      </c>
      <c r="E181" s="951">
        <v>43500</v>
      </c>
      <c r="F181" s="952">
        <v>0</v>
      </c>
      <c r="G181" s="953">
        <v>43500</v>
      </c>
      <c r="H181" s="953">
        <v>1248.45</v>
      </c>
      <c r="I181" s="1191">
        <v>936.62</v>
      </c>
      <c r="J181" s="951">
        <v>1322.4</v>
      </c>
      <c r="K181" s="951">
        <v>25</v>
      </c>
      <c r="L181" s="951">
        <f t="shared" si="41"/>
        <v>3532.4700000000003</v>
      </c>
      <c r="M181" s="951">
        <f t="shared" si="42"/>
        <v>39967.53</v>
      </c>
    </row>
    <row r="182" spans="1:13" ht="18.75" x14ac:dyDescent="0.3">
      <c r="A182" s="961" t="s">
        <v>847</v>
      </c>
      <c r="B182" s="950"/>
      <c r="C182" s="962">
        <v>5</v>
      </c>
      <c r="D182" s="962"/>
      <c r="E182" s="963">
        <f>SUM(E177:E181)</f>
        <v>217500</v>
      </c>
      <c r="F182" s="964">
        <v>0</v>
      </c>
      <c r="G182" s="963">
        <f t="shared" ref="G182:M182" si="43">SUM(G177:G181)</f>
        <v>217500</v>
      </c>
      <c r="H182" s="963">
        <f t="shared" si="43"/>
        <v>6242.25</v>
      </c>
      <c r="I182" s="966">
        <f t="shared" si="43"/>
        <v>4168.46</v>
      </c>
      <c r="J182" s="963">
        <f t="shared" si="43"/>
        <v>6612</v>
      </c>
      <c r="K182" s="963">
        <f>SUM(K177:K181)</f>
        <v>4961.92</v>
      </c>
      <c r="L182" s="963">
        <f t="shared" si="43"/>
        <v>21984.63</v>
      </c>
      <c r="M182" s="963">
        <f t="shared" si="43"/>
        <v>195515.37</v>
      </c>
    </row>
    <row r="183" spans="1:13" ht="18.75" x14ac:dyDescent="0.3">
      <c r="A183" s="961"/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18.75" x14ac:dyDescent="0.3">
      <c r="A184" s="961" t="s">
        <v>1490</v>
      </c>
      <c r="B184" s="950"/>
      <c r="C184" s="962"/>
      <c r="D184" s="962"/>
      <c r="E184" s="963"/>
      <c r="F184" s="964"/>
      <c r="G184" s="963"/>
      <c r="H184" s="963"/>
      <c r="I184" s="966"/>
      <c r="J184" s="963"/>
      <c r="K184" s="963"/>
      <c r="L184" s="963"/>
      <c r="M184" s="963"/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1027" t="s">
        <v>1781</v>
      </c>
      <c r="B189" s="950" t="s">
        <v>807</v>
      </c>
      <c r="C189" s="1024" t="s">
        <v>1325</v>
      </c>
      <c r="D189" s="960" t="s">
        <v>307</v>
      </c>
      <c r="E189" s="951">
        <v>43500</v>
      </c>
      <c r="F189" s="974">
        <v>0</v>
      </c>
      <c r="G189" s="1032">
        <v>43500</v>
      </c>
      <c r="H189" s="951">
        <v>1248.45</v>
      </c>
      <c r="I189" s="1197">
        <v>936.62</v>
      </c>
      <c r="J189" s="951">
        <v>1322.4</v>
      </c>
      <c r="K189" s="951">
        <v>25</v>
      </c>
      <c r="L189" s="1032">
        <v>3532.4700000000003</v>
      </c>
      <c r="M189" s="1032">
        <v>39967.53</v>
      </c>
    </row>
    <row r="190" spans="1:13" ht="18.75" x14ac:dyDescent="0.3">
      <c r="A190" s="961" t="s">
        <v>847</v>
      </c>
      <c r="B190" s="950"/>
      <c r="C190" s="962">
        <v>5</v>
      </c>
      <c r="D190" s="962"/>
      <c r="E190" s="963">
        <f>SUM(E185:E189)</f>
        <v>217500</v>
      </c>
      <c r="F190" s="964">
        <v>0</v>
      </c>
      <c r="G190" s="963">
        <f t="shared" ref="G190:M190" si="44">SUM(G185:G189)</f>
        <v>217500</v>
      </c>
      <c r="H190" s="963">
        <f t="shared" si="44"/>
        <v>6242.25</v>
      </c>
      <c r="I190" s="963">
        <f t="shared" si="44"/>
        <v>4683.1000000000004</v>
      </c>
      <c r="J190" s="963">
        <f t="shared" si="44"/>
        <v>6612</v>
      </c>
      <c r="K190" s="963">
        <f>SUM(K185:K189)</f>
        <v>125</v>
      </c>
      <c r="L190" s="963">
        <f t="shared" si="44"/>
        <v>17662.350000000002</v>
      </c>
      <c r="M190" s="963">
        <f t="shared" si="44"/>
        <v>199837.65</v>
      </c>
    </row>
    <row r="191" spans="1:13" ht="18.75" x14ac:dyDescent="0.3">
      <c r="A191" s="961"/>
      <c r="B191" s="950"/>
      <c r="C191" s="962"/>
      <c r="D191" s="962"/>
      <c r="E191" s="963"/>
      <c r="F191" s="964"/>
      <c r="G191" s="963"/>
      <c r="H191" s="963"/>
      <c r="I191" s="966"/>
      <c r="J191" s="963"/>
      <c r="K191" s="963"/>
      <c r="L191" s="963"/>
      <c r="M191" s="963"/>
    </row>
    <row r="192" spans="1:13" ht="18.75" x14ac:dyDescent="0.3">
      <c r="A192" s="961" t="s">
        <v>1221</v>
      </c>
      <c r="B192" s="950"/>
      <c r="C192" s="967"/>
      <c r="D192" s="967"/>
      <c r="E192" s="963"/>
      <c r="F192" s="964"/>
      <c r="G192" s="965"/>
      <c r="H192" s="965"/>
      <c r="I192" s="966"/>
      <c r="J192" s="963"/>
      <c r="K192" s="963"/>
      <c r="L192" s="963"/>
      <c r="M192" s="965"/>
    </row>
    <row r="193" spans="1:13" ht="18.75" x14ac:dyDescent="0.3">
      <c r="A193" s="961" t="s">
        <v>1739</v>
      </c>
      <c r="B193" s="950"/>
      <c r="C193" s="1026"/>
      <c r="D193" s="960"/>
      <c r="E193" s="951"/>
      <c r="F193" s="974"/>
      <c r="G193" s="1032"/>
      <c r="H193" s="951"/>
      <c r="I193" s="1197"/>
      <c r="J193" s="951"/>
      <c r="K193" s="951"/>
      <c r="L193" s="1032"/>
      <c r="M193" s="1032"/>
    </row>
    <row r="194" spans="1:13" ht="18.75" x14ac:dyDescent="0.3">
      <c r="A194" s="1027" t="s">
        <v>1478</v>
      </c>
      <c r="B194" s="950" t="s">
        <v>806</v>
      </c>
      <c r="C194" s="1024" t="s">
        <v>1706</v>
      </c>
      <c r="D194" s="960" t="s">
        <v>1069</v>
      </c>
      <c r="E194" s="951">
        <v>120000</v>
      </c>
      <c r="F194" s="974">
        <v>0</v>
      </c>
      <c r="G194" s="1032">
        <v>120000</v>
      </c>
      <c r="H194" s="951">
        <v>3444</v>
      </c>
      <c r="I194" s="1032">
        <v>16809.87</v>
      </c>
      <c r="J194" s="951">
        <v>3648</v>
      </c>
      <c r="K194" s="951">
        <v>25</v>
      </c>
      <c r="L194" s="1032">
        <f>+H194+I194+J194+K194</f>
        <v>23926.87</v>
      </c>
      <c r="M194" s="1032">
        <f t="shared" ref="M194:M200" si="45">+G194-L194</f>
        <v>96073.13</v>
      </c>
    </row>
    <row r="195" spans="1:13" ht="18.75" x14ac:dyDescent="0.3">
      <c r="A195" s="1027" t="s">
        <v>244</v>
      </c>
      <c r="B195" s="950" t="s">
        <v>806</v>
      </c>
      <c r="C195" s="1024" t="s">
        <v>489</v>
      </c>
      <c r="D195" s="960" t="s">
        <v>1064</v>
      </c>
      <c r="E195" s="951">
        <v>80000</v>
      </c>
      <c r="F195" s="974">
        <v>0</v>
      </c>
      <c r="G195" s="1032">
        <v>80000</v>
      </c>
      <c r="H195" s="951">
        <v>2296</v>
      </c>
      <c r="I195" s="1032">
        <v>7400.87</v>
      </c>
      <c r="J195" s="951">
        <v>2432</v>
      </c>
      <c r="K195" s="951">
        <v>25</v>
      </c>
      <c r="L195" s="1032">
        <f>+H195+I195+J195+K195</f>
        <v>12153.869999999999</v>
      </c>
      <c r="M195" s="1032">
        <f t="shared" si="45"/>
        <v>67846.13</v>
      </c>
    </row>
    <row r="196" spans="1:13" ht="18.75" x14ac:dyDescent="0.3">
      <c r="A196" s="1027" t="s">
        <v>84</v>
      </c>
      <c r="B196" s="950" t="s">
        <v>806</v>
      </c>
      <c r="C196" s="1024" t="s">
        <v>417</v>
      </c>
      <c r="D196" s="960" t="s">
        <v>307</v>
      </c>
      <c r="E196" s="951">
        <v>70000</v>
      </c>
      <c r="F196" s="974">
        <v>0</v>
      </c>
      <c r="G196" s="951">
        <v>70000</v>
      </c>
      <c r="H196" s="951">
        <v>2009</v>
      </c>
      <c r="I196" s="1032">
        <v>5368.48</v>
      </c>
      <c r="J196" s="951">
        <v>2128</v>
      </c>
      <c r="K196" s="951">
        <v>25</v>
      </c>
      <c r="L196" s="1032">
        <f>+H196+I196+J196+K196</f>
        <v>9530.48</v>
      </c>
      <c r="M196" s="1032">
        <f t="shared" si="45"/>
        <v>60469.520000000004</v>
      </c>
    </row>
    <row r="197" spans="1:13" ht="18.75" x14ac:dyDescent="0.3">
      <c r="A197" s="1027" t="s">
        <v>94</v>
      </c>
      <c r="B197" s="950" t="s">
        <v>807</v>
      </c>
      <c r="C197" s="1024" t="s">
        <v>417</v>
      </c>
      <c r="D197" s="960" t="s">
        <v>1069</v>
      </c>
      <c r="E197" s="951">
        <v>70000</v>
      </c>
      <c r="F197" s="974">
        <v>0</v>
      </c>
      <c r="G197" s="951">
        <v>70000</v>
      </c>
      <c r="H197" s="951">
        <v>2009</v>
      </c>
      <c r="I197" s="1032">
        <v>5025.38</v>
      </c>
      <c r="J197" s="951">
        <v>2128</v>
      </c>
      <c r="K197" s="951">
        <v>1740.46</v>
      </c>
      <c r="L197" s="1032">
        <v>10902.84</v>
      </c>
      <c r="M197" s="1032">
        <f t="shared" si="45"/>
        <v>59097.16</v>
      </c>
    </row>
    <row r="198" spans="1:13" ht="18.75" x14ac:dyDescent="0.3">
      <c r="A198" s="1027" t="s">
        <v>156</v>
      </c>
      <c r="B198" s="950" t="s">
        <v>806</v>
      </c>
      <c r="C198" s="1024" t="s">
        <v>1773</v>
      </c>
      <c r="D198" s="960" t="s">
        <v>1069</v>
      </c>
      <c r="E198" s="951">
        <v>80000</v>
      </c>
      <c r="F198" s="974">
        <v>0</v>
      </c>
      <c r="G198" s="951">
        <v>80000</v>
      </c>
      <c r="H198" s="951">
        <v>2296</v>
      </c>
      <c r="I198" s="1032">
        <v>6972</v>
      </c>
      <c r="J198" s="951">
        <v>2432</v>
      </c>
      <c r="K198" s="951">
        <v>1740.46</v>
      </c>
      <c r="L198" s="1032">
        <f>+H198+I198+J198+K198</f>
        <v>13440.46</v>
      </c>
      <c r="M198" s="1032">
        <f t="shared" si="45"/>
        <v>66559.540000000008</v>
      </c>
    </row>
    <row r="199" spans="1:13" ht="18.75" x14ac:dyDescent="0.3">
      <c r="A199" s="1028" t="s">
        <v>177</v>
      </c>
      <c r="B199" s="1001" t="s">
        <v>807</v>
      </c>
      <c r="C199" s="1025" t="s">
        <v>1204</v>
      </c>
      <c r="D199" s="1024" t="s">
        <v>1069</v>
      </c>
      <c r="E199" s="951">
        <v>55000</v>
      </c>
      <c r="F199" s="974">
        <v>0</v>
      </c>
      <c r="G199" s="1032">
        <v>55000</v>
      </c>
      <c r="H199" s="956">
        <v>1578.5</v>
      </c>
      <c r="I199" s="1275">
        <v>2559.6799999999998</v>
      </c>
      <c r="J199" s="951">
        <v>1672</v>
      </c>
      <c r="K199" s="956">
        <v>2097.1999999999998</v>
      </c>
      <c r="L199" s="1032">
        <f>+H199+I199+J199+K199</f>
        <v>7907.38</v>
      </c>
      <c r="M199" s="1032">
        <f t="shared" si="45"/>
        <v>47092.62</v>
      </c>
    </row>
    <row r="200" spans="1:13" ht="18.75" x14ac:dyDescent="0.3">
      <c r="A200" s="955" t="s">
        <v>1710</v>
      </c>
      <c r="B200" s="968" t="s">
        <v>807</v>
      </c>
      <c r="C200" s="960" t="s">
        <v>521</v>
      </c>
      <c r="D200" s="960" t="s">
        <v>307</v>
      </c>
      <c r="E200" s="951">
        <v>43500</v>
      </c>
      <c r="F200" s="974">
        <v>0</v>
      </c>
      <c r="G200" s="951">
        <v>43500</v>
      </c>
      <c r="H200" s="951">
        <v>1248.45</v>
      </c>
      <c r="I200" s="1191">
        <v>936.62</v>
      </c>
      <c r="J200" s="951">
        <v>1322.4</v>
      </c>
      <c r="K200" s="951">
        <v>25</v>
      </c>
      <c r="L200" s="951">
        <f>+H200+I200+J200+K200</f>
        <v>3532.4700000000003</v>
      </c>
      <c r="M200" s="953">
        <f t="shared" si="45"/>
        <v>39967.53</v>
      </c>
    </row>
    <row r="201" spans="1:13" ht="18.75" x14ac:dyDescent="0.3">
      <c r="A201" s="1027" t="s">
        <v>1717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v>3532.4700000000003</v>
      </c>
      <c r="M201" s="1032">
        <v>39967.53</v>
      </c>
    </row>
    <row r="202" spans="1:13" ht="18.75" x14ac:dyDescent="0.3">
      <c r="A202" s="1027" t="s">
        <v>1718</v>
      </c>
      <c r="B202" s="950" t="s">
        <v>806</v>
      </c>
      <c r="C202" s="1024" t="s">
        <v>1332</v>
      </c>
      <c r="D202" s="960" t="s">
        <v>321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>+H202+I202+J202+K202</f>
        <v>3532.4700000000003</v>
      </c>
      <c r="M202" s="1032">
        <f t="shared" ref="M202:M207" si="46">+G202-L202</f>
        <v>39967.53</v>
      </c>
    </row>
    <row r="203" spans="1:13" ht="18.75" x14ac:dyDescent="0.3">
      <c r="A203" s="1027" t="s">
        <v>1721</v>
      </c>
      <c r="B203" s="950" t="s">
        <v>807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036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46"/>
        <v>23497.5</v>
      </c>
    </row>
    <row r="204" spans="1:13" ht="18.75" x14ac:dyDescent="0.3">
      <c r="A204" s="1027" t="s">
        <v>1722</v>
      </c>
      <c r="B204" s="950" t="s">
        <v>1151</v>
      </c>
      <c r="C204" s="1024" t="s">
        <v>105</v>
      </c>
      <c r="D204" s="960" t="s">
        <v>1067</v>
      </c>
      <c r="E204" s="951">
        <v>25000</v>
      </c>
      <c r="F204" s="974">
        <v>0</v>
      </c>
      <c r="G204" s="1032">
        <v>25000</v>
      </c>
      <c r="H204" s="951">
        <v>717.5</v>
      </c>
      <c r="I204" s="1197">
        <v>0</v>
      </c>
      <c r="J204" s="951">
        <v>760</v>
      </c>
      <c r="K204" s="951">
        <v>25</v>
      </c>
      <c r="L204" s="1032">
        <f>+H204+I204+J204+K204</f>
        <v>1502.5</v>
      </c>
      <c r="M204" s="1032">
        <f t="shared" si="46"/>
        <v>23497.5</v>
      </c>
    </row>
    <row r="205" spans="1:13" ht="18.75" x14ac:dyDescent="0.3">
      <c r="A205" s="1024" t="s">
        <v>830</v>
      </c>
      <c r="B205" s="950" t="s">
        <v>806</v>
      </c>
      <c r="C205" s="1026" t="s">
        <v>92</v>
      </c>
      <c r="D205" s="960" t="s">
        <v>1067</v>
      </c>
      <c r="E205" s="978">
        <v>30000</v>
      </c>
      <c r="F205" s="979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46"/>
        <v>28202</v>
      </c>
    </row>
    <row r="206" spans="1:13" ht="18.75" x14ac:dyDescent="0.3">
      <c r="A206" s="1027" t="s">
        <v>1723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25</v>
      </c>
      <c r="L206" s="1032">
        <f>+H206+I206+J206+K206</f>
        <v>1798</v>
      </c>
      <c r="M206" s="1032">
        <f t="shared" si="46"/>
        <v>28202</v>
      </c>
    </row>
    <row r="207" spans="1:13" ht="18.75" x14ac:dyDescent="0.3">
      <c r="A207" s="1027" t="s">
        <v>1729</v>
      </c>
      <c r="B207" s="950" t="s">
        <v>806</v>
      </c>
      <c r="C207" s="1026" t="s">
        <v>92</v>
      </c>
      <c r="D207" s="960" t="s">
        <v>1067</v>
      </c>
      <c r="E207" s="951">
        <v>30000</v>
      </c>
      <c r="F207" s="974">
        <v>0</v>
      </c>
      <c r="G207" s="1032">
        <v>30000</v>
      </c>
      <c r="H207" s="951">
        <v>861</v>
      </c>
      <c r="I207" s="1197">
        <v>0</v>
      </c>
      <c r="J207" s="951">
        <v>912</v>
      </c>
      <c r="K207" s="951">
        <v>1740.46</v>
      </c>
      <c r="L207" s="1032">
        <v>3513.46</v>
      </c>
      <c r="M207" s="1032">
        <f t="shared" si="46"/>
        <v>26486.54</v>
      </c>
    </row>
    <row r="208" spans="1:13" ht="18.75" x14ac:dyDescent="0.3">
      <c r="A208" s="949" t="s">
        <v>847</v>
      </c>
      <c r="B208" s="999"/>
      <c r="C208" s="962">
        <v>14</v>
      </c>
      <c r="D208" s="962"/>
      <c r="E208" s="963">
        <f>SUM(E194:E207)</f>
        <v>745500</v>
      </c>
      <c r="F208" s="964">
        <v>0</v>
      </c>
      <c r="G208" s="963">
        <f t="shared" ref="G208:M208" si="47">SUM(G194:G207)</f>
        <v>745500</v>
      </c>
      <c r="H208" s="963">
        <f t="shared" si="47"/>
        <v>21395.850000000002</v>
      </c>
      <c r="I208" s="963">
        <f t="shared" si="47"/>
        <v>46946.140000000007</v>
      </c>
      <c r="J208" s="963">
        <f t="shared" si="47"/>
        <v>22663.200000000001</v>
      </c>
      <c r="K208" s="963">
        <f>SUM(K194:K207)</f>
        <v>7568.58</v>
      </c>
      <c r="L208" s="963">
        <f t="shared" si="47"/>
        <v>98573.77</v>
      </c>
      <c r="M208" s="963">
        <f t="shared" si="47"/>
        <v>646926.23000000021</v>
      </c>
    </row>
    <row r="209" spans="1:13" ht="18.75" x14ac:dyDescent="0.3">
      <c r="A209" s="949"/>
      <c r="B209" s="999"/>
      <c r="C209" s="962"/>
      <c r="D209" s="962"/>
      <c r="E209" s="963"/>
      <c r="G209" s="963"/>
      <c r="H209" s="963"/>
      <c r="I209" s="966"/>
      <c r="J209" s="963"/>
      <c r="K209" s="963"/>
      <c r="L209" s="963"/>
      <c r="M209" s="963"/>
    </row>
    <row r="210" spans="1:13" ht="18.75" x14ac:dyDescent="0.3">
      <c r="A210" s="961" t="s">
        <v>1774</v>
      </c>
      <c r="B210" s="950"/>
      <c r="C210" s="967"/>
      <c r="D210" s="967"/>
      <c r="E210" s="963"/>
      <c r="F210" s="964"/>
      <c r="G210" s="965"/>
      <c r="H210" s="965"/>
      <c r="I210" s="966"/>
      <c r="J210" s="963"/>
      <c r="K210" s="963"/>
      <c r="L210" s="963"/>
      <c r="M210" s="965"/>
    </row>
    <row r="211" spans="1:13" ht="18.75" x14ac:dyDescent="0.3">
      <c r="A211" s="1027" t="s">
        <v>1707</v>
      </c>
      <c r="B211" s="950" t="s">
        <v>806</v>
      </c>
      <c r="C211" s="1024" t="s">
        <v>1708</v>
      </c>
      <c r="D211" s="960" t="s">
        <v>1069</v>
      </c>
      <c r="E211" s="951">
        <v>120000</v>
      </c>
      <c r="F211" s="974">
        <v>0</v>
      </c>
      <c r="G211" s="1032">
        <v>120000</v>
      </c>
      <c r="H211" s="951">
        <v>3444</v>
      </c>
      <c r="I211" s="1198">
        <v>16809.87</v>
      </c>
      <c r="J211" s="951">
        <v>3648</v>
      </c>
      <c r="K211" s="951">
        <v>25</v>
      </c>
      <c r="L211" s="1032">
        <f>+H211+I211+J211+K211</f>
        <v>23926.87</v>
      </c>
      <c r="M211" s="1031">
        <f>+G211-L211</f>
        <v>96073.13</v>
      </c>
    </row>
    <row r="212" spans="1:13" ht="18.75" x14ac:dyDescent="0.3">
      <c r="A212" s="1027" t="s">
        <v>1709</v>
      </c>
      <c r="B212" s="950" t="s">
        <v>807</v>
      </c>
      <c r="C212" s="1024" t="s">
        <v>417</v>
      </c>
      <c r="D212" s="960" t="s">
        <v>1069</v>
      </c>
      <c r="E212" s="951">
        <v>80000</v>
      </c>
      <c r="F212" s="974">
        <v>0</v>
      </c>
      <c r="G212" s="951">
        <v>80000</v>
      </c>
      <c r="H212" s="951">
        <v>2296</v>
      </c>
      <c r="I212" s="1198">
        <v>6564.09</v>
      </c>
      <c r="J212" s="951">
        <v>2432</v>
      </c>
      <c r="K212" s="951">
        <v>4158.92</v>
      </c>
      <c r="L212" s="1032">
        <f>+H212+I212+J212+K212</f>
        <v>15451.01</v>
      </c>
      <c r="M212" s="1031">
        <f>+G212-L212</f>
        <v>64548.99</v>
      </c>
    </row>
    <row r="213" spans="1:13" ht="18.75" x14ac:dyDescent="0.3">
      <c r="A213" s="1027" t="s">
        <v>1713</v>
      </c>
      <c r="B213" s="950" t="s">
        <v>807</v>
      </c>
      <c r="C213" s="1024" t="s">
        <v>276</v>
      </c>
      <c r="D213" s="960" t="s">
        <v>307</v>
      </c>
      <c r="E213" s="951">
        <v>37500</v>
      </c>
      <c r="F213" s="974">
        <v>0</v>
      </c>
      <c r="G213" s="1032">
        <v>37500</v>
      </c>
      <c r="H213" s="951">
        <v>1076.25</v>
      </c>
      <c r="I213" s="1197">
        <v>89.81</v>
      </c>
      <c r="J213" s="951">
        <v>1140</v>
      </c>
      <c r="K213" s="951">
        <v>25</v>
      </c>
      <c r="L213" s="1032">
        <f>+H213+I213+J213+K213</f>
        <v>2331.06</v>
      </c>
      <c r="M213" s="1032">
        <f>+G213-L213</f>
        <v>35168.94</v>
      </c>
    </row>
    <row r="214" spans="1:13" ht="18.75" x14ac:dyDescent="0.3">
      <c r="A214" s="1027" t="s">
        <v>1329</v>
      </c>
      <c r="B214" s="950" t="s">
        <v>1330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197">
        <v>936.62</v>
      </c>
      <c r="J214" s="951">
        <v>1322.4</v>
      </c>
      <c r="K214" s="951">
        <v>25</v>
      </c>
      <c r="L214" s="1032">
        <f>+H214+I214+J214+K214</f>
        <v>3532.4700000000003</v>
      </c>
      <c r="M214" s="1032">
        <f>+G214-L214</f>
        <v>39967.53</v>
      </c>
    </row>
    <row r="215" spans="1:13" ht="18.75" x14ac:dyDescent="0.3">
      <c r="A215" s="1027" t="s">
        <v>1716</v>
      </c>
      <c r="B215" s="950" t="s">
        <v>806</v>
      </c>
      <c r="C215" s="1024" t="s">
        <v>1325</v>
      </c>
      <c r="D215" s="960" t="s">
        <v>307</v>
      </c>
      <c r="E215" s="951">
        <v>43500</v>
      </c>
      <c r="F215" s="974">
        <v>0</v>
      </c>
      <c r="G215" s="1032">
        <v>43500</v>
      </c>
      <c r="H215" s="951">
        <v>1248.45</v>
      </c>
      <c r="I215" s="1036">
        <v>936.62</v>
      </c>
      <c r="J215" s="951">
        <v>1322.4</v>
      </c>
      <c r="K215" s="951">
        <v>25</v>
      </c>
      <c r="L215" s="1032">
        <v>3532.4700000000003</v>
      </c>
      <c r="M215" s="1032">
        <v>39967.53</v>
      </c>
    </row>
    <row r="216" spans="1:13" ht="18.75" x14ac:dyDescent="0.3">
      <c r="A216" s="1027" t="s">
        <v>698</v>
      </c>
      <c r="B216" s="950" t="s">
        <v>807</v>
      </c>
      <c r="C216" s="1024" t="s">
        <v>105</v>
      </c>
      <c r="D216" s="960" t="s">
        <v>1067</v>
      </c>
      <c r="E216" s="951">
        <v>25000</v>
      </c>
      <c r="F216" s="974">
        <v>0</v>
      </c>
      <c r="G216" s="1032">
        <v>25000</v>
      </c>
      <c r="H216" s="951">
        <v>717.5</v>
      </c>
      <c r="I216" s="1197">
        <v>0</v>
      </c>
      <c r="J216" s="951">
        <v>760</v>
      </c>
      <c r="K216" s="951">
        <v>25</v>
      </c>
      <c r="L216" s="1032">
        <f>+H216+I216+J216+K216</f>
        <v>1502.5</v>
      </c>
      <c r="M216" s="1032">
        <f>+G216-L216</f>
        <v>23497.5</v>
      </c>
    </row>
    <row r="217" spans="1:13" ht="18.75" x14ac:dyDescent="0.3">
      <c r="A217" s="1027" t="s">
        <v>1725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>+H217+I217+J217+K217</f>
        <v>3907</v>
      </c>
      <c r="M217" s="1032">
        <f>+G217-L217</f>
        <v>26093</v>
      </c>
    </row>
    <row r="218" spans="1:13" ht="17.25" customHeight="1" x14ac:dyDescent="0.3">
      <c r="A218" s="1027" t="s">
        <v>1727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>+H218+I218+J218+K218</f>
        <v>1798</v>
      </c>
      <c r="M218" s="1032">
        <f>+G218-L218</f>
        <v>28202</v>
      </c>
    </row>
    <row r="219" spans="1:13" ht="18.75" x14ac:dyDescent="0.3">
      <c r="A219" s="1027" t="s">
        <v>1730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v>1798</v>
      </c>
      <c r="M219" s="1032">
        <f>+G219-L219</f>
        <v>28202</v>
      </c>
    </row>
    <row r="220" spans="1:13" ht="18.75" x14ac:dyDescent="0.3">
      <c r="A220" s="961" t="s">
        <v>847</v>
      </c>
      <c r="B220" s="950"/>
      <c r="C220" s="962">
        <v>9</v>
      </c>
      <c r="D220" s="960"/>
      <c r="E220" s="963">
        <f>SUM(E211:E219)</f>
        <v>439500</v>
      </c>
      <c r="F220" s="964">
        <v>0</v>
      </c>
      <c r="G220" s="963">
        <f>SUM(G211:G219)</f>
        <v>439500</v>
      </c>
      <c r="H220" s="963">
        <f t="shared" ref="H220:M220" si="48">SUM(H211:H219)</f>
        <v>12613.65</v>
      </c>
      <c r="I220" s="963">
        <f t="shared" si="48"/>
        <v>25337.01</v>
      </c>
      <c r="J220" s="963">
        <f t="shared" si="48"/>
        <v>13360.8</v>
      </c>
      <c r="K220" s="963">
        <f>SUM(K211:K219)</f>
        <v>6467.92</v>
      </c>
      <c r="L220" s="963">
        <f t="shared" si="48"/>
        <v>57779.38</v>
      </c>
      <c r="M220" s="963">
        <f t="shared" si="48"/>
        <v>381720.62</v>
      </c>
    </row>
    <row r="221" spans="1:13" ht="18.75" x14ac:dyDescent="0.3">
      <c r="A221" s="961"/>
      <c r="B221" s="950"/>
      <c r="C221" s="962"/>
      <c r="D221" s="960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961" t="s">
        <v>1775</v>
      </c>
      <c r="B222" s="950"/>
      <c r="C222" s="1026"/>
      <c r="D222" s="960"/>
      <c r="E222" s="951"/>
      <c r="F222" s="974"/>
      <c r="G222" s="1032"/>
      <c r="H222" s="951"/>
      <c r="I222" s="1197"/>
      <c r="J222" s="951"/>
      <c r="K222" s="951"/>
      <c r="L222" s="1032"/>
      <c r="M222" s="1032"/>
    </row>
    <row r="223" spans="1:13" ht="18.75" x14ac:dyDescent="0.3">
      <c r="A223" s="1027" t="s">
        <v>1712</v>
      </c>
      <c r="B223" s="950" t="s">
        <v>807</v>
      </c>
      <c r="C223" s="1024" t="s">
        <v>276</v>
      </c>
      <c r="D223" s="960" t="s">
        <v>307</v>
      </c>
      <c r="E223" s="951">
        <v>37500</v>
      </c>
      <c r="F223" s="974">
        <v>0</v>
      </c>
      <c r="G223" s="1032">
        <v>37500</v>
      </c>
      <c r="H223" s="951">
        <v>1076.25</v>
      </c>
      <c r="I223" s="1197">
        <v>89.81</v>
      </c>
      <c r="J223" s="951">
        <v>1140</v>
      </c>
      <c r="K223" s="951">
        <v>25</v>
      </c>
      <c r="L223" s="1032">
        <f>+H223+I223+J223+K223</f>
        <v>2331.06</v>
      </c>
      <c r="M223" s="1032">
        <f>+G223-L223</f>
        <v>35168.94</v>
      </c>
    </row>
    <row r="224" spans="1:13" ht="18.75" x14ac:dyDescent="0.3">
      <c r="A224" s="1027" t="s">
        <v>1715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f>+H224+I224+J224+K224</f>
        <v>3532.4700000000003</v>
      </c>
      <c r="M224" s="1032">
        <f>+G224-L224</f>
        <v>39967.53</v>
      </c>
    </row>
    <row r="225" spans="1:13" ht="18.75" x14ac:dyDescent="0.3">
      <c r="A225" s="1027" t="s">
        <v>1336</v>
      </c>
      <c r="B225" s="950" t="s">
        <v>806</v>
      </c>
      <c r="C225" s="1024" t="s">
        <v>1325</v>
      </c>
      <c r="D225" s="960" t="s">
        <v>307</v>
      </c>
      <c r="E225" s="951">
        <v>43500</v>
      </c>
      <c r="F225" s="974">
        <v>0</v>
      </c>
      <c r="G225" s="1032">
        <v>43500</v>
      </c>
      <c r="H225" s="951">
        <v>1248.45</v>
      </c>
      <c r="I225" s="1197">
        <v>936.62</v>
      </c>
      <c r="J225" s="951">
        <v>1322.4</v>
      </c>
      <c r="K225" s="951">
        <v>25</v>
      </c>
      <c r="L225" s="1032">
        <v>3532.4700000000003</v>
      </c>
      <c r="M225" s="1032">
        <v>39967.53</v>
      </c>
    </row>
    <row r="226" spans="1:13" ht="18.75" x14ac:dyDescent="0.3">
      <c r="A226" s="1027" t="s">
        <v>1719</v>
      </c>
      <c r="B226" s="999" t="s">
        <v>807</v>
      </c>
      <c r="C226" s="1024" t="s">
        <v>105</v>
      </c>
      <c r="D226" s="960" t="s">
        <v>1067</v>
      </c>
      <c r="E226" s="951">
        <v>25000</v>
      </c>
      <c r="F226" s="974">
        <v>0</v>
      </c>
      <c r="G226" s="1032">
        <v>25000</v>
      </c>
      <c r="H226" s="951">
        <v>717.5</v>
      </c>
      <c r="I226" s="1197">
        <v>0</v>
      </c>
      <c r="J226" s="951">
        <v>760</v>
      </c>
      <c r="K226" s="951">
        <v>25</v>
      </c>
      <c r="L226" s="1032">
        <f>+H226+I226+J226+K226</f>
        <v>1502.5</v>
      </c>
      <c r="M226" s="1032">
        <f>+G226-L226</f>
        <v>23497.5</v>
      </c>
    </row>
    <row r="227" spans="1:13" ht="18.75" x14ac:dyDescent="0.3">
      <c r="A227" s="1027" t="s">
        <v>1726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f>+H227+I227+J227+K227</f>
        <v>1798</v>
      </c>
      <c r="M227" s="1032">
        <f>+G227-L227</f>
        <v>28202</v>
      </c>
    </row>
    <row r="228" spans="1:13" ht="18.75" x14ac:dyDescent="0.3">
      <c r="A228" s="1027" t="s">
        <v>1728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1027" t="s">
        <v>1731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197">
        <v>0</v>
      </c>
      <c r="J229" s="951">
        <v>912</v>
      </c>
      <c r="K229" s="951">
        <v>25</v>
      </c>
      <c r="L229" s="1032">
        <v>1798</v>
      </c>
      <c r="M229" s="1032">
        <f>+G229-L229</f>
        <v>28202</v>
      </c>
    </row>
    <row r="230" spans="1:13" ht="18.75" x14ac:dyDescent="0.3">
      <c r="A230" s="961" t="s">
        <v>847</v>
      </c>
      <c r="B230" s="950"/>
      <c r="C230" s="962">
        <v>7</v>
      </c>
      <c r="D230" s="960"/>
      <c r="E230" s="963">
        <f>SUM(E223:E229)</f>
        <v>239500</v>
      </c>
      <c r="F230" s="964">
        <v>0</v>
      </c>
      <c r="G230" s="963">
        <f t="shared" ref="G230:M230" si="49">SUM(G223:G229)</f>
        <v>239500</v>
      </c>
      <c r="H230" s="963">
        <f t="shared" si="49"/>
        <v>6873.65</v>
      </c>
      <c r="I230" s="963">
        <f t="shared" si="49"/>
        <v>1963.0500000000002</v>
      </c>
      <c r="J230" s="963">
        <f t="shared" si="49"/>
        <v>7280.8</v>
      </c>
      <c r="K230" s="963">
        <f>SUM(K223:K229)</f>
        <v>175</v>
      </c>
      <c r="L230" s="963">
        <f t="shared" si="49"/>
        <v>16292.5</v>
      </c>
      <c r="M230" s="963">
        <f t="shared" si="49"/>
        <v>223207.5</v>
      </c>
    </row>
    <row r="231" spans="1:13" ht="18.75" x14ac:dyDescent="0.3">
      <c r="A231" s="961"/>
      <c r="B231" s="950"/>
      <c r="C231" s="962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961" t="s">
        <v>1776</v>
      </c>
      <c r="B232" s="950"/>
      <c r="C232" s="1026"/>
      <c r="D232" s="960"/>
      <c r="E232" s="951"/>
      <c r="F232" s="974"/>
      <c r="G232" s="1032"/>
      <c r="H232" s="951"/>
      <c r="I232" s="1197"/>
      <c r="J232" s="951"/>
      <c r="K232" s="951"/>
      <c r="L232" s="1032"/>
      <c r="M232" s="1032"/>
    </row>
    <row r="233" spans="1:13" ht="18.75" x14ac:dyDescent="0.3">
      <c r="A233" s="1027" t="s">
        <v>1711</v>
      </c>
      <c r="B233" s="950" t="s">
        <v>807</v>
      </c>
      <c r="C233" s="1024" t="s">
        <v>521</v>
      </c>
      <c r="D233" s="960" t="s">
        <v>307</v>
      </c>
      <c r="E233" s="951">
        <v>37500</v>
      </c>
      <c r="F233" s="974">
        <v>0</v>
      </c>
      <c r="G233" s="1032">
        <v>37500</v>
      </c>
      <c r="H233" s="951">
        <v>1076.25</v>
      </c>
      <c r="I233" s="1197">
        <v>89.81</v>
      </c>
      <c r="J233" s="951">
        <v>1140</v>
      </c>
      <c r="K233" s="951">
        <v>25</v>
      </c>
      <c r="L233" s="1032">
        <f>+H233+I233+J233+K233</f>
        <v>2331.06</v>
      </c>
      <c r="M233" s="1032">
        <f t="shared" ref="M233:M238" si="50">+G233-L233</f>
        <v>35168.94</v>
      </c>
    </row>
    <row r="234" spans="1:13" ht="18.75" x14ac:dyDescent="0.3">
      <c r="A234" s="1027" t="s">
        <v>1714</v>
      </c>
      <c r="B234" s="950" t="s">
        <v>807</v>
      </c>
      <c r="C234" s="1024" t="s">
        <v>276</v>
      </c>
      <c r="D234" s="960" t="s">
        <v>307</v>
      </c>
      <c r="E234" s="951">
        <v>43500</v>
      </c>
      <c r="F234" s="974">
        <v>0</v>
      </c>
      <c r="G234" s="1032">
        <v>43500</v>
      </c>
      <c r="H234" s="951">
        <v>1248.45</v>
      </c>
      <c r="I234" s="1197">
        <v>936.62</v>
      </c>
      <c r="J234" s="951">
        <v>1322.4</v>
      </c>
      <c r="K234" s="951">
        <v>25</v>
      </c>
      <c r="L234" s="1032">
        <f>+H234+I234+J234+K234</f>
        <v>3532.4700000000003</v>
      </c>
      <c r="M234" s="1032">
        <f t="shared" si="50"/>
        <v>39967.53</v>
      </c>
    </row>
    <row r="235" spans="1:13" ht="18.75" x14ac:dyDescent="0.3">
      <c r="A235" s="1027" t="s">
        <v>1440</v>
      </c>
      <c r="B235" s="950" t="s">
        <v>807</v>
      </c>
      <c r="C235" s="1024" t="s">
        <v>276</v>
      </c>
      <c r="D235" s="960" t="s">
        <v>307</v>
      </c>
      <c r="E235" s="951">
        <v>37500</v>
      </c>
      <c r="F235" s="974">
        <v>0</v>
      </c>
      <c r="G235" s="1032">
        <v>37500</v>
      </c>
      <c r="H235" s="951">
        <v>1076.25</v>
      </c>
      <c r="I235" s="1197">
        <v>89.81</v>
      </c>
      <c r="J235" s="951">
        <v>1140</v>
      </c>
      <c r="K235" s="951">
        <v>25</v>
      </c>
      <c r="L235" s="1032">
        <v>2331.06</v>
      </c>
      <c r="M235" s="1032">
        <f t="shared" si="50"/>
        <v>35168.94</v>
      </c>
    </row>
    <row r="236" spans="1:13" ht="18.75" x14ac:dyDescent="0.3">
      <c r="A236" s="1027" t="s">
        <v>1720</v>
      </c>
      <c r="B236" s="999" t="s">
        <v>807</v>
      </c>
      <c r="C236" s="1024" t="s">
        <v>105</v>
      </c>
      <c r="D236" s="960" t="s">
        <v>1067</v>
      </c>
      <c r="E236" s="951">
        <v>25000</v>
      </c>
      <c r="F236" s="974">
        <v>0</v>
      </c>
      <c r="G236" s="1032">
        <v>25000</v>
      </c>
      <c r="H236" s="951">
        <v>717.5</v>
      </c>
      <c r="I236" s="1197">
        <v>0</v>
      </c>
      <c r="J236" s="951">
        <v>760</v>
      </c>
      <c r="K236" s="951">
        <v>25</v>
      </c>
      <c r="L236" s="1032">
        <f>+H236+I236+J236+K236</f>
        <v>1502.5</v>
      </c>
      <c r="M236" s="1032">
        <f t="shared" si="50"/>
        <v>23497.5</v>
      </c>
    </row>
    <row r="237" spans="1:13" ht="18.75" x14ac:dyDescent="0.3">
      <c r="A237" s="1024" t="s">
        <v>1056</v>
      </c>
      <c r="B237" s="950" t="s">
        <v>806</v>
      </c>
      <c r="C237" s="1026" t="s">
        <v>92</v>
      </c>
      <c r="D237" s="960" t="s">
        <v>1067</v>
      </c>
      <c r="E237" s="978">
        <v>30000</v>
      </c>
      <c r="F237" s="979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50"/>
        <v>28202</v>
      </c>
    </row>
    <row r="238" spans="1:13" ht="18.75" x14ac:dyDescent="0.3">
      <c r="A238" s="1027" t="s">
        <v>1724</v>
      </c>
      <c r="B238" s="950" t="s">
        <v>1296</v>
      </c>
      <c r="C238" s="1026" t="s">
        <v>92</v>
      </c>
      <c r="D238" s="960" t="s">
        <v>1067</v>
      </c>
      <c r="E238" s="951">
        <v>30000</v>
      </c>
      <c r="F238" s="974">
        <v>0</v>
      </c>
      <c r="G238" s="1032">
        <v>30000</v>
      </c>
      <c r="H238" s="951">
        <v>861</v>
      </c>
      <c r="I238" s="1197">
        <v>0</v>
      </c>
      <c r="J238" s="951">
        <v>912</v>
      </c>
      <c r="K238" s="951">
        <v>25</v>
      </c>
      <c r="L238" s="1032">
        <f>+H238+I238+J238+K238</f>
        <v>1798</v>
      </c>
      <c r="M238" s="1032">
        <f t="shared" si="50"/>
        <v>28202</v>
      </c>
    </row>
    <row r="239" spans="1:13" ht="18.75" x14ac:dyDescent="0.3">
      <c r="A239" s="961" t="s">
        <v>847</v>
      </c>
      <c r="B239" s="950"/>
      <c r="C239" s="962">
        <v>6</v>
      </c>
      <c r="D239" s="960"/>
      <c r="E239" s="963">
        <f>SUM(E233:E238)</f>
        <v>203500</v>
      </c>
      <c r="F239" s="1071">
        <v>0</v>
      </c>
      <c r="G239" s="963">
        <f t="shared" ref="G239:M239" si="51">SUM(G233:G238)</f>
        <v>203500</v>
      </c>
      <c r="H239" s="963">
        <f t="shared" si="51"/>
        <v>5840.45</v>
      </c>
      <c r="I239" s="963">
        <f t="shared" si="51"/>
        <v>1116.24</v>
      </c>
      <c r="J239" s="963">
        <f t="shared" si="51"/>
        <v>6186.4</v>
      </c>
      <c r="K239" s="963">
        <f>SUM(K233:K238)</f>
        <v>150</v>
      </c>
      <c r="L239" s="963">
        <f t="shared" si="51"/>
        <v>13293.09</v>
      </c>
      <c r="M239" s="963">
        <f t="shared" si="51"/>
        <v>190206.91</v>
      </c>
    </row>
    <row r="240" spans="1:13" ht="18.75" x14ac:dyDescent="0.3">
      <c r="A240" s="961"/>
      <c r="B240" s="950"/>
      <c r="C240" s="962"/>
      <c r="D240" s="960"/>
      <c r="E240" s="963">
        <f>+E208+E220+E230+E239</f>
        <v>1628000</v>
      </c>
      <c r="F240" s="964">
        <v>0</v>
      </c>
      <c r="G240" s="963">
        <f t="shared" ref="G240:M240" si="52">+G208+G220+G230+G239</f>
        <v>1628000</v>
      </c>
      <c r="H240" s="963">
        <f>+H208+H220+H230+H239</f>
        <v>46723.6</v>
      </c>
      <c r="I240" s="963">
        <f>+I208+I220+I230+I239</f>
        <v>75362.440000000017</v>
      </c>
      <c r="J240" s="963">
        <f t="shared" si="52"/>
        <v>49491.200000000004</v>
      </c>
      <c r="K240" s="963">
        <f>+K208+K220+K230+K239</f>
        <v>14361.5</v>
      </c>
      <c r="L240" s="963">
        <f t="shared" si="52"/>
        <v>185938.74</v>
      </c>
      <c r="M240" s="963">
        <f t="shared" si="52"/>
        <v>1442061.26</v>
      </c>
    </row>
    <row r="241" spans="1:13" ht="18.75" x14ac:dyDescent="0.3">
      <c r="A241" s="961"/>
      <c r="B241" s="958"/>
      <c r="C241" s="962"/>
      <c r="D241" s="962"/>
      <c r="E241" s="963"/>
      <c r="F241" s="964"/>
      <c r="G241" s="965"/>
      <c r="H241" s="965"/>
      <c r="I241" s="966"/>
      <c r="J241" s="963"/>
      <c r="K241" s="963"/>
      <c r="L241" s="963"/>
      <c r="M241" s="965"/>
    </row>
    <row r="242" spans="1:13" ht="27.75" customHeight="1" x14ac:dyDescent="0.3">
      <c r="A242" s="1058" t="s">
        <v>865</v>
      </c>
      <c r="B242" s="1059"/>
      <c r="C242" s="1058">
        <f>+C220+C190+C182+C170+C165+C161+C155+C151+C146+C139+C132+C124+C116+C112+C101++C92+C79+C63+C57+C48+C43+C39+C25+C96+C106+C32+C128+C239+C230+C208+C174</f>
        <v>127</v>
      </c>
      <c r="D242" s="1058"/>
      <c r="E242" s="1076">
        <f>+E25+E32+E39+E43+E48+E57+E63+E79+E92+E96+E101+E106+E112+E116+E124+E128+E132+E139+E146+E151+E155+E161+E165+E170+E174+E182+E190+E208+E220+E230+E239</f>
        <v>6694000</v>
      </c>
      <c r="F242" s="1072">
        <v>0</v>
      </c>
      <c r="G242" s="1076">
        <f t="shared" ref="G242:M242" si="53">+G25+G32+G39+G43+G48+G57+G63+G79+G92+G96+G101+G106+G112+G116+G124+G128+G132+G139+G146+G151+G155+G161+G165+G170+G174+G182+G190+G208+G220+G230+G239</f>
        <v>6694000</v>
      </c>
      <c r="H242" s="1076">
        <f t="shared" si="53"/>
        <v>192117.8</v>
      </c>
      <c r="I242" s="1076">
        <f t="shared" si="53"/>
        <v>429465.74999999994</v>
      </c>
      <c r="J242" s="1076">
        <f t="shared" si="53"/>
        <v>202182.73999999993</v>
      </c>
      <c r="K242" s="1076">
        <f>+K239+K230+K220+K208++K190+K182++K174+K170+K165+K161+K155+K151+K146+K139+K132+K128+K124+K116+K112+K106+K101+K96+K92+K79+K63+K57+K48+K43+K39+K32+K25</f>
        <v>139802.70000000001</v>
      </c>
      <c r="L242" s="1076">
        <f t="shared" si="53"/>
        <v>963568.99</v>
      </c>
      <c r="M242" s="1076">
        <f t="shared" si="53"/>
        <v>5730431.0099999998</v>
      </c>
    </row>
    <row r="243" spans="1:13" ht="15.75" x14ac:dyDescent="0.25">
      <c r="A243" s="853"/>
      <c r="B243" s="871"/>
      <c r="C243" s="853"/>
      <c r="D243" s="853"/>
      <c r="E243" s="213"/>
      <c r="F243" s="853"/>
      <c r="G243" s="271"/>
      <c r="H243" s="271"/>
      <c r="I243" s="271"/>
      <c r="J243" s="213"/>
      <c r="K243" s="1324"/>
      <c r="L243" s="213"/>
      <c r="M243" s="271"/>
    </row>
    <row r="244" spans="1:13" ht="14.25" customHeight="1" x14ac:dyDescent="0.25">
      <c r="A244" s="853"/>
      <c r="B244" s="871"/>
      <c r="C244" s="853"/>
      <c r="D244" s="853"/>
      <c r="E244" s="213"/>
      <c r="F244" s="853"/>
      <c r="G244" s="1022"/>
      <c r="H244" s="1022"/>
      <c r="I244" s="1022"/>
      <c r="J244" s="1022"/>
      <c r="K244" s="1093"/>
      <c r="L244" s="1022"/>
      <c r="M244" s="1022"/>
    </row>
    <row r="245" spans="1:13" ht="15.75" x14ac:dyDescent="0.25">
      <c r="A245" s="853"/>
      <c r="B245" s="871"/>
      <c r="C245" s="853"/>
      <c r="D245" s="853"/>
      <c r="E245" s="1093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D247" s="1244"/>
      <c r="E247" s="869"/>
      <c r="F247" s="853"/>
      <c r="G247" s="853"/>
      <c r="H247" s="853"/>
      <c r="I247" s="1073"/>
      <c r="J247" s="1093"/>
      <c r="K247" s="1093"/>
      <c r="L247" s="1093"/>
      <c r="M247" s="1022"/>
    </row>
    <row r="248" spans="1:13" ht="15.75" x14ac:dyDescent="0.25">
      <c r="A248" s="853"/>
      <c r="B248" s="871"/>
      <c r="C248" s="1022"/>
      <c r="E248" s="869"/>
      <c r="F248" s="853"/>
      <c r="G248" s="853"/>
      <c r="H248" s="853"/>
      <c r="I248" s="1022"/>
      <c r="J248" s="1093"/>
      <c r="K248" s="1093"/>
      <c r="L248" s="1093"/>
      <c r="M248" s="1022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32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7.25" customHeight="1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53"/>
      <c r="I257" s="853"/>
      <c r="J257" s="869"/>
      <c r="K257" s="869"/>
      <c r="L257" s="869"/>
      <c r="M257" s="853"/>
    </row>
    <row r="258" spans="1:14" ht="15.75" x14ac:dyDescent="0.25">
      <c r="A258" s="873"/>
      <c r="B258" s="874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3"/>
      <c r="B259" s="871"/>
      <c r="C259" s="873"/>
      <c r="D259" s="873"/>
      <c r="E259" s="875"/>
      <c r="F259" s="873"/>
      <c r="G259" s="873"/>
      <c r="H259" s="873"/>
      <c r="I259" s="873"/>
      <c r="J259" s="1094"/>
      <c r="K259" s="1094"/>
      <c r="L259" s="1094"/>
      <c r="M259" s="873"/>
    </row>
    <row r="260" spans="1:14" ht="15.75" x14ac:dyDescent="0.25">
      <c r="A260" s="871"/>
      <c r="B260" s="871"/>
      <c r="C260" s="871"/>
      <c r="D260" s="871"/>
      <c r="E260" s="876"/>
      <c r="F260" s="877"/>
      <c r="G260" s="878"/>
      <c r="H260" s="879"/>
      <c r="I260" s="1200"/>
      <c r="J260" s="1095"/>
      <c r="K260" s="1095"/>
      <c r="L260" s="1095"/>
      <c r="M260" s="880"/>
    </row>
    <row r="261" spans="1:14" ht="15.75" x14ac:dyDescent="0.25">
      <c r="A261" s="1703" t="s">
        <v>1271</v>
      </c>
      <c r="B261" s="1703"/>
      <c r="C261" s="874"/>
      <c r="D261" s="874"/>
      <c r="E261" s="875"/>
      <c r="F261" s="873"/>
      <c r="G261" s="873"/>
      <c r="H261" s="1683" t="s">
        <v>852</v>
      </c>
      <c r="I261" s="1683"/>
      <c r="J261" s="1683"/>
      <c r="K261" s="1683"/>
      <c r="L261" s="1683"/>
      <c r="M261" s="1683"/>
    </row>
    <row r="262" spans="1:14" ht="15.75" x14ac:dyDescent="0.25">
      <c r="A262" s="930" t="s">
        <v>1376</v>
      </c>
      <c r="B262" s="871"/>
      <c r="C262" s="871"/>
      <c r="D262" s="871"/>
      <c r="E262" s="875"/>
      <c r="F262" s="873"/>
      <c r="H262" s="622"/>
      <c r="I262" s="1684" t="s">
        <v>1504</v>
      </c>
      <c r="J262" s="1684"/>
      <c r="K262" s="1684"/>
      <c r="L262" s="1684"/>
      <c r="M262" s="622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80.7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99.5" customHeight="1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928"/>
      <c r="I275" s="928"/>
      <c r="J275" s="519"/>
      <c r="K275" s="519"/>
      <c r="L275" s="519"/>
      <c r="M275" s="928"/>
      <c r="N275" s="537"/>
    </row>
    <row r="276" spans="1:14" ht="15.75" x14ac:dyDescent="0.25">
      <c r="A276" s="874"/>
      <c r="B276" s="851"/>
      <c r="C276" s="874"/>
      <c r="D276" s="874"/>
      <c r="E276" s="883"/>
      <c r="F276" s="874"/>
      <c r="G276" s="884"/>
      <c r="H276" s="882"/>
      <c r="I276" s="873"/>
      <c r="J276" s="1096"/>
      <c r="K276" s="1096"/>
      <c r="L276" s="1096"/>
      <c r="M276" s="885"/>
    </row>
  </sheetData>
  <mergeCells count="20">
    <mergeCell ref="M18:M19"/>
    <mergeCell ref="A261:B261"/>
    <mergeCell ref="H261:M261"/>
    <mergeCell ref="I262:L262"/>
    <mergeCell ref="G18:G19"/>
    <mergeCell ref="H18:H19"/>
    <mergeCell ref="I18:I19"/>
    <mergeCell ref="J18:J19"/>
    <mergeCell ref="K18:K19"/>
    <mergeCell ref="L18:L19"/>
    <mergeCell ref="A18:A19"/>
    <mergeCell ref="B18:B19"/>
    <mergeCell ref="C18:C19"/>
    <mergeCell ref="D18:D19"/>
    <mergeCell ref="F18:F19"/>
    <mergeCell ref="A12:M12"/>
    <mergeCell ref="A13:N13"/>
    <mergeCell ref="A14:M14"/>
    <mergeCell ref="A15:M15"/>
    <mergeCell ref="A16:M16"/>
  </mergeCells>
  <pageMargins left="0.45" right="0.23622047244094491" top="0.12" bottom="0" header="0.11811023622047245" footer="0"/>
  <pageSetup paperSize="345" scale="37" fitToHeight="0" orientation="landscape" r:id="rId1"/>
  <rowBreaks count="3" manualBreakCount="3">
    <brk id="79" max="12" man="1"/>
    <brk id="155" max="12" man="1"/>
    <brk id="231" max="12" man="1"/>
  </rowBreaks>
  <drawing r:id="rId2"/>
</worksheet>
</file>

<file path=xl/worksheets/sheet3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BDC517-6F21-4D87-965A-FE2F967D0857}">
  <dimension ref="A1:Q199"/>
  <sheetViews>
    <sheetView zoomScaleNormal="100" zoomScaleSheetLayoutView="89" workbookViewId="0">
      <pane ySplit="12" topLeftCell="A13" activePane="bottomLeft" state="frozen"/>
      <selection pane="bottomLeft" activeCell="D182" sqref="D182"/>
    </sheetView>
  </sheetViews>
  <sheetFormatPr baseColWidth="10" defaultRowHeight="15" x14ac:dyDescent="0.25"/>
  <cols>
    <col min="1" max="1" width="4.140625" style="259" customWidth="1"/>
    <col min="2" max="2" width="54.42578125" customWidth="1"/>
    <col min="3" max="3" width="9.7109375" style="1229" customWidth="1"/>
    <col min="4" max="4" width="41.8554687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556" t="s">
        <v>1502</v>
      </c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  <c r="P5" s="1556"/>
    </row>
    <row r="6" spans="1:16" x14ac:dyDescent="0.25">
      <c r="B6" s="1556" t="s">
        <v>1</v>
      </c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  <c r="P6" s="1556"/>
    </row>
    <row r="7" spans="1:16" x14ac:dyDescent="0.25">
      <c r="B7" s="1556" t="s">
        <v>3</v>
      </c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  <c r="P7" s="1556"/>
    </row>
    <row r="8" spans="1:16" x14ac:dyDescent="0.25">
      <c r="B8" s="1556" t="s">
        <v>1769</v>
      </c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  <c r="P8" s="1556"/>
    </row>
    <row r="9" spans="1:16" x14ac:dyDescent="0.25">
      <c r="B9" s="1634" t="s">
        <v>441</v>
      </c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  <c r="P9" s="1634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709" t="s">
        <v>7</v>
      </c>
      <c r="C11" s="1709" t="s">
        <v>937</v>
      </c>
      <c r="D11" s="1712" t="s">
        <v>10</v>
      </c>
      <c r="E11" s="1709" t="s">
        <v>832</v>
      </c>
      <c r="F11" s="1709" t="s">
        <v>834</v>
      </c>
      <c r="G11" s="1709" t="s">
        <v>209</v>
      </c>
      <c r="H11" s="1051" t="s">
        <v>12</v>
      </c>
      <c r="I11" s="1711" t="s">
        <v>13</v>
      </c>
      <c r="J11" s="1710" t="s">
        <v>14</v>
      </c>
      <c r="K11" s="1710" t="s">
        <v>15</v>
      </c>
      <c r="L11" s="1710" t="s">
        <v>16</v>
      </c>
      <c r="M11" s="1722" t="s">
        <v>17</v>
      </c>
      <c r="N11" s="1722" t="s">
        <v>18</v>
      </c>
      <c r="O11" s="1722" t="s">
        <v>19</v>
      </c>
      <c r="P11" s="1710" t="s">
        <v>20</v>
      </c>
    </row>
    <row r="12" spans="1:16" x14ac:dyDescent="0.25">
      <c r="A12" s="1378"/>
      <c r="B12" s="1709"/>
      <c r="C12" s="1709"/>
      <c r="D12" s="1712"/>
      <c r="E12" s="1709"/>
      <c r="F12" s="1709"/>
      <c r="G12" s="1709"/>
      <c r="H12" s="1051" t="s">
        <v>21</v>
      </c>
      <c r="I12" s="1711"/>
      <c r="J12" s="1710"/>
      <c r="K12" s="1710"/>
      <c r="L12" s="1710"/>
      <c r="M12" s="1722"/>
      <c r="N12" s="1722"/>
      <c r="O12" s="1722"/>
      <c r="P12" s="1710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1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697"/>
      <c r="P22" s="463"/>
    </row>
    <row r="23" spans="1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68">
        <v>32756.62</v>
      </c>
      <c r="P23" s="457">
        <v>117243.38</v>
      </c>
    </row>
    <row r="24" spans="1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68">
        <f>+K24+L24+M24+N24</f>
        <v>21945.98</v>
      </c>
      <c r="P24" s="457">
        <f>+J24-O24</f>
        <v>48054.020000000004</v>
      </c>
    </row>
    <row r="25" spans="1:16" ht="21" customHeight="1" x14ac:dyDescent="0.25">
      <c r="B25" s="496" t="s">
        <v>1652</v>
      </c>
      <c r="C25" s="497" t="s">
        <v>806</v>
      </c>
      <c r="D25" s="282" t="s">
        <v>1180</v>
      </c>
      <c r="E25" s="281" t="s">
        <v>1063</v>
      </c>
      <c r="F25" s="855">
        <v>45839</v>
      </c>
      <c r="G25" s="855">
        <v>45992</v>
      </c>
      <c r="H25" s="626">
        <v>60000</v>
      </c>
      <c r="I25" s="1111">
        <v>0</v>
      </c>
      <c r="J25" s="457">
        <v>60000</v>
      </c>
      <c r="K25" s="457">
        <v>1722</v>
      </c>
      <c r="L25" s="457">
        <v>3486.68</v>
      </c>
      <c r="M25" s="1149">
        <v>1824</v>
      </c>
      <c r="N25" s="468">
        <v>1296.7</v>
      </c>
      <c r="O25" s="468">
        <f>SUM(K25:N25)</f>
        <v>8329.380000000001</v>
      </c>
      <c r="P25" s="457">
        <f>+H25-O25</f>
        <v>51670.619999999995</v>
      </c>
    </row>
    <row r="26" spans="1:16" ht="21" customHeight="1" x14ac:dyDescent="0.25">
      <c r="B26" s="466" t="s">
        <v>813</v>
      </c>
      <c r="C26" s="569"/>
      <c r="D26" s="492">
        <v>3</v>
      </c>
      <c r="E26" s="281"/>
      <c r="F26" s="1019"/>
      <c r="G26" s="857"/>
      <c r="H26" s="1145">
        <f>SUM(H23:H25)</f>
        <v>280000</v>
      </c>
      <c r="I26" s="1112">
        <v>0</v>
      </c>
      <c r="J26" s="1145">
        <f t="shared" ref="J26:P26" si="2">SUM(J23:J25)</f>
        <v>280000</v>
      </c>
      <c r="K26" s="1145">
        <f t="shared" si="2"/>
        <v>8036</v>
      </c>
      <c r="L26" s="1145">
        <f t="shared" si="2"/>
        <v>32721.78</v>
      </c>
      <c r="M26" s="1145">
        <f t="shared" si="2"/>
        <v>8512</v>
      </c>
      <c r="N26" s="1145">
        <f t="shared" si="2"/>
        <v>13762.2</v>
      </c>
      <c r="O26" s="1145">
        <f t="shared" si="2"/>
        <v>63031.979999999996</v>
      </c>
      <c r="P26" s="1145">
        <f t="shared" si="2"/>
        <v>216968.02000000002</v>
      </c>
    </row>
    <row r="27" spans="1:16" ht="21" customHeight="1" x14ac:dyDescent="0.25">
      <c r="B27" s="490"/>
      <c r="C27" s="1223"/>
      <c r="D27" s="492"/>
      <c r="E27" s="465"/>
      <c r="F27" s="856"/>
      <c r="G27" s="857"/>
      <c r="H27" s="695"/>
      <c r="I27" s="1112"/>
      <c r="J27" s="494"/>
      <c r="K27" s="494"/>
      <c r="L27" s="494"/>
      <c r="M27" s="1145"/>
      <c r="N27" s="695"/>
      <c r="O27" s="695"/>
      <c r="P27" s="494"/>
    </row>
    <row r="28" spans="1:16" ht="21" customHeight="1" x14ac:dyDescent="0.25">
      <c r="B28" s="490" t="s">
        <v>838</v>
      </c>
      <c r="C28" s="1223"/>
      <c r="D28" s="492"/>
      <c r="E28" s="465"/>
      <c r="F28" s="858"/>
      <c r="G28" s="855"/>
      <c r="H28" s="697"/>
      <c r="I28" s="1112"/>
      <c r="J28" s="463"/>
      <c r="K28" s="463"/>
      <c r="L28" s="463"/>
      <c r="M28" s="1145"/>
      <c r="N28" s="697"/>
      <c r="O28" s="697"/>
      <c r="P28" s="463"/>
    </row>
    <row r="29" spans="1:16" ht="27" customHeight="1" x14ac:dyDescent="0.25">
      <c r="B29" s="496" t="s">
        <v>1579</v>
      </c>
      <c r="C29" s="497" t="s">
        <v>806</v>
      </c>
      <c r="D29" s="282" t="s">
        <v>1540</v>
      </c>
      <c r="E29" s="281" t="s">
        <v>1063</v>
      </c>
      <c r="F29" s="855">
        <v>45748</v>
      </c>
      <c r="G29" s="855">
        <v>45901</v>
      </c>
      <c r="H29" s="626">
        <v>115000</v>
      </c>
      <c r="I29" s="1111">
        <v>0</v>
      </c>
      <c r="J29" s="457">
        <v>115000</v>
      </c>
      <c r="K29" s="457">
        <v>3300.5</v>
      </c>
      <c r="L29" s="457">
        <v>15633.74</v>
      </c>
      <c r="M29" s="1149">
        <v>3496</v>
      </c>
      <c r="N29" s="468">
        <v>2568.4</v>
      </c>
      <c r="O29" s="468">
        <f>+K29+L29+M29+N29</f>
        <v>24998.639999999999</v>
      </c>
      <c r="P29" s="457">
        <f>+J29-O29</f>
        <v>90001.36</v>
      </c>
    </row>
    <row r="30" spans="1:16" ht="21" customHeight="1" x14ac:dyDescent="0.25">
      <c r="B30" s="466" t="s">
        <v>813</v>
      </c>
      <c r="C30" s="569"/>
      <c r="D30" s="492">
        <v>1</v>
      </c>
      <c r="E30" s="465"/>
      <c r="F30" s="500"/>
      <c r="G30" s="855"/>
      <c r="H30" s="695">
        <f>SUM(H29)</f>
        <v>115000</v>
      </c>
      <c r="I30" s="1112">
        <v>0</v>
      </c>
      <c r="J30" s="695">
        <f t="shared" ref="J30:P30" si="3">SUM(J29)</f>
        <v>115000</v>
      </c>
      <c r="K30" s="695">
        <f t="shared" si="3"/>
        <v>3300.5</v>
      </c>
      <c r="L30" s="695">
        <f t="shared" si="3"/>
        <v>15633.74</v>
      </c>
      <c r="M30" s="695">
        <f t="shared" si="3"/>
        <v>3496</v>
      </c>
      <c r="N30" s="695">
        <f t="shared" si="3"/>
        <v>2568.4</v>
      </c>
      <c r="O30" s="695">
        <f t="shared" si="3"/>
        <v>24998.639999999999</v>
      </c>
      <c r="P30" s="695">
        <f t="shared" si="3"/>
        <v>90001.36</v>
      </c>
    </row>
    <row r="31" spans="1:16" ht="21" customHeight="1" x14ac:dyDescent="0.25">
      <c r="B31" s="466"/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ht="21" customHeight="1" x14ac:dyDescent="0.25">
      <c r="B32" s="466" t="s">
        <v>1492</v>
      </c>
      <c r="C32" s="569"/>
      <c r="D32" s="492"/>
      <c r="E32" s="465"/>
      <c r="F32" s="500"/>
      <c r="G32" s="855"/>
      <c r="H32" s="695"/>
      <c r="I32" s="1144"/>
      <c r="J32" s="695"/>
      <c r="K32" s="695"/>
      <c r="L32" s="695"/>
      <c r="M32" s="1145"/>
      <c r="N32" s="695"/>
      <c r="O32" s="695"/>
      <c r="P32" s="695"/>
    </row>
    <row r="33" spans="2:16" s="259" customFormat="1" ht="29.25" customHeight="1" x14ac:dyDescent="0.25">
      <c r="B33" s="275" t="s">
        <v>1580</v>
      </c>
      <c r="C33" s="1245" t="s">
        <v>806</v>
      </c>
      <c r="D33" s="1246" t="s">
        <v>1494</v>
      </c>
      <c r="E33" s="1247" t="s">
        <v>1063</v>
      </c>
      <c r="F33" s="1248">
        <v>45748</v>
      </c>
      <c r="G33" s="1248">
        <v>45901</v>
      </c>
      <c r="H33" s="1100">
        <v>90000</v>
      </c>
      <c r="I33" s="1249">
        <v>0</v>
      </c>
      <c r="J33" s="1100">
        <v>90000</v>
      </c>
      <c r="K33" s="1100">
        <v>2583</v>
      </c>
      <c r="L33" s="1100">
        <v>9753.1200000000008</v>
      </c>
      <c r="M33" s="1250">
        <v>2736</v>
      </c>
      <c r="N33" s="626">
        <v>2837</v>
      </c>
      <c r="O33" s="626">
        <f>SUM(K33:N33)</f>
        <v>17909.120000000003</v>
      </c>
      <c r="P33" s="1100">
        <f>+H33-O33</f>
        <v>72090.880000000005</v>
      </c>
    </row>
    <row r="34" spans="2:16" ht="21" customHeight="1" x14ac:dyDescent="0.25">
      <c r="B34" s="466" t="s">
        <v>813</v>
      </c>
      <c r="C34" s="569"/>
      <c r="D34" s="492">
        <v>1</v>
      </c>
      <c r="E34" s="465"/>
      <c r="F34" s="695"/>
      <c r="G34" s="696"/>
      <c r="H34" s="695">
        <v>90000</v>
      </c>
      <c r="I34" s="1144">
        <v>0</v>
      </c>
      <c r="J34" s="695">
        <v>90000</v>
      </c>
      <c r="K34" s="695">
        <v>2583</v>
      </c>
      <c r="L34" s="695">
        <v>9753.1200000000008</v>
      </c>
      <c r="M34" s="1145">
        <v>2736</v>
      </c>
      <c r="N34" s="695">
        <v>2837</v>
      </c>
      <c r="O34" s="695">
        <v>17909.12</v>
      </c>
      <c r="P34" s="1099">
        <f>+H34-O34</f>
        <v>72090.880000000005</v>
      </c>
    </row>
    <row r="35" spans="2:16" ht="21" customHeight="1" x14ac:dyDescent="0.25">
      <c r="B35" s="466"/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466" t="s">
        <v>1783</v>
      </c>
      <c r="C36" s="569"/>
      <c r="D36" s="492"/>
      <c r="E36" s="465"/>
      <c r="F36" s="695"/>
      <c r="G36" s="696"/>
      <c r="H36" s="695"/>
      <c r="I36" s="1144"/>
      <c r="J36" s="695"/>
      <c r="K36" s="695"/>
      <c r="L36" s="695"/>
      <c r="M36" s="1145"/>
      <c r="N36" s="695"/>
      <c r="O36" s="695"/>
      <c r="P36" s="695"/>
    </row>
    <row r="37" spans="2:16" ht="21" customHeight="1" x14ac:dyDescent="0.25">
      <c r="B37" s="275" t="s">
        <v>1654</v>
      </c>
      <c r="C37" s="124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5368.48</v>
      </c>
      <c r="M37" s="1149">
        <v>2128</v>
      </c>
      <c r="N37" s="626">
        <v>25</v>
      </c>
      <c r="O37" s="626">
        <f>SUM(K37:N37)</f>
        <v>9530.48</v>
      </c>
      <c r="P37" s="626">
        <f>+H37-O37</f>
        <v>60469.520000000004</v>
      </c>
    </row>
    <row r="38" spans="2:16" ht="21" customHeight="1" x14ac:dyDescent="0.25">
      <c r="B38" s="275" t="s">
        <v>875</v>
      </c>
      <c r="C38" s="1245" t="s">
        <v>807</v>
      </c>
      <c r="D38" s="1246" t="s">
        <v>1784</v>
      </c>
      <c r="E38" s="1247" t="s">
        <v>1063</v>
      </c>
      <c r="F38" s="855">
        <v>45839</v>
      </c>
      <c r="G38" s="855">
        <v>45992</v>
      </c>
      <c r="H38" s="626">
        <v>70000</v>
      </c>
      <c r="I38" s="1169">
        <v>0</v>
      </c>
      <c r="J38" s="626">
        <v>70000</v>
      </c>
      <c r="K38" s="626">
        <v>2009</v>
      </c>
      <c r="L38" s="626">
        <v>5368.48</v>
      </c>
      <c r="M38" s="1149">
        <v>2128</v>
      </c>
      <c r="N38" s="626">
        <v>2517.7399999999998</v>
      </c>
      <c r="O38" s="626">
        <f>SUM(K38:N38)</f>
        <v>12023.22</v>
      </c>
      <c r="P38" s="626">
        <f>+H38-O38</f>
        <v>57976.78</v>
      </c>
    </row>
    <row r="39" spans="2:16" ht="21" customHeight="1" x14ac:dyDescent="0.25">
      <c r="B39" s="460" t="s">
        <v>1785</v>
      </c>
      <c r="C39" s="685" t="s">
        <v>807</v>
      </c>
      <c r="D39" s="1246" t="s">
        <v>1784</v>
      </c>
      <c r="E39" s="1247" t="s">
        <v>1063</v>
      </c>
      <c r="F39" s="855">
        <v>45839</v>
      </c>
      <c r="G39" s="855">
        <v>45992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25</v>
      </c>
      <c r="O39" s="626">
        <f>SUM(K39:N39)</f>
        <v>9530.48</v>
      </c>
      <c r="P39" s="626">
        <f>+H39-O39</f>
        <v>60469.520000000004</v>
      </c>
    </row>
    <row r="40" spans="2:16" ht="21" customHeight="1" x14ac:dyDescent="0.25">
      <c r="B40" s="466" t="s">
        <v>813</v>
      </c>
      <c r="C40" s="569"/>
      <c r="D40" s="492">
        <v>3</v>
      </c>
      <c r="E40" s="465"/>
      <c r="F40" s="500"/>
      <c r="G40" s="855"/>
      <c r="H40" s="695">
        <f>SUM(H37:H39)</f>
        <v>210000</v>
      </c>
      <c r="I40" s="1253">
        <v>0</v>
      </c>
      <c r="J40" s="695">
        <f t="shared" ref="J40:P40" si="4">SUM(J37:J39)</f>
        <v>210000</v>
      </c>
      <c r="K40" s="695">
        <f t="shared" si="4"/>
        <v>6027</v>
      </c>
      <c r="L40" s="695">
        <f t="shared" si="4"/>
        <v>16105.439999999999</v>
      </c>
      <c r="M40" s="695">
        <f t="shared" si="4"/>
        <v>6384</v>
      </c>
      <c r="N40" s="695">
        <f t="shared" si="4"/>
        <v>2567.7399999999998</v>
      </c>
      <c r="O40" s="695">
        <f t="shared" si="4"/>
        <v>31084.179999999997</v>
      </c>
      <c r="P40" s="695">
        <f t="shared" si="4"/>
        <v>178915.82</v>
      </c>
    </row>
    <row r="41" spans="2:16" ht="21" customHeight="1" x14ac:dyDescent="0.25">
      <c r="B41" s="466"/>
      <c r="C41" s="569"/>
      <c r="D41" s="492"/>
      <c r="E41" s="465"/>
      <c r="F41" s="500"/>
      <c r="G41" s="855"/>
      <c r="H41" s="695"/>
      <c r="I41" s="695"/>
      <c r="J41" s="695"/>
      <c r="K41" s="695"/>
      <c r="L41" s="695"/>
      <c r="M41" s="695"/>
      <c r="N41" s="695"/>
      <c r="O41" s="695"/>
      <c r="P41" s="695"/>
    </row>
    <row r="42" spans="2:16" ht="21" customHeight="1" x14ac:dyDescent="0.25">
      <c r="B42" s="466" t="s">
        <v>1126</v>
      </c>
      <c r="C42" s="569"/>
      <c r="D42" s="492"/>
      <c r="E42" s="465"/>
      <c r="F42" s="695"/>
      <c r="G42" s="696"/>
      <c r="H42" s="695"/>
      <c r="I42" s="1145"/>
      <c r="J42" s="695"/>
      <c r="K42" s="695"/>
      <c r="L42" s="695"/>
      <c r="M42" s="1145"/>
      <c r="N42" s="695"/>
      <c r="O42" s="153"/>
      <c r="P42" s="153"/>
    </row>
    <row r="43" spans="2:16" s="259" customFormat="1" ht="21" customHeight="1" x14ac:dyDescent="0.25">
      <c r="B43" s="1251" t="s">
        <v>917</v>
      </c>
      <c r="C43" s="1252" t="s">
        <v>807</v>
      </c>
      <c r="D43" s="1246" t="s">
        <v>607</v>
      </c>
      <c r="E43" s="1247" t="s">
        <v>1063</v>
      </c>
      <c r="F43" s="1248">
        <v>45748</v>
      </c>
      <c r="G43" s="1248">
        <v>45901</v>
      </c>
      <c r="H43" s="1100">
        <v>80000</v>
      </c>
      <c r="I43" s="1249">
        <v>0</v>
      </c>
      <c r="J43" s="1100">
        <v>80000</v>
      </c>
      <c r="K43" s="1100">
        <v>2296</v>
      </c>
      <c r="L43" s="1103">
        <v>7400.87</v>
      </c>
      <c r="M43" s="1250">
        <v>2432</v>
      </c>
      <c r="N43" s="626">
        <v>8903.93</v>
      </c>
      <c r="O43" s="468">
        <f>SUM(K43:N43)</f>
        <v>21032.799999999999</v>
      </c>
      <c r="P43" s="675">
        <f>+J43-O43</f>
        <v>58967.199999999997</v>
      </c>
    </row>
    <row r="44" spans="2:16" s="259" customFormat="1" ht="21" customHeight="1" x14ac:dyDescent="0.25">
      <c r="B44" s="1251" t="s">
        <v>1674</v>
      </c>
      <c r="C44" s="1252" t="s">
        <v>807</v>
      </c>
      <c r="D44" s="1246" t="s">
        <v>607</v>
      </c>
      <c r="E44" s="1247" t="s">
        <v>1063</v>
      </c>
      <c r="F44" s="855">
        <v>45839</v>
      </c>
      <c r="G44" s="855">
        <v>45992</v>
      </c>
      <c r="H44" s="1100">
        <v>70000</v>
      </c>
      <c r="I44" s="1249">
        <v>0</v>
      </c>
      <c r="J44" s="1100">
        <v>70000</v>
      </c>
      <c r="K44" s="1100">
        <v>2009</v>
      </c>
      <c r="L44" s="1103">
        <v>5025.38</v>
      </c>
      <c r="M44" s="1250">
        <v>2128</v>
      </c>
      <c r="N44" s="626">
        <v>1740.46</v>
      </c>
      <c r="O44" s="468">
        <f>SUM(K44:N44)</f>
        <v>10902.84</v>
      </c>
      <c r="P44" s="675">
        <f>+H44-O44</f>
        <v>59097.16</v>
      </c>
    </row>
    <row r="45" spans="2:16" ht="21" customHeight="1" x14ac:dyDescent="0.25">
      <c r="B45" s="466" t="s">
        <v>813</v>
      </c>
      <c r="C45" s="569"/>
      <c r="D45" s="492">
        <v>2</v>
      </c>
      <c r="E45" s="465"/>
      <c r="F45" s="695"/>
      <c r="G45" s="696"/>
      <c r="H45" s="1099">
        <f>SUM(H43:H44)</f>
        <v>150000</v>
      </c>
      <c r="I45" s="1253">
        <v>0</v>
      </c>
      <c r="J45" s="1099">
        <f t="shared" ref="J45:P45" si="5">SUM(J43:J44)</f>
        <v>150000</v>
      </c>
      <c r="K45" s="1099">
        <f t="shared" si="5"/>
        <v>4305</v>
      </c>
      <c r="L45" s="1099">
        <f t="shared" si="5"/>
        <v>12426.25</v>
      </c>
      <c r="M45" s="1099">
        <f t="shared" si="5"/>
        <v>4560</v>
      </c>
      <c r="N45" s="695">
        <f t="shared" si="5"/>
        <v>10644.39</v>
      </c>
      <c r="O45" s="695">
        <f t="shared" si="5"/>
        <v>31935.64</v>
      </c>
      <c r="P45" s="1099">
        <f t="shared" si="5"/>
        <v>118064.36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1144"/>
      <c r="J46" s="695"/>
      <c r="K46" s="695"/>
      <c r="L46" s="695"/>
      <c r="M46" s="1145"/>
      <c r="N46" s="695"/>
      <c r="O46" s="695"/>
      <c r="P46" s="695"/>
    </row>
    <row r="47" spans="2:16" ht="21" customHeight="1" x14ac:dyDescent="0.25">
      <c r="B47" s="466" t="s">
        <v>1443</v>
      </c>
      <c r="C47" s="569"/>
      <c r="D47" s="492"/>
      <c r="E47" s="465"/>
      <c r="F47" s="500"/>
      <c r="G47" s="855"/>
      <c r="H47" s="695"/>
      <c r="I47" s="1144"/>
      <c r="J47" s="695"/>
      <c r="K47" s="695"/>
      <c r="L47" s="695"/>
      <c r="M47" s="1145"/>
      <c r="N47" s="695"/>
      <c r="O47" s="695"/>
      <c r="P47" s="695"/>
    </row>
    <row r="48" spans="2:16" s="259" customFormat="1" ht="21" customHeight="1" x14ac:dyDescent="0.25">
      <c r="B48" s="1251" t="s">
        <v>382</v>
      </c>
      <c r="C48" s="1252" t="s">
        <v>807</v>
      </c>
      <c r="D48" s="1246" t="s">
        <v>1749</v>
      </c>
      <c r="E48" s="1247" t="s">
        <v>1063</v>
      </c>
      <c r="F48" s="1248">
        <v>45809</v>
      </c>
      <c r="G48" s="1248">
        <v>45992</v>
      </c>
      <c r="H48" s="1100">
        <v>70000</v>
      </c>
      <c r="I48" s="1249">
        <v>0</v>
      </c>
      <c r="J48" s="1100">
        <v>70000</v>
      </c>
      <c r="K48" s="1100">
        <v>2009</v>
      </c>
      <c r="L48" s="1103">
        <v>5368.48</v>
      </c>
      <c r="M48" s="1250">
        <v>2128</v>
      </c>
      <c r="N48" s="626">
        <v>25</v>
      </c>
      <c r="O48" s="468">
        <f>+K48+L48+M48+N48</f>
        <v>9530.48</v>
      </c>
      <c r="P48" s="675">
        <f>+J48-O48</f>
        <v>60469.520000000004</v>
      </c>
    </row>
    <row r="49" spans="2:16" s="259" customFormat="1" ht="21" customHeight="1" x14ac:dyDescent="0.25">
      <c r="B49" s="466" t="s">
        <v>813</v>
      </c>
      <c r="C49" s="1252"/>
      <c r="D49" s="1325">
        <v>1</v>
      </c>
      <c r="E49" s="1247"/>
      <c r="F49" s="1248"/>
      <c r="G49" s="1248"/>
      <c r="H49" s="1099">
        <v>70000</v>
      </c>
      <c r="I49" s="1253">
        <v>0</v>
      </c>
      <c r="J49" s="1099">
        <v>70000</v>
      </c>
      <c r="K49" s="1099">
        <v>2009</v>
      </c>
      <c r="L49" s="1099">
        <v>5368.48</v>
      </c>
      <c r="M49" s="1099">
        <v>2128</v>
      </c>
      <c r="N49" s="695">
        <v>25</v>
      </c>
      <c r="O49" s="695">
        <f>SUM(K49:N49)</f>
        <v>9530.48</v>
      </c>
      <c r="P49" s="1099">
        <f>+H49-O49</f>
        <v>60469.520000000004</v>
      </c>
    </row>
    <row r="50" spans="2:16" ht="23.25" customHeight="1" x14ac:dyDescent="0.25">
      <c r="B50" s="466"/>
      <c r="C50" s="569"/>
      <c r="D50" s="492"/>
      <c r="E50" s="1247"/>
      <c r="F50" s="500"/>
      <c r="G50" s="855"/>
      <c r="H50" s="1099"/>
      <c r="I50" s="1253"/>
      <c r="J50" s="1099"/>
      <c r="K50" s="1099"/>
      <c r="L50" s="1099"/>
      <c r="M50" s="1099"/>
      <c r="N50" s="695"/>
      <c r="O50" s="695"/>
      <c r="P50" s="1099"/>
    </row>
    <row r="51" spans="2:16" ht="21" customHeight="1" x14ac:dyDescent="0.25">
      <c r="B51" s="466" t="s">
        <v>839</v>
      </c>
      <c r="C51" s="569"/>
      <c r="D51" s="492"/>
      <c r="E51" s="465"/>
      <c r="F51" s="500"/>
      <c r="G51" s="855"/>
      <c r="H51" s="695"/>
      <c r="I51" s="1144"/>
      <c r="J51" s="695"/>
      <c r="K51" s="695"/>
      <c r="L51" s="695"/>
      <c r="M51" s="1145"/>
      <c r="N51" s="695"/>
      <c r="O51" s="695"/>
      <c r="P51" s="695"/>
    </row>
    <row r="52" spans="2:16" ht="27.75" customHeight="1" x14ac:dyDescent="0.25">
      <c r="B52" s="286" t="s">
        <v>1581</v>
      </c>
      <c r="C52" s="685" t="s">
        <v>807</v>
      </c>
      <c r="D52" s="282" t="s">
        <v>1570</v>
      </c>
      <c r="E52" s="281" t="s">
        <v>1063</v>
      </c>
      <c r="F52" s="855">
        <v>45748</v>
      </c>
      <c r="G52" s="855">
        <v>45901</v>
      </c>
      <c r="H52" s="626">
        <v>150000</v>
      </c>
      <c r="I52" s="1169">
        <v>0</v>
      </c>
      <c r="J52" s="626">
        <v>150000</v>
      </c>
      <c r="K52" s="626">
        <v>4305</v>
      </c>
      <c r="L52" s="626">
        <v>23437.75</v>
      </c>
      <c r="M52" s="1149">
        <v>4560</v>
      </c>
      <c r="N52" s="626">
        <v>3912.66</v>
      </c>
      <c r="O52" s="626">
        <v>36215.410000000003</v>
      </c>
      <c r="P52" s="626">
        <v>113784.59</v>
      </c>
    </row>
    <row r="53" spans="2:16" ht="21" customHeight="1" x14ac:dyDescent="0.25">
      <c r="B53" s="453" t="s">
        <v>813</v>
      </c>
      <c r="C53" s="569"/>
      <c r="D53" s="492">
        <v>1</v>
      </c>
      <c r="E53" s="465"/>
      <c r="F53" s="500"/>
      <c r="G53" s="855"/>
      <c r="H53" s="695">
        <v>150000</v>
      </c>
      <c r="I53" s="1144">
        <v>0</v>
      </c>
      <c r="J53" s="695">
        <v>150000</v>
      </c>
      <c r="K53" s="695">
        <v>4305</v>
      </c>
      <c r="L53" s="695">
        <v>23437.75</v>
      </c>
      <c r="M53" s="1145">
        <v>4560</v>
      </c>
      <c r="N53" s="695">
        <v>3912.66</v>
      </c>
      <c r="O53" s="695">
        <v>36215.410000000003</v>
      </c>
      <c r="P53" s="695">
        <v>113784.59</v>
      </c>
    </row>
    <row r="54" spans="2:16" ht="21" customHeight="1" x14ac:dyDescent="0.25">
      <c r="B54" s="496"/>
      <c r="C54" s="684"/>
      <c r="D54" s="282"/>
      <c r="E54" s="281"/>
      <c r="F54" s="858"/>
      <c r="G54" s="855"/>
      <c r="H54" s="626"/>
      <c r="I54" s="1111"/>
      <c r="J54" s="457"/>
      <c r="K54" s="457"/>
      <c r="L54" s="457"/>
      <c r="M54" s="1149"/>
      <c r="N54" s="468"/>
      <c r="O54" s="468"/>
      <c r="P54" s="457"/>
    </row>
    <row r="55" spans="2:16" ht="21" customHeight="1" x14ac:dyDescent="0.25">
      <c r="B55" s="453" t="s">
        <v>1128</v>
      </c>
      <c r="C55" s="1224"/>
      <c r="D55" s="280"/>
      <c r="E55" s="280"/>
      <c r="F55" s="858"/>
      <c r="G55" s="855"/>
      <c r="H55" s="280"/>
      <c r="I55" s="1113"/>
      <c r="J55" s="487"/>
      <c r="K55" s="457"/>
      <c r="L55" s="457"/>
      <c r="M55" s="1149"/>
      <c r="N55" s="468"/>
      <c r="O55" s="468"/>
      <c r="P55" s="457"/>
    </row>
    <row r="56" spans="2:16" ht="29.25" customHeight="1" x14ac:dyDescent="0.25">
      <c r="B56" s="280" t="s">
        <v>461</v>
      </c>
      <c r="C56" s="685" t="s">
        <v>807</v>
      </c>
      <c r="D56" s="282" t="s">
        <v>1574</v>
      </c>
      <c r="E56" s="281" t="s">
        <v>1063</v>
      </c>
      <c r="F56" s="855">
        <v>45748</v>
      </c>
      <c r="G56" s="855">
        <v>45901</v>
      </c>
      <c r="H56" s="468">
        <v>115000</v>
      </c>
      <c r="I56" s="1111">
        <v>0</v>
      </c>
      <c r="J56" s="489">
        <v>115000</v>
      </c>
      <c r="K56" s="489">
        <v>3300.5</v>
      </c>
      <c r="L56" s="489">
        <v>15633.74</v>
      </c>
      <c r="M56" s="1149">
        <v>3496</v>
      </c>
      <c r="N56" s="861">
        <v>1431</v>
      </c>
      <c r="O56" s="468">
        <f>+K56+L56+M56+N56</f>
        <v>23861.239999999998</v>
      </c>
      <c r="P56" s="457">
        <f>+J56-O56</f>
        <v>91138.760000000009</v>
      </c>
    </row>
    <row r="57" spans="2:16" ht="21" customHeight="1" x14ac:dyDescent="0.25">
      <c r="B57" s="280" t="s">
        <v>1283</v>
      </c>
      <c r="C57" s="685" t="s">
        <v>807</v>
      </c>
      <c r="D57" s="282" t="s">
        <v>1495</v>
      </c>
      <c r="E57" s="281" t="s">
        <v>1281</v>
      </c>
      <c r="F57" s="855">
        <v>45748</v>
      </c>
      <c r="G57" s="855">
        <v>45901</v>
      </c>
      <c r="H57" s="468">
        <v>60000</v>
      </c>
      <c r="I57" s="1169">
        <v>0</v>
      </c>
      <c r="J57" s="628">
        <v>60000</v>
      </c>
      <c r="K57" s="628">
        <v>1722</v>
      </c>
      <c r="L57" s="628">
        <v>3486.68</v>
      </c>
      <c r="M57" s="1149">
        <v>1824</v>
      </c>
      <c r="N57" s="861">
        <v>728</v>
      </c>
      <c r="O57" s="468">
        <f>+K57+L57+M57+N57</f>
        <v>7760.68</v>
      </c>
      <c r="P57" s="468">
        <f>+J57-O57</f>
        <v>52239.32</v>
      </c>
    </row>
    <row r="58" spans="2:16" ht="21" customHeight="1" x14ac:dyDescent="0.25">
      <c r="B58" s="453" t="s">
        <v>813</v>
      </c>
      <c r="C58" s="1224"/>
      <c r="D58" s="453">
        <v>2</v>
      </c>
      <c r="E58" s="525"/>
      <c r="F58" s="500"/>
      <c r="G58" s="855"/>
      <c r="H58" s="695">
        <f>SUM(H56:H57)</f>
        <v>175000</v>
      </c>
      <c r="I58" s="1144">
        <f t="shared" ref="I58" si="6">SUM(I57)</f>
        <v>0</v>
      </c>
      <c r="J58" s="695">
        <f t="shared" ref="J58:P58" si="7">SUM(J56:J57)</f>
        <v>175000</v>
      </c>
      <c r="K58" s="695">
        <f t="shared" si="7"/>
        <v>5022.5</v>
      </c>
      <c r="L58" s="695">
        <f t="shared" si="7"/>
        <v>19120.419999999998</v>
      </c>
      <c r="M58" s="1145">
        <f t="shared" si="7"/>
        <v>5320</v>
      </c>
      <c r="N58" s="695">
        <f>SUM(N56:N57)</f>
        <v>2159</v>
      </c>
      <c r="O58" s="695">
        <f t="shared" si="7"/>
        <v>31621.919999999998</v>
      </c>
      <c r="P58" s="695">
        <f t="shared" si="7"/>
        <v>143378.08000000002</v>
      </c>
    </row>
    <row r="59" spans="2:16" ht="21" customHeight="1" x14ac:dyDescent="0.25">
      <c r="B59" s="461"/>
      <c r="C59" s="1225"/>
      <c r="D59" s="453"/>
      <c r="E59" s="525"/>
      <c r="F59" s="858"/>
      <c r="G59" s="855"/>
      <c r="H59" s="697"/>
      <c r="I59" s="1112"/>
      <c r="J59" s="522"/>
      <c r="K59" s="522"/>
      <c r="L59" s="522"/>
      <c r="M59" s="1145"/>
      <c r="N59" s="1173"/>
      <c r="O59" s="697"/>
      <c r="P59" s="463"/>
    </row>
    <row r="60" spans="2:16" ht="21" customHeight="1" x14ac:dyDescent="0.25">
      <c r="B60" s="1014" t="s">
        <v>1575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s="259" customFormat="1" ht="30.75" customHeight="1" x14ac:dyDescent="0.25">
      <c r="B61" s="1251" t="s">
        <v>1582</v>
      </c>
      <c r="C61" s="1252" t="s">
        <v>807</v>
      </c>
      <c r="D61" s="1246" t="s">
        <v>1571</v>
      </c>
      <c r="E61" s="1247" t="s">
        <v>1063</v>
      </c>
      <c r="F61" s="1248">
        <v>45717</v>
      </c>
      <c r="G61" s="1248">
        <v>45870</v>
      </c>
      <c r="H61" s="1100">
        <v>95000</v>
      </c>
      <c r="I61" s="1249">
        <v>0</v>
      </c>
      <c r="J61" s="1100">
        <v>95000</v>
      </c>
      <c r="K61" s="1100">
        <v>2726.5</v>
      </c>
      <c r="L61" s="1103">
        <v>10929.24</v>
      </c>
      <c r="M61" s="1250">
        <v>2888</v>
      </c>
      <c r="N61" s="626">
        <v>18566.330000000002</v>
      </c>
      <c r="O61" s="468">
        <f>+K61+L61+M61+N61</f>
        <v>35110.07</v>
      </c>
      <c r="P61" s="675">
        <f>+J61-O61</f>
        <v>59889.93</v>
      </c>
    </row>
    <row r="62" spans="2:16" ht="21" customHeight="1" x14ac:dyDescent="0.25">
      <c r="B62" s="453" t="s">
        <v>813</v>
      </c>
      <c r="C62" s="685"/>
      <c r="D62" s="453">
        <v>1</v>
      </c>
      <c r="E62" s="281"/>
      <c r="F62" s="1019"/>
      <c r="G62" s="857"/>
      <c r="H62" s="697">
        <f>SUM(H61)</f>
        <v>95000</v>
      </c>
      <c r="I62" s="1144">
        <f>SUM(I61)</f>
        <v>0</v>
      </c>
      <c r="J62" s="697">
        <f t="shared" ref="J62:P62" si="8">SUM(J61)</f>
        <v>95000</v>
      </c>
      <c r="K62" s="697">
        <f t="shared" si="8"/>
        <v>2726.5</v>
      </c>
      <c r="L62" s="697">
        <f t="shared" si="8"/>
        <v>10929.24</v>
      </c>
      <c r="M62" s="1145">
        <f t="shared" si="8"/>
        <v>2888</v>
      </c>
      <c r="N62" s="697">
        <f>SUM(N61)</f>
        <v>18566.330000000002</v>
      </c>
      <c r="O62" s="697">
        <f t="shared" si="8"/>
        <v>35110.07</v>
      </c>
      <c r="P62" s="697">
        <f t="shared" si="8"/>
        <v>59889.93</v>
      </c>
    </row>
    <row r="63" spans="2:16" ht="21" customHeight="1" x14ac:dyDescent="0.25">
      <c r="B63" s="496"/>
      <c r="C63" s="684"/>
      <c r="D63" s="282"/>
      <c r="E63" s="281"/>
      <c r="F63" s="856"/>
      <c r="G63" s="857"/>
      <c r="H63" s="626"/>
      <c r="I63" s="1111"/>
      <c r="J63" s="457"/>
      <c r="K63" s="457"/>
      <c r="L63" s="457"/>
      <c r="M63" s="1149"/>
      <c r="N63" s="468"/>
      <c r="O63" s="468"/>
      <c r="P63" s="457"/>
    </row>
    <row r="64" spans="2:16" ht="32.25" customHeight="1" x14ac:dyDescent="0.25">
      <c r="B64" s="1014" t="s">
        <v>1136</v>
      </c>
      <c r="C64" s="570"/>
      <c r="D64" s="492"/>
      <c r="E64" s="465"/>
      <c r="F64" s="1019"/>
      <c r="G64" s="857"/>
      <c r="H64" s="695"/>
      <c r="I64" s="1144"/>
      <c r="J64" s="697"/>
      <c r="K64" s="697"/>
      <c r="L64" s="697"/>
      <c r="M64" s="1145"/>
      <c r="N64" s="697"/>
      <c r="O64" s="697"/>
      <c r="P64" s="697"/>
    </row>
    <row r="65" spans="2:16" ht="31.5" customHeight="1" x14ac:dyDescent="0.25">
      <c r="B65" s="153" t="s">
        <v>1583</v>
      </c>
      <c r="C65" s="685" t="s">
        <v>806</v>
      </c>
      <c r="D65" s="749" t="s">
        <v>1572</v>
      </c>
      <c r="E65" s="281" t="s">
        <v>1063</v>
      </c>
      <c r="F65" s="855">
        <v>45839</v>
      </c>
      <c r="G65" s="855">
        <v>45992</v>
      </c>
      <c r="H65" s="626">
        <v>120000</v>
      </c>
      <c r="I65" s="1169">
        <v>0</v>
      </c>
      <c r="J65" s="468">
        <v>120000</v>
      </c>
      <c r="K65" s="468">
        <v>3444</v>
      </c>
      <c r="L65" s="468">
        <v>16809.87</v>
      </c>
      <c r="M65" s="1149">
        <v>3648</v>
      </c>
      <c r="N65" s="468">
        <v>2568.4</v>
      </c>
      <c r="O65" s="468">
        <f>+K65+L65+M65+N65</f>
        <v>26470.27</v>
      </c>
      <c r="P65" s="626">
        <f>+J65-O65</f>
        <v>93529.73</v>
      </c>
    </row>
    <row r="66" spans="2:16" s="259" customFormat="1" ht="21" customHeight="1" x14ac:dyDescent="0.25">
      <c r="B66" s="1251" t="s">
        <v>1750</v>
      </c>
      <c r="C66" s="1252" t="s">
        <v>807</v>
      </c>
      <c r="D66" s="1246" t="s">
        <v>1751</v>
      </c>
      <c r="E66" s="1247" t="s">
        <v>1063</v>
      </c>
      <c r="F66" s="1248">
        <v>45809</v>
      </c>
      <c r="G66" s="1248">
        <v>45992</v>
      </c>
      <c r="H66" s="1100">
        <v>50000</v>
      </c>
      <c r="I66" s="1249">
        <v>0</v>
      </c>
      <c r="J66" s="1100">
        <v>50000</v>
      </c>
      <c r="K66" s="1100">
        <v>1435</v>
      </c>
      <c r="L66" s="1103">
        <v>1854</v>
      </c>
      <c r="M66" s="1250">
        <v>1520</v>
      </c>
      <c r="N66" s="626">
        <v>25</v>
      </c>
      <c r="O66" s="468">
        <f>+K66+L66+M66+N66</f>
        <v>4834</v>
      </c>
      <c r="P66" s="675">
        <f>+J66-O66</f>
        <v>45166</v>
      </c>
    </row>
    <row r="67" spans="2:16" ht="21" customHeight="1" x14ac:dyDescent="0.25">
      <c r="B67" s="496" t="s">
        <v>1352</v>
      </c>
      <c r="C67" s="684" t="s">
        <v>806</v>
      </c>
      <c r="D67" s="286" t="s">
        <v>1635</v>
      </c>
      <c r="E67" s="281" t="s">
        <v>1063</v>
      </c>
      <c r="F67" s="855">
        <v>45748</v>
      </c>
      <c r="G67" s="855">
        <v>45901</v>
      </c>
      <c r="H67" s="626">
        <v>55000</v>
      </c>
      <c r="I67" s="1111">
        <v>0</v>
      </c>
      <c r="J67" s="457">
        <v>55000</v>
      </c>
      <c r="K67" s="457">
        <v>1578.5</v>
      </c>
      <c r="L67" s="457">
        <v>2559.6799999999998</v>
      </c>
      <c r="M67" s="1149">
        <v>1672</v>
      </c>
      <c r="N67" s="468">
        <v>25</v>
      </c>
      <c r="O67" s="468">
        <v>5835.18</v>
      </c>
      <c r="P67" s="498">
        <f>+J67-O67</f>
        <v>49164.82</v>
      </c>
    </row>
    <row r="68" spans="2:16" ht="21" customHeight="1" x14ac:dyDescent="0.25">
      <c r="B68" s="466" t="s">
        <v>813</v>
      </c>
      <c r="C68" s="569"/>
      <c r="D68" s="492">
        <v>3</v>
      </c>
      <c r="E68" s="465"/>
      <c r="F68" s="500"/>
      <c r="G68" s="855"/>
      <c r="H68" s="697">
        <f>SUM(H65:H67)</f>
        <v>225000</v>
      </c>
      <c r="I68" s="1144">
        <f t="shared" ref="I68" si="9">SUM(I67)</f>
        <v>0</v>
      </c>
      <c r="J68" s="697">
        <f t="shared" ref="J68:P68" si="10">SUM(J65:J67)</f>
        <v>225000</v>
      </c>
      <c r="K68" s="697">
        <f>SUM(K65:K67)</f>
        <v>6457.5</v>
      </c>
      <c r="L68" s="697">
        <f t="shared" si="10"/>
        <v>21223.55</v>
      </c>
      <c r="M68" s="1145">
        <f t="shared" si="10"/>
        <v>6840</v>
      </c>
      <c r="N68" s="697">
        <f>SUM(N65:N67)</f>
        <v>2618.4</v>
      </c>
      <c r="O68" s="697">
        <f t="shared" si="10"/>
        <v>37139.449999999997</v>
      </c>
      <c r="P68" s="697">
        <f t="shared" si="10"/>
        <v>187860.55</v>
      </c>
    </row>
    <row r="69" spans="2:16" ht="21" customHeight="1" x14ac:dyDescent="0.25">
      <c r="B69" s="466"/>
      <c r="C69" s="569"/>
      <c r="D69" s="492"/>
      <c r="E69" s="465"/>
      <c r="F69" s="500"/>
      <c r="G69" s="855"/>
      <c r="H69" s="697"/>
      <c r="I69" s="1144"/>
      <c r="J69" s="697"/>
      <c r="K69" s="697"/>
      <c r="L69" s="697"/>
      <c r="M69" s="1145"/>
      <c r="N69" s="697"/>
      <c r="O69" s="697"/>
      <c r="P69" s="697"/>
    </row>
    <row r="70" spans="2:16" ht="21" customHeight="1" x14ac:dyDescent="0.25">
      <c r="B70" s="466" t="s">
        <v>1791</v>
      </c>
      <c r="C70" s="569"/>
      <c r="D70" s="492"/>
      <c r="E70" s="465"/>
      <c r="F70" s="500"/>
      <c r="G70" s="855"/>
      <c r="H70" s="697"/>
      <c r="I70" s="1144"/>
      <c r="J70" s="697"/>
      <c r="K70" s="697"/>
      <c r="L70" s="697"/>
      <c r="M70" s="1145"/>
      <c r="N70" s="697"/>
      <c r="O70" s="697"/>
      <c r="P70" s="697"/>
    </row>
    <row r="71" spans="2:16" ht="21" customHeight="1" x14ac:dyDescent="0.25">
      <c r="B71" s="286" t="s">
        <v>1793</v>
      </c>
      <c r="C71" s="685" t="s">
        <v>807</v>
      </c>
      <c r="D71" s="282" t="s">
        <v>1794</v>
      </c>
      <c r="E71" s="281" t="s">
        <v>1063</v>
      </c>
      <c r="F71" s="855">
        <v>45839</v>
      </c>
      <c r="G71" s="855">
        <v>45992</v>
      </c>
      <c r="H71" s="626">
        <v>120000</v>
      </c>
      <c r="I71" s="1169">
        <v>0</v>
      </c>
      <c r="J71" s="468">
        <v>120000</v>
      </c>
      <c r="K71" s="468">
        <v>3444</v>
      </c>
      <c r="L71" s="468">
        <v>16809.87</v>
      </c>
      <c r="M71" s="1149">
        <v>3648</v>
      </c>
      <c r="N71" s="468">
        <v>25</v>
      </c>
      <c r="O71" s="468">
        <f>SUM(K71:N71)</f>
        <v>23926.87</v>
      </c>
      <c r="P71" s="468">
        <f>+H71-O71</f>
        <v>96073.13</v>
      </c>
    </row>
    <row r="72" spans="2:16" ht="21" customHeight="1" x14ac:dyDescent="0.25">
      <c r="B72" s="466" t="s">
        <v>813</v>
      </c>
      <c r="C72" s="569"/>
      <c r="D72" s="492">
        <v>1</v>
      </c>
      <c r="E72" s="465"/>
      <c r="F72" s="500"/>
      <c r="G72" s="855"/>
      <c r="H72" s="695">
        <v>120000</v>
      </c>
      <c r="I72" s="1144">
        <v>0</v>
      </c>
      <c r="J72" s="697">
        <v>120000</v>
      </c>
      <c r="K72" s="697">
        <v>3444</v>
      </c>
      <c r="L72" s="697">
        <v>16809.87</v>
      </c>
      <c r="M72" s="1145">
        <v>3648</v>
      </c>
      <c r="N72" s="697">
        <v>25</v>
      </c>
      <c r="O72" s="697">
        <f>SUM(K72:N72)</f>
        <v>23926.87</v>
      </c>
      <c r="P72" s="697">
        <f>+H72-O72</f>
        <v>96073.13</v>
      </c>
    </row>
    <row r="73" spans="2:16" ht="21" customHeight="1" x14ac:dyDescent="0.25">
      <c r="B73" s="466"/>
      <c r="C73" s="569"/>
      <c r="D73" s="492"/>
      <c r="E73" s="465"/>
      <c r="F73" s="500"/>
      <c r="G73" s="855"/>
      <c r="H73" s="697"/>
      <c r="I73" s="1144"/>
      <c r="J73" s="697"/>
      <c r="K73" s="697"/>
      <c r="L73" s="697"/>
      <c r="M73" s="1145"/>
      <c r="N73" s="697"/>
      <c r="O73" s="697"/>
      <c r="P73" s="697"/>
    </row>
    <row r="74" spans="2:16" ht="21" customHeight="1" x14ac:dyDescent="0.25">
      <c r="B74" s="453" t="s">
        <v>1515</v>
      </c>
      <c r="C74" s="569"/>
      <c r="D74" s="492"/>
      <c r="E74" s="465"/>
      <c r="F74" s="1019"/>
      <c r="G74" s="857"/>
      <c r="H74" s="695"/>
      <c r="I74" s="1144"/>
      <c r="J74" s="697"/>
      <c r="K74" s="697"/>
      <c r="L74" s="697"/>
      <c r="M74" s="1145"/>
      <c r="N74" s="697"/>
      <c r="O74" s="697"/>
      <c r="P74" s="697"/>
    </row>
    <row r="75" spans="2:16" ht="32.25" customHeight="1" x14ac:dyDescent="0.25">
      <c r="B75" s="280" t="s">
        <v>1584</v>
      </c>
      <c r="C75" s="685" t="s">
        <v>806</v>
      </c>
      <c r="D75" s="282" t="s">
        <v>1357</v>
      </c>
      <c r="E75" s="281" t="s">
        <v>1063</v>
      </c>
      <c r="F75" s="855">
        <v>45778</v>
      </c>
      <c r="G75" s="855">
        <v>45931</v>
      </c>
      <c r="H75" s="626">
        <v>125000</v>
      </c>
      <c r="I75" s="1111">
        <v>0</v>
      </c>
      <c r="J75" s="1038">
        <v>125000</v>
      </c>
      <c r="K75" s="1038">
        <v>3587.5</v>
      </c>
      <c r="L75" s="1037">
        <v>17985.990000000002</v>
      </c>
      <c r="M75" s="1150">
        <v>3800</v>
      </c>
      <c r="N75" s="1038">
        <v>25</v>
      </c>
      <c r="O75" s="468">
        <f t="shared" ref="O75:O80" si="11">+K75+L75+M75+N75</f>
        <v>25398.49</v>
      </c>
      <c r="P75" s="498">
        <f t="shared" ref="P75:P80" si="12">+J75-O75</f>
        <v>99601.51</v>
      </c>
    </row>
    <row r="76" spans="2:16" ht="32.25" customHeight="1" x14ac:dyDescent="0.25">
      <c r="B76" s="280" t="s">
        <v>1585</v>
      </c>
      <c r="C76" s="685" t="s">
        <v>806</v>
      </c>
      <c r="D76" s="282" t="s">
        <v>1357</v>
      </c>
      <c r="E76" s="281" t="s">
        <v>1063</v>
      </c>
      <c r="F76" s="855">
        <v>45778</v>
      </c>
      <c r="G76" s="855">
        <v>45931</v>
      </c>
      <c r="H76" s="626">
        <v>125000</v>
      </c>
      <c r="I76" s="1111">
        <v>0</v>
      </c>
      <c r="J76" s="1038">
        <v>125000</v>
      </c>
      <c r="K76" s="1038">
        <v>3587.5</v>
      </c>
      <c r="L76" s="1037">
        <v>17985.990000000002</v>
      </c>
      <c r="M76" s="1150">
        <v>3800</v>
      </c>
      <c r="N76" s="1038">
        <v>25</v>
      </c>
      <c r="O76" s="468">
        <f t="shared" si="11"/>
        <v>25398.49</v>
      </c>
      <c r="P76" s="498">
        <f t="shared" si="12"/>
        <v>99601.51</v>
      </c>
    </row>
    <row r="77" spans="2:16" ht="32.25" customHeight="1" x14ac:dyDescent="0.25">
      <c r="B77" s="280" t="s">
        <v>1586</v>
      </c>
      <c r="C77" s="685" t="s">
        <v>806</v>
      </c>
      <c r="D77" s="282" t="s">
        <v>1355</v>
      </c>
      <c r="E77" s="281" t="s">
        <v>1063</v>
      </c>
      <c r="F77" s="855">
        <v>45748</v>
      </c>
      <c r="G77" s="855">
        <v>45901</v>
      </c>
      <c r="H77" s="626">
        <v>125000</v>
      </c>
      <c r="I77" s="1111">
        <v>0</v>
      </c>
      <c r="J77" s="1038">
        <v>125000</v>
      </c>
      <c r="K77" s="1038">
        <v>3587.5</v>
      </c>
      <c r="L77" s="1037">
        <v>17985.990000000002</v>
      </c>
      <c r="M77" s="1150">
        <v>3800</v>
      </c>
      <c r="N77" s="1038">
        <v>25</v>
      </c>
      <c r="O77" s="468">
        <f t="shared" si="11"/>
        <v>25398.49</v>
      </c>
      <c r="P77" s="498">
        <f t="shared" si="12"/>
        <v>99601.51</v>
      </c>
    </row>
    <row r="78" spans="2:16" ht="32.25" customHeight="1" x14ac:dyDescent="0.25">
      <c r="B78" s="153" t="s">
        <v>1587</v>
      </c>
      <c r="C78" s="685" t="s">
        <v>806</v>
      </c>
      <c r="D78" s="282" t="s">
        <v>1357</v>
      </c>
      <c r="E78" s="281" t="s">
        <v>1063</v>
      </c>
      <c r="F78" s="855">
        <v>45748</v>
      </c>
      <c r="G78" s="855">
        <v>45901</v>
      </c>
      <c r="H78" s="626">
        <v>125000</v>
      </c>
      <c r="I78" s="1111">
        <v>0</v>
      </c>
      <c r="J78" s="1038">
        <v>125000</v>
      </c>
      <c r="K78" s="1038">
        <v>3587.5</v>
      </c>
      <c r="L78" s="1037">
        <v>17985.990000000002</v>
      </c>
      <c r="M78" s="1150">
        <v>3800</v>
      </c>
      <c r="N78" s="1038">
        <v>25</v>
      </c>
      <c r="O78" s="468">
        <f t="shared" si="11"/>
        <v>25398.49</v>
      </c>
      <c r="P78" s="498">
        <f t="shared" si="12"/>
        <v>99601.51</v>
      </c>
    </row>
    <row r="79" spans="2:16" ht="32.25" customHeight="1" x14ac:dyDescent="0.25">
      <c r="B79" s="280" t="s">
        <v>1588</v>
      </c>
      <c r="C79" s="685" t="s">
        <v>806</v>
      </c>
      <c r="D79" s="282" t="s">
        <v>1357</v>
      </c>
      <c r="E79" s="281" t="s">
        <v>1063</v>
      </c>
      <c r="F79" s="855">
        <v>45748</v>
      </c>
      <c r="G79" s="855">
        <v>45901</v>
      </c>
      <c r="H79" s="626">
        <v>125000</v>
      </c>
      <c r="I79" s="1169">
        <v>0</v>
      </c>
      <c r="J79" s="1038">
        <v>125000</v>
      </c>
      <c r="K79" s="1038">
        <v>3587.5</v>
      </c>
      <c r="L79" s="1037">
        <v>17985.990000000002</v>
      </c>
      <c r="M79" s="1150">
        <v>3800</v>
      </c>
      <c r="N79" s="1038">
        <v>25</v>
      </c>
      <c r="O79" s="468">
        <f t="shared" si="11"/>
        <v>25398.49</v>
      </c>
      <c r="P79" s="626">
        <f t="shared" si="12"/>
        <v>99601.51</v>
      </c>
    </row>
    <row r="80" spans="2:16" ht="32.25" customHeight="1" x14ac:dyDescent="0.25">
      <c r="B80" s="280" t="s">
        <v>1589</v>
      </c>
      <c r="C80" s="685" t="s">
        <v>807</v>
      </c>
      <c r="D80" s="282" t="s">
        <v>1357</v>
      </c>
      <c r="E80" s="281" t="s">
        <v>1063</v>
      </c>
      <c r="F80" s="855">
        <v>45748</v>
      </c>
      <c r="G80" s="855">
        <v>45901</v>
      </c>
      <c r="H80" s="626">
        <v>135000</v>
      </c>
      <c r="I80" s="1169">
        <v>0</v>
      </c>
      <c r="J80" s="1038">
        <v>135000</v>
      </c>
      <c r="K80" s="1038">
        <v>3874.5</v>
      </c>
      <c r="L80" s="1038">
        <v>19909.38</v>
      </c>
      <c r="M80" s="1150">
        <v>4104</v>
      </c>
      <c r="N80" s="1038">
        <v>1740.46</v>
      </c>
      <c r="O80" s="468">
        <f t="shared" si="11"/>
        <v>29628.34</v>
      </c>
      <c r="P80" s="626">
        <f t="shared" si="12"/>
        <v>105371.66</v>
      </c>
    </row>
    <row r="81" spans="2:16" ht="33" customHeight="1" x14ac:dyDescent="0.25">
      <c r="B81" s="153" t="s">
        <v>1590</v>
      </c>
      <c r="C81" s="685" t="s">
        <v>807</v>
      </c>
      <c r="D81" s="282" t="s">
        <v>1357</v>
      </c>
      <c r="E81" s="281" t="s">
        <v>1063</v>
      </c>
      <c r="F81" s="855">
        <v>45748</v>
      </c>
      <c r="G81" s="855">
        <v>45901</v>
      </c>
      <c r="H81" s="626">
        <v>125000</v>
      </c>
      <c r="I81" s="1111">
        <v>0</v>
      </c>
      <c r="J81" s="1038">
        <v>125000</v>
      </c>
      <c r="K81" s="1038">
        <v>3587.5</v>
      </c>
      <c r="L81" s="1038">
        <v>17985.990000000002</v>
      </c>
      <c r="M81" s="1150">
        <v>3800</v>
      </c>
      <c r="N81" s="1038">
        <v>25</v>
      </c>
      <c r="O81" s="468">
        <v>25398.49</v>
      </c>
      <c r="P81" s="498">
        <v>99601.51</v>
      </c>
    </row>
    <row r="82" spans="2:16" ht="21" customHeight="1" x14ac:dyDescent="0.25">
      <c r="B82" s="466" t="s">
        <v>813</v>
      </c>
      <c r="C82" s="569"/>
      <c r="D82" s="492">
        <v>7</v>
      </c>
      <c r="E82" s="465"/>
      <c r="F82" s="500"/>
      <c r="G82" s="855"/>
      <c r="H82" s="697">
        <f>SUM(H75:H81)</f>
        <v>885000</v>
      </c>
      <c r="I82" s="1112">
        <v>0</v>
      </c>
      <c r="J82" s="697">
        <f t="shared" ref="J82:P82" si="13">SUM(J75:J81)</f>
        <v>885000</v>
      </c>
      <c r="K82" s="697">
        <f t="shared" si="13"/>
        <v>25399.5</v>
      </c>
      <c r="L82" s="697">
        <f t="shared" si="13"/>
        <v>127825.32000000002</v>
      </c>
      <c r="M82" s="1145">
        <f t="shared" si="13"/>
        <v>26904</v>
      </c>
      <c r="N82" s="697">
        <f t="shared" si="13"/>
        <v>1890.46</v>
      </c>
      <c r="O82" s="697">
        <f t="shared" si="13"/>
        <v>182019.28</v>
      </c>
      <c r="P82" s="697">
        <f t="shared" si="13"/>
        <v>702980.72</v>
      </c>
    </row>
    <row r="83" spans="2:16" ht="21" customHeight="1" x14ac:dyDescent="0.25">
      <c r="B83" s="466"/>
      <c r="C83" s="569"/>
      <c r="D83" s="492"/>
      <c r="E83" s="465"/>
      <c r="F83" s="500"/>
      <c r="G83" s="855"/>
      <c r="H83" s="697"/>
      <c r="I83" s="1145"/>
      <c r="J83" s="697"/>
      <c r="K83" s="697"/>
      <c r="L83" s="697"/>
      <c r="M83" s="1145"/>
      <c r="N83" s="697"/>
      <c r="O83" s="697"/>
      <c r="P83" s="697"/>
    </row>
    <row r="84" spans="2:16" ht="21" customHeight="1" x14ac:dyDescent="0.25">
      <c r="B84" s="466" t="s">
        <v>821</v>
      </c>
      <c r="C84" s="569"/>
      <c r="D84" s="492"/>
      <c r="E84" s="465"/>
      <c r="F84" s="500"/>
      <c r="G84" s="855"/>
      <c r="H84" s="695"/>
      <c r="I84" s="1144"/>
      <c r="J84" s="697"/>
      <c r="K84" s="697"/>
      <c r="L84" s="697"/>
      <c r="M84" s="1145"/>
      <c r="N84" s="697"/>
      <c r="O84" s="697"/>
      <c r="P84" s="697"/>
    </row>
    <row r="85" spans="2:16" ht="30.75" customHeight="1" x14ac:dyDescent="0.25">
      <c r="B85" s="286" t="s">
        <v>593</v>
      </c>
      <c r="C85" s="685" t="s">
        <v>806</v>
      </c>
      <c r="D85" s="282" t="s">
        <v>1541</v>
      </c>
      <c r="E85" s="281" t="s">
        <v>1063</v>
      </c>
      <c r="F85" s="855">
        <v>45748</v>
      </c>
      <c r="G85" s="855">
        <v>45901</v>
      </c>
      <c r="H85" s="626">
        <v>150000</v>
      </c>
      <c r="I85" s="1169">
        <v>0</v>
      </c>
      <c r="J85" s="468">
        <v>150000</v>
      </c>
      <c r="K85" s="468">
        <v>4305</v>
      </c>
      <c r="L85" s="468">
        <v>23866.62</v>
      </c>
      <c r="M85" s="1149">
        <v>4560</v>
      </c>
      <c r="N85" s="468">
        <v>2568.4</v>
      </c>
      <c r="O85" s="468">
        <v>35300.019999999997</v>
      </c>
      <c r="P85" s="468">
        <f t="shared" ref="P85:P90" si="14">+J85-O85</f>
        <v>114699.98000000001</v>
      </c>
    </row>
    <row r="86" spans="2:16" ht="24.75" customHeight="1" x14ac:dyDescent="0.25">
      <c r="B86" s="286" t="s">
        <v>1591</v>
      </c>
      <c r="C86" s="684" t="s">
        <v>806</v>
      </c>
      <c r="D86" s="282" t="s">
        <v>489</v>
      </c>
      <c r="E86" s="281" t="s">
        <v>1063</v>
      </c>
      <c r="F86" s="855">
        <v>45748</v>
      </c>
      <c r="G86" s="855">
        <v>45901</v>
      </c>
      <c r="H86" s="626">
        <v>70000</v>
      </c>
      <c r="I86" s="1111">
        <v>0</v>
      </c>
      <c r="J86" s="457">
        <v>70000</v>
      </c>
      <c r="K86" s="457">
        <v>2009</v>
      </c>
      <c r="L86" s="457">
        <v>5368.48</v>
      </c>
      <c r="M86" s="1149">
        <v>2128</v>
      </c>
      <c r="N86" s="468">
        <v>25</v>
      </c>
      <c r="O86" s="468">
        <f>+K86+L86+M86+N86</f>
        <v>9530.48</v>
      </c>
      <c r="P86" s="457">
        <f t="shared" si="14"/>
        <v>60469.520000000004</v>
      </c>
    </row>
    <row r="87" spans="2:16" ht="24.75" customHeight="1" x14ac:dyDescent="0.25">
      <c r="B87" s="286" t="s">
        <v>1288</v>
      </c>
      <c r="C87" s="685" t="s">
        <v>807</v>
      </c>
      <c r="D87" s="282" t="s">
        <v>417</v>
      </c>
      <c r="E87" s="281" t="s">
        <v>1063</v>
      </c>
      <c r="F87" s="855">
        <v>45748</v>
      </c>
      <c r="G87" s="855">
        <v>45901</v>
      </c>
      <c r="H87" s="626">
        <v>70000</v>
      </c>
      <c r="I87" s="1169">
        <v>0</v>
      </c>
      <c r="J87" s="468">
        <v>70000</v>
      </c>
      <c r="K87" s="468">
        <v>2009</v>
      </c>
      <c r="L87" s="468">
        <v>5368.48</v>
      </c>
      <c r="M87" s="1149">
        <v>2128</v>
      </c>
      <c r="N87" s="468">
        <v>25</v>
      </c>
      <c r="O87" s="468">
        <f>+K87+L87+M87+N87</f>
        <v>9530.48</v>
      </c>
      <c r="P87" s="468">
        <f t="shared" si="14"/>
        <v>60469.520000000004</v>
      </c>
    </row>
    <row r="88" spans="2:16" ht="24.75" customHeight="1" x14ac:dyDescent="0.25">
      <c r="B88" s="286" t="s">
        <v>1496</v>
      </c>
      <c r="C88" s="685" t="s">
        <v>806</v>
      </c>
      <c r="D88" s="282" t="s">
        <v>489</v>
      </c>
      <c r="E88" s="281" t="s">
        <v>1063</v>
      </c>
      <c r="F88" s="855">
        <v>45839</v>
      </c>
      <c r="G88" s="855">
        <v>45992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>+K88+L88+M88+N88</f>
        <v>9530.48</v>
      </c>
      <c r="P88" s="468">
        <f t="shared" si="14"/>
        <v>60469.520000000004</v>
      </c>
    </row>
    <row r="89" spans="2:16" ht="21" customHeight="1" x14ac:dyDescent="0.25">
      <c r="B89" s="153" t="s">
        <v>1599</v>
      </c>
      <c r="C89" s="684" t="s">
        <v>806</v>
      </c>
      <c r="D89" s="282" t="s">
        <v>417</v>
      </c>
      <c r="E89" s="286" t="s">
        <v>1063</v>
      </c>
      <c r="F89" s="855">
        <v>45962</v>
      </c>
      <c r="G89" s="855">
        <v>45901</v>
      </c>
      <c r="H89" s="626">
        <v>70000</v>
      </c>
      <c r="I89" s="1111">
        <v>0</v>
      </c>
      <c r="J89" s="457">
        <v>70000</v>
      </c>
      <c r="K89" s="457">
        <v>2009</v>
      </c>
      <c r="L89" s="457">
        <v>5368.48</v>
      </c>
      <c r="M89" s="1149">
        <v>2128</v>
      </c>
      <c r="N89" s="468">
        <v>525</v>
      </c>
      <c r="O89" s="468">
        <f>+K89+L89+M89+N89</f>
        <v>10030.48</v>
      </c>
      <c r="P89" s="457">
        <f t="shared" si="14"/>
        <v>59969.520000000004</v>
      </c>
    </row>
    <row r="90" spans="2:16" ht="21" customHeight="1" x14ac:dyDescent="0.25">
      <c r="B90" s="153" t="s">
        <v>1786</v>
      </c>
      <c r="C90" s="684" t="s">
        <v>806</v>
      </c>
      <c r="D90" s="282" t="s">
        <v>417</v>
      </c>
      <c r="E90" s="286" t="s">
        <v>1063</v>
      </c>
      <c r="F90" s="855">
        <v>45839</v>
      </c>
      <c r="G90" s="855">
        <v>45992</v>
      </c>
      <c r="H90" s="626">
        <v>60000</v>
      </c>
      <c r="I90" s="1111">
        <v>0</v>
      </c>
      <c r="J90" s="457">
        <v>60000</v>
      </c>
      <c r="K90" s="457">
        <v>1722</v>
      </c>
      <c r="L90" s="457">
        <v>3486.88</v>
      </c>
      <c r="M90" s="1149">
        <v>1824</v>
      </c>
      <c r="N90" s="468">
        <v>25</v>
      </c>
      <c r="O90" s="468">
        <f>+K90+L90+M90+N90</f>
        <v>7057.88</v>
      </c>
      <c r="P90" s="457">
        <f t="shared" si="14"/>
        <v>52942.12</v>
      </c>
    </row>
    <row r="91" spans="2:16" ht="21" customHeight="1" x14ac:dyDescent="0.25">
      <c r="B91" s="466" t="s">
        <v>813</v>
      </c>
      <c r="C91" s="569"/>
      <c r="D91" s="492">
        <v>6</v>
      </c>
      <c r="E91" s="465"/>
      <c r="F91" s="500"/>
      <c r="G91" s="855"/>
      <c r="H91" s="695">
        <f>SUM(H85:H90)</f>
        <v>490000</v>
      </c>
      <c r="I91" s="1112">
        <v>0</v>
      </c>
      <c r="J91" s="695">
        <f t="shared" ref="J91:P91" si="15">SUM(J85:J90)</f>
        <v>490000</v>
      </c>
      <c r="K91" s="695">
        <f t="shared" si="15"/>
        <v>14063</v>
      </c>
      <c r="L91" s="695">
        <f t="shared" si="15"/>
        <v>48827.419999999991</v>
      </c>
      <c r="M91" s="695">
        <f t="shared" si="15"/>
        <v>14896</v>
      </c>
      <c r="N91" s="695">
        <f t="shared" si="15"/>
        <v>3193.4</v>
      </c>
      <c r="O91" s="695">
        <f t="shared" si="15"/>
        <v>80979.819999999992</v>
      </c>
      <c r="P91" s="695">
        <f t="shared" si="15"/>
        <v>409020.18000000005</v>
      </c>
    </row>
    <row r="92" spans="2:16" ht="21" customHeight="1" x14ac:dyDescent="0.25">
      <c r="B92" s="490"/>
      <c r="C92" s="1223"/>
      <c r="D92" s="492"/>
      <c r="E92" s="465"/>
      <c r="F92" s="856"/>
      <c r="G92" s="857"/>
      <c r="H92" s="695"/>
      <c r="I92" s="1112"/>
      <c r="J92" s="494"/>
      <c r="K92" s="494"/>
      <c r="L92" s="494"/>
      <c r="M92" s="1145"/>
      <c r="N92" s="695"/>
      <c r="O92" s="695"/>
      <c r="P92" s="494"/>
    </row>
    <row r="93" spans="2:16" ht="21" customHeight="1" x14ac:dyDescent="0.25">
      <c r="B93" s="490" t="s">
        <v>1542</v>
      </c>
      <c r="C93" s="1223"/>
      <c r="D93" s="492"/>
      <c r="E93" s="492"/>
      <c r="F93" s="856"/>
      <c r="G93" s="857"/>
      <c r="H93" s="695"/>
      <c r="I93" s="1112"/>
      <c r="J93" s="463"/>
      <c r="K93" s="463"/>
      <c r="L93" s="463"/>
      <c r="M93" s="1145"/>
      <c r="N93" s="697"/>
      <c r="O93" s="697"/>
      <c r="P93" s="463"/>
    </row>
    <row r="94" spans="2:16" ht="21" customHeight="1" x14ac:dyDescent="0.25">
      <c r="B94" s="496" t="s">
        <v>1592</v>
      </c>
      <c r="C94" s="684" t="s">
        <v>807</v>
      </c>
      <c r="D94" s="282" t="s">
        <v>1427</v>
      </c>
      <c r="E94" s="281" t="s">
        <v>1063</v>
      </c>
      <c r="F94" s="855">
        <v>45748</v>
      </c>
      <c r="G94" s="855">
        <v>45901</v>
      </c>
      <c r="H94" s="626">
        <v>185000</v>
      </c>
      <c r="I94" s="1111">
        <v>0</v>
      </c>
      <c r="J94" s="457">
        <v>185000</v>
      </c>
      <c r="K94" s="457">
        <v>5309.5</v>
      </c>
      <c r="L94" s="457">
        <v>32099.49</v>
      </c>
      <c r="M94" s="1149">
        <v>5624</v>
      </c>
      <c r="N94" s="468">
        <v>5010.4799999999996</v>
      </c>
      <c r="O94" s="468">
        <f>+K94+L94+M94+N94</f>
        <v>48043.47</v>
      </c>
      <c r="P94" s="457">
        <f>+J94-O94</f>
        <v>136956.53</v>
      </c>
    </row>
    <row r="95" spans="2:16" ht="21" customHeight="1" x14ac:dyDescent="0.25">
      <c r="B95" s="466" t="s">
        <v>813</v>
      </c>
      <c r="C95" s="569"/>
      <c r="D95" s="492">
        <v>1</v>
      </c>
      <c r="E95" s="492"/>
      <c r="F95" s="1016"/>
      <c r="G95" s="855"/>
      <c r="H95" s="695">
        <f>+H94</f>
        <v>185000</v>
      </c>
      <c r="I95" s="1144">
        <f t="shared" ref="I95:P95" si="16">SUM(I94)</f>
        <v>0</v>
      </c>
      <c r="J95" s="695">
        <f t="shared" si="16"/>
        <v>185000</v>
      </c>
      <c r="K95" s="695">
        <f t="shared" si="16"/>
        <v>5309.5</v>
      </c>
      <c r="L95" s="695">
        <f t="shared" si="16"/>
        <v>32099.49</v>
      </c>
      <c r="M95" s="1145">
        <f t="shared" si="16"/>
        <v>5624</v>
      </c>
      <c r="N95" s="695">
        <f>SUM(N94)</f>
        <v>5010.4799999999996</v>
      </c>
      <c r="O95" s="695">
        <f t="shared" si="16"/>
        <v>48043.47</v>
      </c>
      <c r="P95" s="695">
        <f t="shared" si="16"/>
        <v>136956.53</v>
      </c>
    </row>
    <row r="96" spans="2:16" ht="21" customHeight="1" x14ac:dyDescent="0.25">
      <c r="B96" s="490"/>
      <c r="C96" s="1223"/>
      <c r="D96" s="492"/>
      <c r="E96" s="492"/>
      <c r="F96" s="856"/>
      <c r="G96" s="857"/>
      <c r="H96" s="695"/>
      <c r="I96" s="1112"/>
      <c r="J96" s="494"/>
      <c r="K96" s="494"/>
      <c r="L96" s="494"/>
      <c r="M96" s="1145"/>
      <c r="N96" s="695"/>
      <c r="O96" s="695"/>
      <c r="P96" s="494"/>
    </row>
    <row r="97" spans="2:16" ht="30" customHeight="1" x14ac:dyDescent="0.25">
      <c r="B97" s="469" t="s">
        <v>1565</v>
      </c>
      <c r="C97" s="1223"/>
      <c r="D97" s="625"/>
      <c r="E97" s="281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s="259" customFormat="1" ht="21" customHeight="1" x14ac:dyDescent="0.25">
      <c r="B98" s="1251" t="s">
        <v>946</v>
      </c>
      <c r="C98" s="1252" t="s">
        <v>806</v>
      </c>
      <c r="D98" s="1246" t="s">
        <v>945</v>
      </c>
      <c r="E98" s="1247" t="s">
        <v>1063</v>
      </c>
      <c r="F98" s="1248">
        <v>45748</v>
      </c>
      <c r="G98" s="1248">
        <v>45901</v>
      </c>
      <c r="H98" s="1100">
        <v>65000</v>
      </c>
      <c r="I98" s="1249">
        <v>0</v>
      </c>
      <c r="J98" s="1100">
        <v>65000</v>
      </c>
      <c r="K98" s="1100">
        <v>1865.5</v>
      </c>
      <c r="L98" s="1103">
        <v>4084.48</v>
      </c>
      <c r="M98" s="1250">
        <v>1976</v>
      </c>
      <c r="N98" s="626">
        <v>10029.26</v>
      </c>
      <c r="O98" s="468">
        <f>SUM(K98:N98)</f>
        <v>17955.239999999998</v>
      </c>
      <c r="P98" s="675">
        <f>+J98-O98</f>
        <v>47044.76</v>
      </c>
    </row>
    <row r="99" spans="2:16" ht="21" customHeight="1" x14ac:dyDescent="0.25">
      <c r="B99" s="1321" t="s">
        <v>1697</v>
      </c>
      <c r="C99" s="1322" t="s">
        <v>806</v>
      </c>
      <c r="D99" s="1246" t="s">
        <v>945</v>
      </c>
      <c r="E99" s="1247" t="s">
        <v>1063</v>
      </c>
      <c r="F99" s="855">
        <v>45839</v>
      </c>
      <c r="G99" s="855">
        <v>45992</v>
      </c>
      <c r="H99" s="626">
        <v>70000</v>
      </c>
      <c r="I99" s="1249">
        <v>0</v>
      </c>
      <c r="J99" s="1323">
        <v>70000</v>
      </c>
      <c r="K99" s="1323">
        <v>2009</v>
      </c>
      <c r="L99" s="1323">
        <v>5368.48</v>
      </c>
      <c r="M99" s="1150">
        <v>2128</v>
      </c>
      <c r="N99" s="1323">
        <v>25</v>
      </c>
      <c r="O99" s="1038">
        <f>SUM(K99:N99)</f>
        <v>9530.48</v>
      </c>
      <c r="P99" s="1038">
        <f>+H99-O99</f>
        <v>60469.520000000004</v>
      </c>
    </row>
    <row r="100" spans="2:16" ht="21" customHeight="1" x14ac:dyDescent="0.25">
      <c r="B100" s="460" t="s">
        <v>1593</v>
      </c>
      <c r="C100" s="1226" t="s">
        <v>806</v>
      </c>
      <c r="D100" s="625" t="s">
        <v>1773</v>
      </c>
      <c r="E100" s="281" t="s">
        <v>1063</v>
      </c>
      <c r="F100" s="855">
        <v>45778</v>
      </c>
      <c r="G100" s="855">
        <v>45931</v>
      </c>
      <c r="H100" s="626">
        <v>65000</v>
      </c>
      <c r="I100" s="1169">
        <v>0</v>
      </c>
      <c r="J100" s="626">
        <v>65000</v>
      </c>
      <c r="K100" s="626">
        <v>1865.5</v>
      </c>
      <c r="L100" s="626">
        <v>4427.58</v>
      </c>
      <c r="M100" s="1149">
        <v>1976</v>
      </c>
      <c r="N100" s="626">
        <v>25</v>
      </c>
      <c r="O100" s="468">
        <f>+K100+L100+M100+N100</f>
        <v>8294.08</v>
      </c>
      <c r="P100" s="468">
        <f>+J100-O100</f>
        <v>56705.919999999998</v>
      </c>
    </row>
    <row r="101" spans="2:16" ht="21" customHeight="1" x14ac:dyDescent="0.25">
      <c r="B101" s="466" t="s">
        <v>813</v>
      </c>
      <c r="C101" s="569"/>
      <c r="D101" s="492">
        <v>3</v>
      </c>
      <c r="E101" s="492"/>
      <c r="F101" s="1016"/>
      <c r="G101" s="860"/>
      <c r="H101" s="695">
        <f>SUM(H98:H100)</f>
        <v>200000</v>
      </c>
      <c r="I101" s="1144">
        <f>SUM(I100)</f>
        <v>0</v>
      </c>
      <c r="J101" s="695">
        <f t="shared" ref="J101:P101" si="17">SUM(J98:J100)</f>
        <v>200000</v>
      </c>
      <c r="K101" s="695">
        <f t="shared" si="17"/>
        <v>5740</v>
      </c>
      <c r="L101" s="695">
        <f t="shared" si="17"/>
        <v>13880.539999999999</v>
      </c>
      <c r="M101" s="1145">
        <f t="shared" si="17"/>
        <v>6080</v>
      </c>
      <c r="N101" s="695">
        <f t="shared" si="17"/>
        <v>10079.26</v>
      </c>
      <c r="O101" s="695">
        <f t="shared" si="17"/>
        <v>35779.799999999996</v>
      </c>
      <c r="P101" s="695">
        <f t="shared" si="17"/>
        <v>164220.20000000001</v>
      </c>
    </row>
    <row r="102" spans="2:16" ht="21" customHeight="1" x14ac:dyDescent="0.25">
      <c r="B102" s="490"/>
      <c r="C102" s="1223"/>
      <c r="D102" s="492"/>
      <c r="E102" s="492"/>
      <c r="F102" s="859"/>
      <c r="G102" s="860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ht="21" customHeight="1" x14ac:dyDescent="0.25">
      <c r="B103" s="490" t="s">
        <v>1421</v>
      </c>
      <c r="C103" s="1223"/>
      <c r="D103" s="492"/>
      <c r="E103" s="492"/>
      <c r="F103" s="859"/>
      <c r="G103" s="860"/>
      <c r="H103" s="695"/>
      <c r="I103" s="1112"/>
      <c r="J103" s="494"/>
      <c r="K103" s="494"/>
      <c r="L103" s="494"/>
      <c r="M103" s="1145"/>
      <c r="N103" s="695"/>
      <c r="O103" s="695"/>
      <c r="P103" s="494"/>
    </row>
    <row r="104" spans="2:16" ht="30.75" customHeight="1" x14ac:dyDescent="0.25">
      <c r="B104" s="153" t="s">
        <v>1594</v>
      </c>
      <c r="C104" s="685" t="s">
        <v>807</v>
      </c>
      <c r="D104" s="282" t="s">
        <v>1422</v>
      </c>
      <c r="E104" s="281" t="s">
        <v>1063</v>
      </c>
      <c r="F104" s="855">
        <v>45778</v>
      </c>
      <c r="G104" s="855">
        <v>45931</v>
      </c>
      <c r="H104" s="626">
        <v>100000</v>
      </c>
      <c r="I104" s="1111">
        <v>0</v>
      </c>
      <c r="J104" s="498">
        <v>100000</v>
      </c>
      <c r="K104" s="498">
        <v>2870</v>
      </c>
      <c r="L104" s="498">
        <v>11676.5</v>
      </c>
      <c r="M104" s="1149">
        <v>3040</v>
      </c>
      <c r="N104" s="626">
        <v>5354.6</v>
      </c>
      <c r="O104" s="468">
        <f>+K104+L104+M104+N104</f>
        <v>22941.1</v>
      </c>
      <c r="P104" s="468">
        <f>+J104-O104</f>
        <v>77058.899999999994</v>
      </c>
    </row>
    <row r="105" spans="2:16" ht="21" customHeight="1" x14ac:dyDescent="0.25">
      <c r="B105" s="466" t="s">
        <v>813</v>
      </c>
      <c r="C105" s="685"/>
      <c r="D105" s="492">
        <v>1</v>
      </c>
      <c r="E105" s="281"/>
      <c r="F105" s="859"/>
      <c r="G105" s="860"/>
      <c r="H105" s="695">
        <v>100000</v>
      </c>
      <c r="I105" s="1112">
        <v>0</v>
      </c>
      <c r="J105" s="494">
        <v>100000</v>
      </c>
      <c r="K105" s="494">
        <v>2870</v>
      </c>
      <c r="L105" s="494">
        <v>11676.5</v>
      </c>
      <c r="M105" s="1145">
        <v>3040</v>
      </c>
      <c r="N105" s="695">
        <f>SUM(N104)</f>
        <v>5354.6</v>
      </c>
      <c r="O105" s="697">
        <f>SUM(O104)</f>
        <v>22941.1</v>
      </c>
      <c r="P105" s="494">
        <f>SUM(P104)</f>
        <v>77058.899999999994</v>
      </c>
    </row>
    <row r="106" spans="2:16" ht="21" customHeight="1" x14ac:dyDescent="0.25">
      <c r="B106" s="286"/>
      <c r="C106" s="685"/>
      <c r="D106" s="282"/>
      <c r="E106" s="492"/>
      <c r="F106" s="859"/>
      <c r="G106" s="860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28.5" customHeight="1" x14ac:dyDescent="0.25">
      <c r="B107" s="1014" t="s">
        <v>1477</v>
      </c>
      <c r="C107" s="570"/>
      <c r="D107" s="492"/>
      <c r="E107" s="465"/>
      <c r="F107" s="1016"/>
      <c r="G107" s="860"/>
      <c r="H107" s="695"/>
      <c r="I107" s="1144"/>
      <c r="J107" s="697"/>
      <c r="K107" s="697"/>
      <c r="L107" s="697"/>
      <c r="M107" s="1145"/>
      <c r="N107" s="697"/>
      <c r="O107" s="697"/>
      <c r="P107" s="697"/>
    </row>
    <row r="108" spans="2:16" s="259" customFormat="1" ht="33" customHeight="1" x14ac:dyDescent="0.25">
      <c r="B108" s="1251" t="s">
        <v>1752</v>
      </c>
      <c r="C108" s="1252" t="s">
        <v>807</v>
      </c>
      <c r="D108" s="1246" t="s">
        <v>1753</v>
      </c>
      <c r="E108" s="1247" t="s">
        <v>1063</v>
      </c>
      <c r="F108" s="855">
        <v>45839</v>
      </c>
      <c r="G108" s="855">
        <v>45992</v>
      </c>
      <c r="H108" s="1100">
        <v>120000</v>
      </c>
      <c r="I108" s="1249">
        <v>0</v>
      </c>
      <c r="J108" s="1100">
        <v>120000</v>
      </c>
      <c r="K108" s="1100">
        <v>3444</v>
      </c>
      <c r="L108" s="1103">
        <v>16809.87</v>
      </c>
      <c r="M108" s="1250">
        <v>3648</v>
      </c>
      <c r="N108" s="626">
        <v>1296.7</v>
      </c>
      <c r="O108" s="468">
        <f t="shared" ref="O108:O114" si="18">+K108+L108+M108+N108</f>
        <v>25198.57</v>
      </c>
      <c r="P108" s="675">
        <f>+J108-O108</f>
        <v>94801.43</v>
      </c>
    </row>
    <row r="109" spans="2:16" ht="21" customHeight="1" x14ac:dyDescent="0.25">
      <c r="B109" s="1017" t="s">
        <v>1595</v>
      </c>
      <c r="C109" s="1227" t="s">
        <v>806</v>
      </c>
      <c r="D109" s="282" t="s">
        <v>414</v>
      </c>
      <c r="E109" s="281" t="s">
        <v>1063</v>
      </c>
      <c r="F109" s="855">
        <v>45748</v>
      </c>
      <c r="G109" s="855">
        <v>45901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18"/>
        <v>9530.48</v>
      </c>
      <c r="P109" s="468">
        <f>+J109-O109</f>
        <v>60469.520000000004</v>
      </c>
    </row>
    <row r="110" spans="2:16" ht="21" customHeight="1" x14ac:dyDescent="0.25">
      <c r="B110" s="153" t="s">
        <v>1596</v>
      </c>
      <c r="C110" s="685" t="s">
        <v>807</v>
      </c>
      <c r="D110" s="282" t="s">
        <v>414</v>
      </c>
      <c r="E110" s="281" t="s">
        <v>1063</v>
      </c>
      <c r="F110" s="855">
        <v>45748</v>
      </c>
      <c r="G110" s="855">
        <v>45901</v>
      </c>
      <c r="H110" s="626">
        <v>70000</v>
      </c>
      <c r="I110" s="1169">
        <v>0</v>
      </c>
      <c r="J110" s="468">
        <v>70000</v>
      </c>
      <c r="K110" s="468">
        <v>2009</v>
      </c>
      <c r="L110" s="468">
        <v>5368.48</v>
      </c>
      <c r="M110" s="1149">
        <v>2128</v>
      </c>
      <c r="N110" s="468">
        <v>25</v>
      </c>
      <c r="O110" s="468">
        <f t="shared" si="18"/>
        <v>9530.48</v>
      </c>
      <c r="P110" s="468">
        <f t="shared" ref="P110:P114" si="19">+J110-O110</f>
        <v>60469.520000000004</v>
      </c>
    </row>
    <row r="111" spans="2:16" ht="21" customHeight="1" x14ac:dyDescent="0.25">
      <c r="B111" s="286" t="s">
        <v>610</v>
      </c>
      <c r="C111" s="685" t="s">
        <v>806</v>
      </c>
      <c r="D111" s="282" t="s">
        <v>414</v>
      </c>
      <c r="E111" s="281" t="s">
        <v>1063</v>
      </c>
      <c r="F111" s="855">
        <v>45748</v>
      </c>
      <c r="G111" s="855">
        <v>45901</v>
      </c>
      <c r="H111" s="626">
        <v>70000</v>
      </c>
      <c r="I111" s="1169">
        <v>0</v>
      </c>
      <c r="J111" s="468">
        <v>70000</v>
      </c>
      <c r="K111" s="468">
        <v>2009</v>
      </c>
      <c r="L111" s="468">
        <v>5368.48</v>
      </c>
      <c r="M111" s="1149">
        <v>2128</v>
      </c>
      <c r="N111" s="468">
        <v>25</v>
      </c>
      <c r="O111" s="468">
        <f t="shared" si="18"/>
        <v>9530.48</v>
      </c>
      <c r="P111" s="468">
        <f t="shared" si="19"/>
        <v>60469.520000000004</v>
      </c>
    </row>
    <row r="112" spans="2:16" ht="21" customHeight="1" x14ac:dyDescent="0.25">
      <c r="B112" s="153" t="s">
        <v>1792</v>
      </c>
      <c r="C112" s="685" t="s">
        <v>806</v>
      </c>
      <c r="D112" s="282" t="s">
        <v>414</v>
      </c>
      <c r="E112" s="281" t="s">
        <v>1063</v>
      </c>
      <c r="F112" s="855">
        <v>45748</v>
      </c>
      <c r="G112" s="855">
        <v>45901</v>
      </c>
      <c r="H112" s="626">
        <v>70000</v>
      </c>
      <c r="I112" s="1169">
        <v>0</v>
      </c>
      <c r="J112" s="468">
        <v>70000</v>
      </c>
      <c r="K112" s="468">
        <v>2009</v>
      </c>
      <c r="L112" s="468">
        <v>5368.48</v>
      </c>
      <c r="M112" s="1149">
        <v>2128</v>
      </c>
      <c r="N112" s="468">
        <v>25</v>
      </c>
      <c r="O112" s="468">
        <f t="shared" si="18"/>
        <v>9530.48</v>
      </c>
      <c r="P112" s="468">
        <f t="shared" si="19"/>
        <v>60469.520000000004</v>
      </c>
    </row>
    <row r="113" spans="2:16" ht="21" customHeight="1" x14ac:dyDescent="0.25">
      <c r="B113" s="286" t="s">
        <v>1295</v>
      </c>
      <c r="C113" s="685" t="s">
        <v>1296</v>
      </c>
      <c r="D113" s="282" t="s">
        <v>414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5025.38</v>
      </c>
      <c r="M113" s="1149">
        <v>2128</v>
      </c>
      <c r="N113" s="468">
        <v>1740.46</v>
      </c>
      <c r="O113" s="468">
        <f t="shared" si="18"/>
        <v>10902.84</v>
      </c>
      <c r="P113" s="468">
        <f t="shared" si="19"/>
        <v>59097.16</v>
      </c>
    </row>
    <row r="114" spans="2:16" ht="21" customHeight="1" x14ac:dyDescent="0.25">
      <c r="B114" s="286" t="s">
        <v>1293</v>
      </c>
      <c r="C114" s="685" t="s">
        <v>807</v>
      </c>
      <c r="D114" s="282" t="s">
        <v>1294</v>
      </c>
      <c r="E114" s="281" t="s">
        <v>1063</v>
      </c>
      <c r="F114" s="855">
        <v>45717</v>
      </c>
      <c r="G114" s="855">
        <v>45870</v>
      </c>
      <c r="H114" s="626">
        <v>55000</v>
      </c>
      <c r="I114" s="1169">
        <v>0</v>
      </c>
      <c r="J114" s="468">
        <v>55000</v>
      </c>
      <c r="K114" s="468">
        <v>1578.5</v>
      </c>
      <c r="L114" s="468">
        <v>2559.6799999999998</v>
      </c>
      <c r="M114" s="1149">
        <v>1672</v>
      </c>
      <c r="N114" s="468">
        <v>25</v>
      </c>
      <c r="O114" s="468">
        <f t="shared" si="18"/>
        <v>5835.18</v>
      </c>
      <c r="P114" s="468">
        <f t="shared" si="19"/>
        <v>49164.82</v>
      </c>
    </row>
    <row r="115" spans="2:16" ht="21" customHeight="1" x14ac:dyDescent="0.25">
      <c r="B115" s="466" t="s">
        <v>813</v>
      </c>
      <c r="C115" s="569"/>
      <c r="D115" s="492">
        <v>7</v>
      </c>
      <c r="E115" s="465"/>
      <c r="F115" s="1016"/>
      <c r="G115" s="860"/>
      <c r="H115" s="695">
        <f>SUM(H108:H114)</f>
        <v>525000</v>
      </c>
      <c r="I115" s="1144">
        <f t="shared" ref="I115" si="20">SUM(I114)</f>
        <v>0</v>
      </c>
      <c r="J115" s="695">
        <f>SUM(J108:J114)</f>
        <v>525000</v>
      </c>
      <c r="K115" s="695">
        <f t="shared" ref="K115:P115" si="21">SUM(K108:K114)</f>
        <v>15067.5</v>
      </c>
      <c r="L115" s="695">
        <f t="shared" si="21"/>
        <v>45868.849999999991</v>
      </c>
      <c r="M115" s="695">
        <f t="shared" si="21"/>
        <v>15960</v>
      </c>
      <c r="N115" s="695">
        <f t="shared" si="21"/>
        <v>3162.16</v>
      </c>
      <c r="O115" s="695">
        <f t="shared" si="21"/>
        <v>80058.50999999998</v>
      </c>
      <c r="P115" s="695">
        <f t="shared" si="21"/>
        <v>444941.49000000005</v>
      </c>
    </row>
    <row r="116" spans="2:16" ht="21" customHeight="1" x14ac:dyDescent="0.25">
      <c r="B116" s="490"/>
      <c r="C116" s="1223"/>
      <c r="D116" s="492"/>
      <c r="E116" s="465"/>
      <c r="F116" s="856"/>
      <c r="G116" s="857"/>
      <c r="H116" s="695"/>
      <c r="I116" s="1112"/>
      <c r="J116" s="463"/>
      <c r="K116" s="463"/>
      <c r="L116" s="463"/>
      <c r="M116" s="1145"/>
      <c r="N116" s="697"/>
      <c r="O116" s="697"/>
      <c r="P116" s="463"/>
    </row>
    <row r="117" spans="2:16" ht="30" customHeight="1" x14ac:dyDescent="0.25">
      <c r="B117" s="1014" t="s">
        <v>825</v>
      </c>
      <c r="C117" s="570"/>
      <c r="D117" s="492"/>
      <c r="E117" s="465"/>
      <c r="F117" s="1019"/>
      <c r="G117" s="857"/>
      <c r="H117" s="695"/>
      <c r="I117" s="1144"/>
      <c r="J117" s="697"/>
      <c r="K117" s="697"/>
      <c r="L117" s="697"/>
      <c r="M117" s="1145"/>
      <c r="N117" s="697"/>
      <c r="O117" s="697"/>
      <c r="P117" s="697"/>
    </row>
    <row r="118" spans="2:16" ht="28.5" customHeight="1" x14ac:dyDescent="0.25">
      <c r="B118" s="153" t="s">
        <v>1598</v>
      </c>
      <c r="C118" s="684" t="s">
        <v>807</v>
      </c>
      <c r="D118" s="749" t="s">
        <v>1516</v>
      </c>
      <c r="E118" s="282" t="s">
        <v>1281</v>
      </c>
      <c r="F118" s="855">
        <v>45778</v>
      </c>
      <c r="G118" s="855">
        <v>45931</v>
      </c>
      <c r="H118" s="626">
        <v>120000</v>
      </c>
      <c r="I118" s="1111">
        <v>0</v>
      </c>
      <c r="J118" s="498">
        <v>120000</v>
      </c>
      <c r="K118" s="498">
        <v>3444</v>
      </c>
      <c r="L118" s="498">
        <v>16809.87</v>
      </c>
      <c r="M118" s="1149">
        <v>3648</v>
      </c>
      <c r="N118" s="626">
        <v>4169.3999999999996</v>
      </c>
      <c r="O118" s="468">
        <f>+K118+L118+M118+N118</f>
        <v>28071.269999999997</v>
      </c>
      <c r="P118" s="457">
        <f>+J118-O118</f>
        <v>91928.73000000001</v>
      </c>
    </row>
    <row r="119" spans="2:16" ht="21" customHeight="1" x14ac:dyDescent="0.25">
      <c r="B119" s="466" t="s">
        <v>813</v>
      </c>
      <c r="C119" s="569"/>
      <c r="D119" s="492">
        <v>1</v>
      </c>
      <c r="E119" s="465"/>
      <c r="F119" s="1016"/>
      <c r="G119" s="860"/>
      <c r="H119" s="695">
        <f>SUM(H118:H118)</f>
        <v>120000</v>
      </c>
      <c r="I119" s="1112">
        <v>0</v>
      </c>
      <c r="J119" s="695">
        <f t="shared" ref="J119:P119" si="22">SUM(J118:J118)</f>
        <v>120000</v>
      </c>
      <c r="K119" s="695">
        <f t="shared" si="22"/>
        <v>3444</v>
      </c>
      <c r="L119" s="695">
        <f t="shared" si="22"/>
        <v>16809.87</v>
      </c>
      <c r="M119" s="695">
        <f t="shared" si="22"/>
        <v>3648</v>
      </c>
      <c r="N119" s="695">
        <f t="shared" si="22"/>
        <v>4169.3999999999996</v>
      </c>
      <c r="O119" s="695">
        <f t="shared" si="22"/>
        <v>28071.269999999997</v>
      </c>
      <c r="P119" s="695">
        <f t="shared" si="22"/>
        <v>91928.73000000001</v>
      </c>
    </row>
    <row r="120" spans="2:16" ht="21" customHeight="1" x14ac:dyDescent="0.25">
      <c r="B120" s="466"/>
      <c r="C120" s="569"/>
      <c r="D120" s="492"/>
      <c r="E120" s="465"/>
      <c r="F120" s="1016"/>
      <c r="G120" s="860"/>
      <c r="H120" s="695"/>
      <c r="I120" s="1112"/>
      <c r="J120" s="695"/>
      <c r="K120" s="695"/>
      <c r="L120" s="695"/>
      <c r="M120" s="695"/>
      <c r="N120" s="695"/>
      <c r="O120" s="695"/>
      <c r="P120" s="695"/>
    </row>
    <row r="121" spans="2:16" ht="30" customHeight="1" x14ac:dyDescent="0.25">
      <c r="B121" s="1014" t="s">
        <v>1476</v>
      </c>
      <c r="C121" s="570"/>
      <c r="D121" s="492"/>
      <c r="E121" s="465"/>
      <c r="F121" s="1019"/>
      <c r="G121" s="857"/>
      <c r="H121" s="695"/>
      <c r="I121" s="1144"/>
      <c r="J121" s="697"/>
      <c r="K121" s="697"/>
      <c r="L121" s="697"/>
      <c r="M121" s="1145"/>
      <c r="N121" s="697"/>
      <c r="O121" s="697"/>
      <c r="P121" s="697"/>
    </row>
    <row r="122" spans="2:16" ht="28.5" customHeight="1" x14ac:dyDescent="0.25">
      <c r="B122" s="153" t="s">
        <v>1754</v>
      </c>
      <c r="C122" s="684" t="s">
        <v>807</v>
      </c>
      <c r="D122" s="749" t="s">
        <v>1755</v>
      </c>
      <c r="E122" s="282" t="s">
        <v>1281</v>
      </c>
      <c r="F122" s="855">
        <v>45809</v>
      </c>
      <c r="G122" s="855">
        <v>45992</v>
      </c>
      <c r="H122" s="626">
        <v>120000</v>
      </c>
      <c r="I122" s="1111">
        <v>0</v>
      </c>
      <c r="J122" s="498">
        <v>120000</v>
      </c>
      <c r="K122" s="498">
        <v>3444</v>
      </c>
      <c r="L122" s="498">
        <v>16809.87</v>
      </c>
      <c r="M122" s="1149">
        <v>3648</v>
      </c>
      <c r="N122" s="626">
        <v>2568.4</v>
      </c>
      <c r="O122" s="468">
        <f>+K122+L122+M122+N122</f>
        <v>26470.27</v>
      </c>
      <c r="P122" s="457">
        <f>+J122-O122</f>
        <v>93529.73</v>
      </c>
    </row>
    <row r="123" spans="2:16" ht="28.5" customHeight="1" x14ac:dyDescent="0.25">
      <c r="B123" s="466" t="s">
        <v>813</v>
      </c>
      <c r="C123" s="684"/>
      <c r="D123" s="492">
        <v>1</v>
      </c>
      <c r="E123" s="282"/>
      <c r="F123" s="855"/>
      <c r="G123" s="855"/>
      <c r="H123" s="695">
        <f>SUM(H121:H122)</f>
        <v>120000</v>
      </c>
      <c r="I123" s="1112">
        <v>0</v>
      </c>
      <c r="J123" s="695">
        <f t="shared" ref="J123:O123" si="23">SUM(J121:J122)</f>
        <v>120000</v>
      </c>
      <c r="K123" s="695">
        <f t="shared" si="23"/>
        <v>3444</v>
      </c>
      <c r="L123" s="695">
        <f t="shared" si="23"/>
        <v>16809.87</v>
      </c>
      <c r="M123" s="695">
        <f t="shared" si="23"/>
        <v>3648</v>
      </c>
      <c r="N123" s="695">
        <f>SUM(N121:N122)</f>
        <v>2568.4</v>
      </c>
      <c r="O123" s="695">
        <f t="shared" si="23"/>
        <v>26470.27</v>
      </c>
      <c r="P123" s="695">
        <f>SUM(P121:P122)</f>
        <v>93529.73</v>
      </c>
    </row>
    <row r="124" spans="2:16" ht="21" customHeight="1" x14ac:dyDescent="0.25">
      <c r="B124" s="490"/>
      <c r="C124" s="1223"/>
      <c r="D124" s="492"/>
      <c r="E124" s="465"/>
      <c r="F124" s="859"/>
      <c r="G124" s="860"/>
      <c r="H124" s="695"/>
      <c r="I124" s="1112"/>
      <c r="J124" s="494"/>
      <c r="K124" s="494"/>
      <c r="L124" s="494"/>
      <c r="M124" s="1145"/>
      <c r="N124" s="695"/>
      <c r="O124" s="695"/>
      <c r="P124" s="494"/>
    </row>
    <row r="125" spans="2:16" ht="21" customHeight="1" x14ac:dyDescent="0.25">
      <c r="B125" s="466" t="s">
        <v>827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1" customHeight="1" x14ac:dyDescent="0.25">
      <c r="B126" s="490" t="s">
        <v>1788</v>
      </c>
      <c r="C126" s="1223"/>
      <c r="D126" s="492"/>
      <c r="E126" s="465"/>
      <c r="F126" s="710"/>
      <c r="G126" s="711"/>
      <c r="H126" s="695"/>
      <c r="I126" s="1112"/>
      <c r="J126" s="463"/>
      <c r="K126" s="463"/>
      <c r="L126" s="463"/>
      <c r="M126" s="1145"/>
      <c r="N126" s="697"/>
      <c r="O126" s="697"/>
      <c r="P126" s="463"/>
    </row>
    <row r="127" spans="2:16" ht="30" customHeight="1" x14ac:dyDescent="0.25">
      <c r="B127" s="153" t="s">
        <v>1602</v>
      </c>
      <c r="C127" s="281" t="s">
        <v>807</v>
      </c>
      <c r="D127" s="282" t="s">
        <v>1032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>+K127+L127+M127+N127</f>
        <v>9530.48</v>
      </c>
      <c r="P127" s="468">
        <f>+J127-O127</f>
        <v>60469.520000000004</v>
      </c>
    </row>
    <row r="128" spans="2:16" ht="30" customHeight="1" x14ac:dyDescent="0.25">
      <c r="B128" s="153" t="s">
        <v>1613</v>
      </c>
      <c r="C128" s="281" t="s">
        <v>807</v>
      </c>
      <c r="D128" s="282" t="s">
        <v>417</v>
      </c>
      <c r="E128" s="281" t="s">
        <v>1063</v>
      </c>
      <c r="F128" s="855">
        <v>45717</v>
      </c>
      <c r="G128" s="855">
        <v>45870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4682.29</v>
      </c>
      <c r="M128" s="1149">
        <v>2128</v>
      </c>
      <c r="N128" s="468">
        <v>3455.92</v>
      </c>
      <c r="O128" s="468">
        <f>+K128+L128+M128+N128</f>
        <v>12275.210000000001</v>
      </c>
      <c r="P128" s="468">
        <f>+J128-O128</f>
        <v>57724.79</v>
      </c>
    </row>
    <row r="129" spans="2:16" ht="30" customHeight="1" x14ac:dyDescent="0.25">
      <c r="B129" s="153" t="s">
        <v>1606</v>
      </c>
      <c r="C129" s="281" t="s">
        <v>807</v>
      </c>
      <c r="D129" s="282" t="s">
        <v>414</v>
      </c>
      <c r="E129" s="281" t="s">
        <v>1063</v>
      </c>
      <c r="F129" s="855">
        <v>45748</v>
      </c>
      <c r="G129" s="855">
        <v>45901</v>
      </c>
      <c r="H129" s="626">
        <v>70000</v>
      </c>
      <c r="I129" s="1169">
        <v>0</v>
      </c>
      <c r="J129" s="468">
        <v>70000</v>
      </c>
      <c r="K129" s="468">
        <v>2009</v>
      </c>
      <c r="L129" s="861">
        <v>5025.38</v>
      </c>
      <c r="M129" s="1149">
        <v>2128</v>
      </c>
      <c r="N129" s="468">
        <v>1740.46</v>
      </c>
      <c r="O129" s="468">
        <f t="shared" ref="O129:O133" si="24">+K129+L129+M129+N129</f>
        <v>10902.84</v>
      </c>
      <c r="P129" s="468">
        <f t="shared" ref="P129:P136" si="25">+J129-O129</f>
        <v>59097.16</v>
      </c>
    </row>
    <row r="130" spans="2:16" ht="30" customHeight="1" x14ac:dyDescent="0.25">
      <c r="B130" s="286" t="s">
        <v>725</v>
      </c>
      <c r="C130" s="281" t="s">
        <v>806</v>
      </c>
      <c r="D130" s="282" t="s">
        <v>823</v>
      </c>
      <c r="E130" s="281" t="s">
        <v>1063</v>
      </c>
      <c r="F130" s="855">
        <v>45748</v>
      </c>
      <c r="G130" s="855">
        <v>45901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24"/>
        <v>9530.48</v>
      </c>
      <c r="P130" s="468">
        <f t="shared" si="25"/>
        <v>60469.520000000004</v>
      </c>
    </row>
    <row r="131" spans="2:16" ht="30" customHeight="1" x14ac:dyDescent="0.25">
      <c r="B131" s="153" t="s">
        <v>1735</v>
      </c>
      <c r="C131" s="281" t="s">
        <v>806</v>
      </c>
      <c r="D131" s="282" t="s">
        <v>414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4"/>
        <v>9530.48</v>
      </c>
      <c r="P131" s="468">
        <f t="shared" si="25"/>
        <v>60469.520000000004</v>
      </c>
    </row>
    <row r="132" spans="2:16" ht="30" customHeight="1" x14ac:dyDescent="0.25">
      <c r="B132" s="153" t="s">
        <v>1609</v>
      </c>
      <c r="C132" s="281" t="s">
        <v>807</v>
      </c>
      <c r="D132" s="282" t="s">
        <v>414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4"/>
        <v>9530.48</v>
      </c>
      <c r="P132" s="468">
        <f t="shared" si="25"/>
        <v>60469.520000000004</v>
      </c>
    </row>
    <row r="133" spans="2:16" ht="30" customHeight="1" x14ac:dyDescent="0.25">
      <c r="B133" s="286" t="s">
        <v>1409</v>
      </c>
      <c r="C133" s="281" t="s">
        <v>807</v>
      </c>
      <c r="D133" s="282" t="s">
        <v>414</v>
      </c>
      <c r="E133" s="281" t="s">
        <v>1063</v>
      </c>
      <c r="F133" s="855">
        <v>45839</v>
      </c>
      <c r="G133" s="855">
        <v>45992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24"/>
        <v>9530.48</v>
      </c>
      <c r="P133" s="468">
        <f t="shared" si="25"/>
        <v>60469.520000000004</v>
      </c>
    </row>
    <row r="134" spans="2:16" ht="30" customHeight="1" x14ac:dyDescent="0.25">
      <c r="B134" s="286" t="s">
        <v>1787</v>
      </c>
      <c r="C134" s="281" t="s">
        <v>806</v>
      </c>
      <c r="D134" s="282" t="s">
        <v>823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ref="O134" si="26">+K134+L134+M134+N134</f>
        <v>9530.48</v>
      </c>
      <c r="P134" s="468">
        <f t="shared" ref="P134" si="27">+J134-O134</f>
        <v>60469.520000000004</v>
      </c>
    </row>
    <row r="135" spans="2:16" ht="30" customHeight="1" x14ac:dyDescent="0.25">
      <c r="B135" s="153" t="s">
        <v>1622</v>
      </c>
      <c r="C135" s="281" t="s">
        <v>806</v>
      </c>
      <c r="D135" s="282" t="s">
        <v>1357</v>
      </c>
      <c r="E135" s="281" t="s">
        <v>1063</v>
      </c>
      <c r="F135" s="855">
        <v>45748</v>
      </c>
      <c r="G135" s="855">
        <v>45901</v>
      </c>
      <c r="H135" s="626">
        <v>125000</v>
      </c>
      <c r="I135" s="1169">
        <v>0</v>
      </c>
      <c r="J135" s="468">
        <v>125000</v>
      </c>
      <c r="K135" s="1038">
        <v>3587.5</v>
      </c>
      <c r="L135" s="1037">
        <v>17985.990000000002</v>
      </c>
      <c r="M135" s="1150">
        <v>3800</v>
      </c>
      <c r="N135" s="1038">
        <v>25</v>
      </c>
      <c r="O135" s="468">
        <f>+K135+L135+M135+N135</f>
        <v>25398.49</v>
      </c>
      <c r="P135" s="468">
        <f t="shared" si="25"/>
        <v>99601.51</v>
      </c>
    </row>
    <row r="136" spans="2:16" ht="30" customHeight="1" x14ac:dyDescent="0.25">
      <c r="B136" s="153" t="s">
        <v>1624</v>
      </c>
      <c r="C136" s="281" t="s">
        <v>806</v>
      </c>
      <c r="D136" s="282" t="s">
        <v>1683</v>
      </c>
      <c r="E136" s="281" t="s">
        <v>1063</v>
      </c>
      <c r="F136" s="855">
        <v>45748</v>
      </c>
      <c r="G136" s="855">
        <v>45901</v>
      </c>
      <c r="H136" s="626">
        <v>55000</v>
      </c>
      <c r="I136" s="1169">
        <v>0</v>
      </c>
      <c r="J136" s="468">
        <v>55000</v>
      </c>
      <c r="K136" s="468">
        <v>1578.5</v>
      </c>
      <c r="L136" s="468">
        <v>2302.36</v>
      </c>
      <c r="M136" s="1149">
        <v>1672</v>
      </c>
      <c r="N136" s="468">
        <v>1740.46</v>
      </c>
      <c r="O136" s="468">
        <f t="shared" ref="O136" si="28">+K136+L136+M136+N136</f>
        <v>7293.3200000000006</v>
      </c>
      <c r="P136" s="468">
        <f t="shared" si="25"/>
        <v>47706.68</v>
      </c>
    </row>
    <row r="137" spans="2:16" ht="21" customHeight="1" x14ac:dyDescent="0.25">
      <c r="B137" s="466" t="s">
        <v>813</v>
      </c>
      <c r="C137" s="569"/>
      <c r="D137" s="492">
        <v>10</v>
      </c>
      <c r="E137" s="465"/>
      <c r="F137" s="1016"/>
      <c r="G137" s="860"/>
      <c r="H137" s="695">
        <f>SUM(H127:H136)</f>
        <v>740000</v>
      </c>
      <c r="I137" s="1144">
        <v>0</v>
      </c>
      <c r="J137" s="695">
        <f t="shared" ref="J137:P137" si="29">SUM(J127:J136)</f>
        <v>740000</v>
      </c>
      <c r="K137" s="695">
        <f t="shared" si="29"/>
        <v>21238</v>
      </c>
      <c r="L137" s="695">
        <f t="shared" si="29"/>
        <v>62206.900000000009</v>
      </c>
      <c r="M137" s="695">
        <f t="shared" si="29"/>
        <v>22496</v>
      </c>
      <c r="N137" s="695">
        <f t="shared" si="29"/>
        <v>7111.84</v>
      </c>
      <c r="O137" s="695">
        <f t="shared" si="29"/>
        <v>113052.74</v>
      </c>
      <c r="P137" s="695">
        <f t="shared" si="29"/>
        <v>626947.26000000013</v>
      </c>
    </row>
    <row r="138" spans="2:16" ht="28.5" customHeight="1" x14ac:dyDescent="0.25">
      <c r="B138" s="286"/>
      <c r="C138" s="569"/>
      <c r="D138" s="282"/>
      <c r="E138" s="465"/>
      <c r="F138" s="1272"/>
      <c r="G138" s="711"/>
      <c r="H138" s="695"/>
      <c r="I138" s="1144"/>
      <c r="J138" s="697"/>
      <c r="K138" s="697"/>
      <c r="L138" s="697"/>
      <c r="M138" s="1145"/>
      <c r="N138" s="697"/>
      <c r="O138" s="697"/>
      <c r="P138" s="697"/>
    </row>
    <row r="139" spans="2:16" ht="28.5" customHeight="1" x14ac:dyDescent="0.25">
      <c r="B139" s="1014" t="s">
        <v>1804</v>
      </c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53" t="s">
        <v>1087</v>
      </c>
      <c r="C140" s="680" t="s">
        <v>807</v>
      </c>
      <c r="D140" s="282" t="s">
        <v>414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628">
        <v>70000</v>
      </c>
      <c r="K140" s="628">
        <v>2009</v>
      </c>
      <c r="L140" s="628">
        <v>5368.48</v>
      </c>
      <c r="M140" s="1149">
        <v>2128</v>
      </c>
      <c r="N140" s="628">
        <v>25</v>
      </c>
      <c r="O140" s="628">
        <f t="shared" ref="O140:O147" si="30">+K140+L140+M140+N140</f>
        <v>9530.48</v>
      </c>
      <c r="P140" s="628">
        <f t="shared" ref="P140:P142" si="31">+J140-O140</f>
        <v>60469.520000000004</v>
      </c>
    </row>
    <row r="141" spans="2:16" ht="28.5" customHeight="1" x14ac:dyDescent="0.25">
      <c r="B141" s="153" t="s">
        <v>1603</v>
      </c>
      <c r="C141" s="281" t="s">
        <v>806</v>
      </c>
      <c r="D141" s="282" t="s">
        <v>489</v>
      </c>
      <c r="E141" s="281" t="s">
        <v>1063</v>
      </c>
      <c r="F141" s="855">
        <v>45748</v>
      </c>
      <c r="G141" s="855">
        <v>45901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si="30"/>
        <v>9530.48</v>
      </c>
      <c r="P141" s="628">
        <f t="shared" si="31"/>
        <v>60469.520000000004</v>
      </c>
    </row>
    <row r="142" spans="2:16" ht="28.5" customHeight="1" x14ac:dyDescent="0.25">
      <c r="B142" s="153" t="s">
        <v>1618</v>
      </c>
      <c r="C142" s="281" t="s">
        <v>807</v>
      </c>
      <c r="D142" s="282" t="s">
        <v>414</v>
      </c>
      <c r="E142" s="281" t="s">
        <v>1063</v>
      </c>
      <c r="F142" s="855">
        <v>45717</v>
      </c>
      <c r="G142" s="855">
        <v>45870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30"/>
        <v>9530.48</v>
      </c>
      <c r="P142" s="628">
        <f t="shared" si="31"/>
        <v>60469.520000000004</v>
      </c>
    </row>
    <row r="143" spans="2:16" ht="28.5" customHeight="1" x14ac:dyDescent="0.25">
      <c r="B143" s="153" t="s">
        <v>1612</v>
      </c>
      <c r="C143" s="281" t="s">
        <v>1296</v>
      </c>
      <c r="D143" s="282" t="s">
        <v>417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30"/>
        <v>9530.48</v>
      </c>
      <c r="P143" s="628">
        <f t="shared" ref="P143:P145" si="32">+J143-O143</f>
        <v>60469.520000000004</v>
      </c>
    </row>
    <row r="144" spans="2:16" ht="28.5" customHeight="1" x14ac:dyDescent="0.25">
      <c r="B144" s="153" t="s">
        <v>1619</v>
      </c>
      <c r="C144" s="281" t="s">
        <v>806</v>
      </c>
      <c r="D144" s="282" t="s">
        <v>823</v>
      </c>
      <c r="E144" s="281" t="s">
        <v>1063</v>
      </c>
      <c r="F144" s="855">
        <v>45748</v>
      </c>
      <c r="G144" s="855">
        <v>45901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5025.38</v>
      </c>
      <c r="M144" s="1149">
        <v>2128</v>
      </c>
      <c r="N144" s="628">
        <v>1740.46</v>
      </c>
      <c r="O144" s="628">
        <f t="shared" si="30"/>
        <v>10902.84</v>
      </c>
      <c r="P144" s="628">
        <f t="shared" si="32"/>
        <v>59097.16</v>
      </c>
    </row>
    <row r="145" spans="2:16" ht="28.5" customHeight="1" x14ac:dyDescent="0.25">
      <c r="B145" s="153" t="s">
        <v>1621</v>
      </c>
      <c r="C145" s="281" t="s">
        <v>806</v>
      </c>
      <c r="D145" s="280" t="s">
        <v>417</v>
      </c>
      <c r="E145" s="281" t="s">
        <v>1063</v>
      </c>
      <c r="F145" s="855">
        <v>45748</v>
      </c>
      <c r="G145" s="855">
        <v>45901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5368.48</v>
      </c>
      <c r="M145" s="1149">
        <v>2128</v>
      </c>
      <c r="N145" s="628">
        <v>25</v>
      </c>
      <c r="O145" s="628">
        <f t="shared" si="30"/>
        <v>9530.48</v>
      </c>
      <c r="P145" s="628">
        <f t="shared" si="32"/>
        <v>60469.520000000004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45748</v>
      </c>
      <c r="G146" s="855">
        <v>45901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>+J146-O146</f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30"/>
        <v>1502.5</v>
      </c>
      <c r="P147" s="628">
        <f>+J147-O147</f>
        <v>23497.5</v>
      </c>
    </row>
    <row r="148" spans="2:16" ht="21" customHeight="1" x14ac:dyDescent="0.25">
      <c r="B148" s="466" t="s">
        <v>813</v>
      </c>
      <c r="C148" s="569"/>
      <c r="D148" s="492">
        <v>8</v>
      </c>
      <c r="E148" s="465"/>
      <c r="F148" s="1016"/>
      <c r="G148" s="860"/>
      <c r="H148" s="695">
        <f>SUM(H140:H147)</f>
        <v>488500</v>
      </c>
      <c r="I148" s="1144">
        <v>0</v>
      </c>
      <c r="J148" s="695">
        <f t="shared" ref="J148:P148" si="33">SUM(J140:J147)</f>
        <v>488500</v>
      </c>
      <c r="K148" s="695">
        <f t="shared" si="33"/>
        <v>14019.95</v>
      </c>
      <c r="L148" s="695">
        <f t="shared" si="33"/>
        <v>32804.400000000001</v>
      </c>
      <c r="M148" s="695">
        <f t="shared" si="33"/>
        <v>14850.4</v>
      </c>
      <c r="N148" s="695">
        <f t="shared" si="33"/>
        <v>1915.46</v>
      </c>
      <c r="O148" s="695">
        <f t="shared" si="33"/>
        <v>63590.209999999992</v>
      </c>
      <c r="P148" s="695">
        <f t="shared" si="33"/>
        <v>424909.79000000004</v>
      </c>
    </row>
    <row r="149" spans="2:16" ht="28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684" t="s">
        <v>806</v>
      </c>
      <c r="D151" s="749" t="s">
        <v>1782</v>
      </c>
      <c r="E151" s="282" t="s">
        <v>1063</v>
      </c>
      <c r="F151" s="855">
        <v>45748</v>
      </c>
      <c r="G151" s="855">
        <v>45901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34">+K152+L152+M152+N152</f>
        <v>9530.48</v>
      </c>
      <c r="P152" s="468">
        <f t="shared" ref="P152:P157" si="35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45748</v>
      </c>
      <c r="G153" s="855">
        <v>45901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34"/>
        <v>9530.48</v>
      </c>
      <c r="P153" s="468">
        <f t="shared" si="35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45717</v>
      </c>
      <c r="G154" s="855">
        <v>45870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34"/>
        <v>9530.48</v>
      </c>
      <c r="P154" s="468">
        <f t="shared" si="35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45717</v>
      </c>
      <c r="G155" s="855">
        <v>45870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34"/>
        <v>9530.48</v>
      </c>
      <c r="P155" s="468">
        <f t="shared" si="35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45748</v>
      </c>
      <c r="G156" s="855">
        <v>45901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34"/>
        <v>9530.48</v>
      </c>
      <c r="P156" s="468">
        <f t="shared" si="35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45748</v>
      </c>
      <c r="G157" s="855">
        <v>45901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34"/>
        <v>9530.48</v>
      </c>
      <c r="P157" s="468">
        <f t="shared" si="35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45748</v>
      </c>
      <c r="G158" s="855">
        <v>45901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45748</v>
      </c>
      <c r="G159" s="855">
        <v>45901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36">SUM(J151:J159)</f>
        <v>638500</v>
      </c>
      <c r="K160" s="695">
        <f t="shared" si="36"/>
        <v>18324.95</v>
      </c>
      <c r="L160" s="695">
        <f t="shared" si="36"/>
        <v>52088.179999999993</v>
      </c>
      <c r="M160" s="695">
        <f t="shared" si="36"/>
        <v>19410.400000000001</v>
      </c>
      <c r="N160" s="695">
        <f t="shared" si="36"/>
        <v>1940.46</v>
      </c>
      <c r="O160" s="695">
        <f t="shared" si="36"/>
        <v>91763.989999999991</v>
      </c>
      <c r="P160" s="695">
        <f t="shared" si="36"/>
        <v>546736.01</v>
      </c>
    </row>
    <row r="161" spans="2:17" ht="28.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45748</v>
      </c>
      <c r="G163" s="855">
        <v>45901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69" si="37">+K163+L163+M163+N163</f>
        <v>23926.87</v>
      </c>
      <c r="P163" s="468">
        <f t="shared" ref="P163:P169" si="38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45748</v>
      </c>
      <c r="G164" s="855">
        <v>45901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37"/>
        <v>10902.84</v>
      </c>
      <c r="P164" s="468">
        <f t="shared" si="38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45748</v>
      </c>
      <c r="G165" s="855">
        <v>45901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37"/>
        <v>12275.210000000001</v>
      </c>
      <c r="P165" s="468">
        <f t="shared" si="38"/>
        <v>57724.79</v>
      </c>
    </row>
    <row r="166" spans="2:17" ht="24" customHeight="1" x14ac:dyDescent="0.25">
      <c r="B166" s="153" t="s">
        <v>1611</v>
      </c>
      <c r="C166" s="685" t="s">
        <v>806</v>
      </c>
      <c r="D166" s="282" t="s">
        <v>417</v>
      </c>
      <c r="E166" s="281" t="s">
        <v>1063</v>
      </c>
      <c r="F166" s="855">
        <v>45717</v>
      </c>
      <c r="G166" s="855">
        <v>45870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si="37"/>
        <v>9530.48</v>
      </c>
      <c r="P166" s="468">
        <f t="shared" si="38"/>
        <v>60469.520000000004</v>
      </c>
    </row>
    <row r="167" spans="2:17" ht="24" customHeight="1" x14ac:dyDescent="0.25">
      <c r="B167" s="153" t="s">
        <v>1610</v>
      </c>
      <c r="C167" s="685" t="s">
        <v>806</v>
      </c>
      <c r="D167" s="282" t="s">
        <v>417</v>
      </c>
      <c r="E167" s="281" t="s">
        <v>1063</v>
      </c>
      <c r="F167" s="855">
        <v>45748</v>
      </c>
      <c r="G167" s="855">
        <v>45901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37"/>
        <v>10902.84</v>
      </c>
      <c r="P167" s="468">
        <f t="shared" si="38"/>
        <v>59097.16</v>
      </c>
    </row>
    <row r="168" spans="2:17" ht="24" customHeight="1" x14ac:dyDescent="0.25">
      <c r="B168" s="153" t="s">
        <v>1616</v>
      </c>
      <c r="C168" s="685" t="s">
        <v>806</v>
      </c>
      <c r="D168" s="282" t="s">
        <v>414</v>
      </c>
      <c r="E168" s="281" t="s">
        <v>1063</v>
      </c>
      <c r="F168" s="855">
        <v>45717</v>
      </c>
      <c r="G168" s="855">
        <v>45870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5368.48</v>
      </c>
      <c r="M168" s="1149">
        <v>2128</v>
      </c>
      <c r="N168" s="468">
        <v>25</v>
      </c>
      <c r="O168" s="468">
        <f t="shared" si="37"/>
        <v>9530.48</v>
      </c>
      <c r="P168" s="468">
        <f t="shared" si="38"/>
        <v>60469.520000000004</v>
      </c>
    </row>
    <row r="169" spans="2:17" ht="24" customHeight="1" x14ac:dyDescent="0.25">
      <c r="B169" s="153" t="s">
        <v>1615</v>
      </c>
      <c r="C169" s="685" t="s">
        <v>1296</v>
      </c>
      <c r="D169" s="282" t="s">
        <v>414</v>
      </c>
      <c r="E169" s="281" t="s">
        <v>1063</v>
      </c>
      <c r="F169" s="855">
        <v>45717</v>
      </c>
      <c r="G169" s="855">
        <v>45870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37"/>
        <v>9530.48</v>
      </c>
      <c r="P169" s="468">
        <f t="shared" si="38"/>
        <v>60469.520000000004</v>
      </c>
    </row>
    <row r="170" spans="2:17" ht="24" customHeight="1" x14ac:dyDescent="0.25">
      <c r="B170" s="153" t="s">
        <v>1625</v>
      </c>
      <c r="C170" s="685" t="s">
        <v>1296</v>
      </c>
      <c r="D170" s="282" t="s">
        <v>1636</v>
      </c>
      <c r="E170" s="281" t="s">
        <v>1063</v>
      </c>
      <c r="F170" s="855">
        <v>45717</v>
      </c>
      <c r="G170" s="855">
        <v>45870</v>
      </c>
      <c r="H170" s="626">
        <v>43500</v>
      </c>
      <c r="I170" s="1169">
        <v>0</v>
      </c>
      <c r="J170" s="468">
        <v>43500</v>
      </c>
      <c r="K170" s="468">
        <v>1248.45</v>
      </c>
      <c r="L170" s="468">
        <v>936.62</v>
      </c>
      <c r="M170" s="1149">
        <v>1322.4</v>
      </c>
      <c r="N170" s="468">
        <v>25</v>
      </c>
      <c r="O170" s="468">
        <f>+K170+L170+M170+N170</f>
        <v>3532.4700000000003</v>
      </c>
      <c r="P170" s="468">
        <f>+J170-O170</f>
        <v>39967.53</v>
      </c>
    </row>
    <row r="171" spans="2:17" ht="21" customHeight="1" x14ac:dyDescent="0.25">
      <c r="B171" s="466" t="s">
        <v>813</v>
      </c>
      <c r="C171" s="569"/>
      <c r="D171" s="492">
        <v>8</v>
      </c>
      <c r="E171" s="465"/>
      <c r="F171" s="1016"/>
      <c r="G171" s="860"/>
      <c r="H171" s="695">
        <f>SUM(H163:H170)</f>
        <v>583500</v>
      </c>
      <c r="I171" s="1144">
        <v>0</v>
      </c>
      <c r="J171" s="695">
        <f t="shared" ref="J171:P171" si="39">SUM(J163:J170)</f>
        <v>583500</v>
      </c>
      <c r="K171" s="695">
        <f t="shared" si="39"/>
        <v>16746.45</v>
      </c>
      <c r="L171" s="695">
        <f t="shared" si="39"/>
        <v>48584.98</v>
      </c>
      <c r="M171" s="695">
        <f t="shared" si="39"/>
        <v>17738.400000000001</v>
      </c>
      <c r="N171" s="695">
        <f t="shared" si="39"/>
        <v>7061.84</v>
      </c>
      <c r="O171" s="695">
        <f t="shared" si="39"/>
        <v>90131.669999999984</v>
      </c>
      <c r="P171" s="695">
        <f t="shared" si="39"/>
        <v>493368.33000000007</v>
      </c>
    </row>
    <row r="172" spans="2:17" ht="21" customHeight="1" x14ac:dyDescent="0.25">
      <c r="B172" s="466"/>
      <c r="C172" s="569"/>
      <c r="D172" s="492"/>
      <c r="E172" s="465"/>
      <c r="F172" s="1016"/>
      <c r="G172" s="860"/>
      <c r="H172" s="695">
        <f>+H171+H160+H148+H137</f>
        <v>2450500</v>
      </c>
      <c r="I172" s="1144">
        <v>0</v>
      </c>
      <c r="J172" s="695">
        <f t="shared" ref="J172:P172" si="40">+J171+J160+J148+J137</f>
        <v>2450500</v>
      </c>
      <c r="K172" s="695">
        <f t="shared" si="40"/>
        <v>70329.350000000006</v>
      </c>
      <c r="L172" s="695">
        <f t="shared" si="40"/>
        <v>195684.46000000002</v>
      </c>
      <c r="M172" s="695">
        <f t="shared" si="40"/>
        <v>74495.200000000012</v>
      </c>
      <c r="N172" s="695">
        <f t="shared" si="40"/>
        <v>18029.599999999999</v>
      </c>
      <c r="O172" s="695">
        <f t="shared" si="40"/>
        <v>358538.61</v>
      </c>
      <c r="P172" s="695">
        <f t="shared" si="40"/>
        <v>2091961.3900000001</v>
      </c>
    </row>
    <row r="173" spans="2:17" ht="21" customHeight="1" x14ac:dyDescent="0.25">
      <c r="B173" s="490"/>
      <c r="C173" s="1223"/>
      <c r="D173" s="492"/>
      <c r="E173" s="465"/>
      <c r="F173" s="710"/>
      <c r="G173" s="711"/>
      <c r="H173" s="695"/>
      <c r="I173" s="1112"/>
      <c r="J173" s="463"/>
      <c r="K173" s="463"/>
      <c r="L173" s="463"/>
      <c r="M173" s="1145"/>
      <c r="N173" s="697"/>
      <c r="O173" s="697"/>
      <c r="P173" s="463"/>
    </row>
    <row r="174" spans="2:17" ht="23.25" customHeight="1" x14ac:dyDescent="0.25">
      <c r="B174" s="1048" t="s">
        <v>865</v>
      </c>
      <c r="C174" s="1053"/>
      <c r="D174" s="1125">
        <f>+D171+D160+D148+D137+D16+D20+D26+D30+D34+D45+D49+D53+D58+D62+D68+D82+D91+D95+D101+D105+D115+D119+D123+D40+D72</f>
        <v>84</v>
      </c>
      <c r="E174" s="1125"/>
      <c r="F174" s="1125"/>
      <c r="G174" s="1125"/>
      <c r="H174" s="1126">
        <f>+H16+H20+H26+H30+H34+H40+H45+H49+H53+H58+H62+H68+H82+H91+H95+H101+H105+H115+H119+H123+H137+H148+H160+H171+H72</f>
        <v>7005500</v>
      </c>
      <c r="I174" s="1114">
        <v>0</v>
      </c>
      <c r="J174" s="1126">
        <f>+J16+J20+J26+J30+J34+J40+J45+J49+J53+J58+J62+J68+J82+J91+J95+J101+J105+J115+J119+J123+J137+J148+J160+J171+J72</f>
        <v>7005500</v>
      </c>
      <c r="K174" s="1126">
        <f>+K171+K160+K148+K137+K123+K119+K115+K105+K101+K95+K91+K82+K72+K68+K62+K58+K53+K49+K45+K40+K34+K30+K26+K20+K16</f>
        <v>201057.85</v>
      </c>
      <c r="L174" s="1126">
        <f>+L16+L20+L26+L30+L34+L40+L45+L49+L53+L58+L62+L68+L82+L91+L95+L101+L105+L115+L119+L123+L137+L148+L160+L171+L72</f>
        <v>721927.19999999984</v>
      </c>
      <c r="M174" s="1126">
        <f>+M16+M20+M26+M30+M34+M40+M45+M49+M53+M58+M62+M68+M82+M91+M95+M101+M105+M115+M119+M123+M137+M148+M160+M171+M72</f>
        <v>212967.19999999998</v>
      </c>
      <c r="N174" s="1126">
        <f>+N16+N20+N26+N30+N34+N40+N45+N49+N53+N58+N62+N68+N82+N91+N95+N101+N105+N115+N119+N123+N137+N148+N160+N171+N72</f>
        <v>115291.07999999999</v>
      </c>
      <c r="O174" s="1126">
        <f>+O16+O20+O26+O30+O34+O40+O45+O49+O53+O58+O62+O68+O82+O91+O95+O101+O105+O115+O119+O123+O137+O148+O160+O171+O72</f>
        <v>1251243.33</v>
      </c>
      <c r="P174" s="1126">
        <f>+P16+P20+P26+P30+P34+P40+P45+P49+P53+P58+P62+P68+P82+P91+P95+P101+P105+P115+P119+P123+P137+P148+P160+P171+P72</f>
        <v>5754256.6700000009</v>
      </c>
    </row>
    <row r="175" spans="2:17" x14ac:dyDescent="0.25">
      <c r="B175" s="259"/>
      <c r="C175" s="1220"/>
      <c r="D175" s="259"/>
      <c r="E175" s="546"/>
      <c r="F175" s="546"/>
      <c r="G175" s="546"/>
      <c r="H175" s="862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t="34.5" customHeight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9.7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 t="s">
        <v>641</v>
      </c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x14ac:dyDescent="0.25">
      <c r="B190" s="537"/>
      <c r="C190" s="1062"/>
      <c r="D190" s="537"/>
      <c r="E190" s="692"/>
      <c r="F190" s="692"/>
      <c r="G190" s="692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x14ac:dyDescent="0.25">
      <c r="B192" s="537"/>
      <c r="C192" s="1062"/>
      <c r="D192" s="537"/>
      <c r="E192" s="537"/>
      <c r="F192" s="537"/>
      <c r="G192" s="537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x14ac:dyDescent="0.25">
      <c r="B193" s="542" t="s">
        <v>1449</v>
      </c>
      <c r="C193" s="1202"/>
      <c r="D193" s="542"/>
      <c r="E193" s="691"/>
      <c r="F193" s="691"/>
      <c r="G193" s="691"/>
      <c r="H193" s="866"/>
      <c r="I193" s="674" t="s">
        <v>1377</v>
      </c>
      <c r="K193" s="674"/>
      <c r="L193" s="674"/>
      <c r="M193" s="1153"/>
      <c r="N193" s="1097"/>
      <c r="P193" s="674"/>
      <c r="Q193" s="544"/>
    </row>
    <row r="194" spans="2:17" ht="25.5" customHeight="1" x14ac:dyDescent="0.25">
      <c r="B194" s="546" t="s">
        <v>935</v>
      </c>
      <c r="C194" s="1203"/>
      <c r="D194" s="546"/>
      <c r="E194" s="538"/>
      <c r="F194" s="538"/>
      <c r="G194" s="538"/>
      <c r="H194" s="467"/>
      <c r="I194" s="537"/>
      <c r="J194" s="1708" t="s">
        <v>1375</v>
      </c>
      <c r="K194" s="1708"/>
      <c r="L194" s="1708"/>
      <c r="M194" s="1708"/>
      <c r="N194" s="1708"/>
      <c r="O194" s="1708"/>
      <c r="P194" s="1708"/>
      <c r="Q194" s="539"/>
    </row>
    <row r="195" spans="2:17" x14ac:dyDescent="0.25">
      <c r="B195" s="542" t="s">
        <v>1231</v>
      </c>
      <c r="C195" s="1202"/>
      <c r="D195" s="542"/>
      <c r="E195" s="537"/>
      <c r="G195" s="1062"/>
      <c r="H195" s="1062"/>
      <c r="I195" s="1062"/>
      <c r="J195" s="1692" t="s">
        <v>1554</v>
      </c>
      <c r="K195" s="1692"/>
      <c r="L195" s="1692"/>
      <c r="M195" s="1692"/>
      <c r="N195" s="1692"/>
      <c r="O195" s="1692"/>
      <c r="P195" s="1692"/>
      <c r="Q195" s="537"/>
    </row>
    <row r="196" spans="2:17" x14ac:dyDescent="0.25">
      <c r="B196" s="546"/>
      <c r="C196" s="1203"/>
      <c r="D196" s="546"/>
      <c r="E196" s="547"/>
      <c r="F196" s="547"/>
      <c r="G196" s="547"/>
      <c r="H196" s="546"/>
      <c r="I196" s="541"/>
      <c r="J196" s="540"/>
      <c r="K196" s="537"/>
      <c r="L196" s="673" t="s">
        <v>1374</v>
      </c>
      <c r="M196" s="758"/>
      <c r="N196" s="513"/>
      <c r="O196" s="513"/>
      <c r="P196" s="673"/>
      <c r="Q196" s="673"/>
    </row>
    <row r="197" spans="2:17" ht="15.75" x14ac:dyDescent="0.25">
      <c r="B197" s="267"/>
      <c r="C197" s="1228"/>
      <c r="D197" s="267"/>
      <c r="E197" s="268"/>
      <c r="F197" s="268"/>
      <c r="G197" s="268"/>
      <c r="H197" s="268"/>
      <c r="I197" s="269"/>
      <c r="J197" s="268"/>
      <c r="K197" s="268"/>
      <c r="L197" s="268"/>
      <c r="M197" s="267"/>
      <c r="N197" s="205"/>
      <c r="O197" s="1324"/>
      <c r="P197" s="271"/>
      <c r="Q197" s="259"/>
    </row>
    <row r="198" spans="2:17" s="259" customFormat="1" ht="177.75" customHeight="1" x14ac:dyDescent="0.25">
      <c r="C198" s="1220"/>
      <c r="E198" s="668"/>
      <c r="F198" s="668"/>
      <c r="G198" s="668"/>
      <c r="M198" s="531"/>
      <c r="N198"/>
      <c r="O198"/>
    </row>
    <row r="199" spans="2:17" x14ac:dyDescent="0.25">
      <c r="L199" s="259"/>
      <c r="M199" s="531"/>
    </row>
  </sheetData>
  <mergeCells count="21">
    <mergeCell ref="N11:N12"/>
    <mergeCell ref="O11:O12"/>
    <mergeCell ref="P11:P12"/>
    <mergeCell ref="J194:P194"/>
    <mergeCell ref="J195:P195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3" min="1" max="15" man="1"/>
    <brk id="102" min="1" max="15" man="1"/>
    <brk id="148" min="1" max="15" man="1"/>
  </rowBreaks>
  <drawing r:id="rId2"/>
</worksheet>
</file>

<file path=xl/worksheets/sheet3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467708-6AC0-4FD6-A0D1-3F8748B3B7D3}">
  <sheetPr>
    <pageSetUpPr fitToPage="1"/>
  </sheetPr>
  <dimension ref="B5:M60"/>
  <sheetViews>
    <sheetView showGridLines="0" zoomScale="124" zoomScaleNormal="124" zoomScaleSheetLayoutView="100" workbookViewId="0">
      <selection activeCell="B32" sqref="B32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693" t="s">
        <v>0</v>
      </c>
      <c r="C5" s="1693"/>
      <c r="D5" s="1693"/>
      <c r="E5" s="1693"/>
      <c r="F5" s="1693"/>
      <c r="G5" s="1693"/>
      <c r="H5" s="1693"/>
      <c r="I5" s="1693"/>
      <c r="J5" s="1693"/>
      <c r="K5" s="1693"/>
      <c r="L5" s="1693"/>
      <c r="M5" s="1693"/>
    </row>
    <row r="6" spans="2:13" ht="13.5" customHeight="1" x14ac:dyDescent="0.25">
      <c r="B6" s="1693" t="s">
        <v>1</v>
      </c>
      <c r="C6" s="1693"/>
      <c r="D6" s="1693"/>
      <c r="E6" s="1693"/>
      <c r="F6" s="1693"/>
      <c r="G6" s="1693"/>
      <c r="H6" s="1693"/>
      <c r="I6" s="1693"/>
      <c r="J6" s="1693"/>
      <c r="K6" s="1693"/>
      <c r="L6" s="1693"/>
      <c r="M6" s="1693"/>
    </row>
    <row r="7" spans="2:13" ht="12" customHeight="1" x14ac:dyDescent="0.25">
      <c r="B7" s="1693" t="s">
        <v>3</v>
      </c>
      <c r="C7" s="1693"/>
      <c r="D7" s="1693"/>
      <c r="E7" s="1693"/>
      <c r="F7" s="1693"/>
      <c r="G7" s="1693"/>
      <c r="H7" s="1693"/>
      <c r="I7" s="1693"/>
      <c r="J7" s="1693"/>
      <c r="K7" s="1693"/>
      <c r="L7" s="1693"/>
      <c r="M7" s="1693"/>
    </row>
    <row r="8" spans="2:13" x14ac:dyDescent="0.25">
      <c r="B8" s="1693" t="s">
        <v>1770</v>
      </c>
      <c r="C8" s="1693"/>
      <c r="D8" s="1693"/>
      <c r="E8" s="1693"/>
      <c r="F8" s="1693"/>
      <c r="G8" s="1693"/>
      <c r="H8" s="1693"/>
      <c r="I8" s="1693"/>
      <c r="J8" s="1693"/>
      <c r="K8" s="1693"/>
      <c r="L8" s="1693"/>
      <c r="M8" s="1693"/>
    </row>
    <row r="9" spans="2:13" x14ac:dyDescent="0.25">
      <c r="B9" s="1694" t="s">
        <v>886</v>
      </c>
      <c r="C9" s="1694"/>
      <c r="D9" s="1694"/>
      <c r="E9" s="1694"/>
      <c r="F9" s="1694"/>
      <c r="G9" s="1694"/>
      <c r="H9" s="1694"/>
      <c r="I9" s="1694"/>
      <c r="J9" s="1694"/>
      <c r="K9" s="1694"/>
      <c r="L9" s="1694"/>
      <c r="M9" s="1694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728"/>
      <c r="C11" s="1728" t="s">
        <v>802</v>
      </c>
      <c r="D11" s="1728" t="s">
        <v>9</v>
      </c>
      <c r="E11" s="1331" t="s">
        <v>12</v>
      </c>
      <c r="F11" s="1763" t="s">
        <v>13</v>
      </c>
      <c r="G11" s="1761" t="s">
        <v>14</v>
      </c>
      <c r="H11" s="1761" t="s">
        <v>15</v>
      </c>
      <c r="I11" s="1761" t="s">
        <v>16</v>
      </c>
      <c r="J11" s="1761" t="s">
        <v>17</v>
      </c>
      <c r="K11" s="1761" t="s">
        <v>18</v>
      </c>
      <c r="L11" s="1761" t="s">
        <v>19</v>
      </c>
      <c r="M11" s="1761" t="s">
        <v>20</v>
      </c>
    </row>
    <row r="12" spans="2:13" ht="16.5" customHeight="1" x14ac:dyDescent="0.25">
      <c r="B12" s="1729"/>
      <c r="C12" s="1729"/>
      <c r="D12" s="1729"/>
      <c r="E12" s="1331" t="s">
        <v>21</v>
      </c>
      <c r="F12" s="1764"/>
      <c r="G12" s="1762"/>
      <c r="H12" s="1762"/>
      <c r="I12" s="1762"/>
      <c r="J12" s="1762"/>
      <c r="K12" s="1762"/>
      <c r="L12" s="1762"/>
      <c r="M12" s="1762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35" t="s">
        <v>807</v>
      </c>
      <c r="D14" s="133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1352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5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5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35" t="s">
        <v>807</v>
      </c>
      <c r="D18" s="133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 t="shared" ref="G19:I19" si="1">+G18</f>
        <v>46500</v>
      </c>
      <c r="H19" s="1341">
        <f t="shared" si="1"/>
        <v>1334.55</v>
      </c>
      <c r="I19" s="1341">
        <f t="shared" si="1"/>
        <v>8816.5</v>
      </c>
      <c r="J19" s="1341">
        <f>+J18</f>
        <v>1413.6</v>
      </c>
      <c r="K19" s="1342">
        <v>0</v>
      </c>
      <c r="L19" s="1341">
        <f t="shared" ref="L19" si="2"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1344" t="s">
        <v>1412</v>
      </c>
      <c r="C21" s="941"/>
      <c r="D21" s="1352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ht="12" customHeight="1" x14ac:dyDescent="0.25">
      <c r="B22" s="939" t="s">
        <v>369</v>
      </c>
      <c r="C22" s="1348" t="s">
        <v>806</v>
      </c>
      <c r="D22" s="1354" t="s">
        <v>1435</v>
      </c>
      <c r="E22" s="1332">
        <v>11500</v>
      </c>
      <c r="F22" s="1349">
        <v>0</v>
      </c>
      <c r="G22" s="1350">
        <v>11500</v>
      </c>
      <c r="H22" s="1350">
        <v>330.05</v>
      </c>
      <c r="I22" s="1350">
        <v>1623.06</v>
      </c>
      <c r="J22" s="1350">
        <v>349.6</v>
      </c>
      <c r="K22" s="1349">
        <v>0</v>
      </c>
      <c r="L22" s="1351">
        <f>+H22+I22+J22+K22</f>
        <v>2302.71</v>
      </c>
      <c r="M22" s="1332">
        <f>+G22-L22</f>
        <v>9197.2900000000009</v>
      </c>
    </row>
    <row r="23" spans="2:13" ht="12" customHeight="1" x14ac:dyDescent="0.25">
      <c r="B23" s="941" t="s">
        <v>813</v>
      </c>
      <c r="C23" s="941"/>
      <c r="D23" s="1352">
        <v>1</v>
      </c>
      <c r="E23" s="1341">
        <f t="shared" ref="E23" si="3">+E22</f>
        <v>11500</v>
      </c>
      <c r="F23" s="1342">
        <v>0</v>
      </c>
      <c r="G23" s="1341">
        <f t="shared" ref="G23:J23" si="4">+G22</f>
        <v>11500</v>
      </c>
      <c r="H23" s="1341">
        <f t="shared" si="4"/>
        <v>330.05</v>
      </c>
      <c r="I23" s="1341">
        <f t="shared" si="4"/>
        <v>1623.06</v>
      </c>
      <c r="J23" s="1341">
        <f t="shared" si="4"/>
        <v>349.6</v>
      </c>
      <c r="K23" s="1342">
        <v>0</v>
      </c>
      <c r="L23" s="1341">
        <f t="shared" ref="L23" si="5">+L22</f>
        <v>2302.71</v>
      </c>
      <c r="M23" s="1341">
        <f>+G23-L23</f>
        <v>9197.2900000000009</v>
      </c>
    </row>
    <row r="24" spans="2:13" ht="12" customHeight="1" x14ac:dyDescent="0.25">
      <c r="B24" s="941"/>
      <c r="C24" s="941"/>
      <c r="D24" s="1352"/>
      <c r="E24" s="1345"/>
      <c r="F24" s="1346"/>
      <c r="G24" s="1345"/>
      <c r="H24" s="1347"/>
      <c r="I24" s="1347"/>
      <c r="J24" s="1347"/>
      <c r="K24" s="1342"/>
      <c r="L24" s="1341"/>
      <c r="M24" s="1341"/>
    </row>
    <row r="25" spans="2:13" ht="12" customHeight="1" x14ac:dyDescent="0.25">
      <c r="B25" s="1344" t="s">
        <v>978</v>
      </c>
      <c r="C25" s="941"/>
      <c r="D25" s="1352"/>
      <c r="E25" s="1345"/>
      <c r="F25" s="1346"/>
      <c r="G25" s="1345"/>
      <c r="H25" s="1347"/>
      <c r="I25" s="1347"/>
      <c r="J25" s="1347"/>
      <c r="K25" s="1342"/>
      <c r="L25" s="1341"/>
      <c r="M25" s="1341"/>
    </row>
    <row r="26" spans="2:13" ht="12" customHeight="1" x14ac:dyDescent="0.25">
      <c r="B26" s="939" t="s">
        <v>409</v>
      </c>
      <c r="C26" s="1348" t="s">
        <v>806</v>
      </c>
      <c r="D26" s="944" t="s">
        <v>529</v>
      </c>
      <c r="E26" s="1332">
        <v>11500</v>
      </c>
      <c r="F26" s="1349">
        <v>0</v>
      </c>
      <c r="G26" s="1350">
        <v>11500</v>
      </c>
      <c r="H26" s="1350">
        <v>330.05</v>
      </c>
      <c r="I26" s="1350">
        <v>1623.06</v>
      </c>
      <c r="J26" s="1350">
        <v>349.6</v>
      </c>
      <c r="K26" s="1349">
        <v>0</v>
      </c>
      <c r="L26" s="1351">
        <f>+H26+I26+J26+K26</f>
        <v>2302.71</v>
      </c>
      <c r="M26" s="1332">
        <f>+G26-L26</f>
        <v>9197.2900000000009</v>
      </c>
    </row>
    <row r="27" spans="2:13" ht="12" customHeight="1" x14ac:dyDescent="0.25">
      <c r="B27" s="941" t="s">
        <v>813</v>
      </c>
      <c r="C27" s="941"/>
      <c r="D27" s="941">
        <v>1</v>
      </c>
      <c r="E27" s="1341">
        <f>SUM(E26:E26)</f>
        <v>11500</v>
      </c>
      <c r="F27" s="1342">
        <v>0</v>
      </c>
      <c r="G27" s="1341">
        <f>SUM(G26:G26)</f>
        <v>11500</v>
      </c>
      <c r="H27" s="1341">
        <f>SUM(H26:H26)</f>
        <v>330.05</v>
      </c>
      <c r="I27" s="1341">
        <f>SUM(I26:I26)</f>
        <v>1623.06</v>
      </c>
      <c r="J27" s="1341">
        <f>SUM(J26:J26)</f>
        <v>349.6</v>
      </c>
      <c r="K27" s="1342">
        <v>0</v>
      </c>
      <c r="L27" s="1341">
        <f>SUM(L26:L26)</f>
        <v>2302.71</v>
      </c>
      <c r="M27" s="1341">
        <f>SUM(M26:M26)</f>
        <v>9197.2900000000009</v>
      </c>
    </row>
    <row r="28" spans="2:13" ht="12" customHeight="1" x14ac:dyDescent="0.25">
      <c r="B28" s="941"/>
      <c r="C28" s="941"/>
      <c r="D28" s="941"/>
      <c r="E28" s="1345"/>
      <c r="F28" s="1346"/>
      <c r="G28" s="1345"/>
      <c r="H28" s="1347"/>
      <c r="I28" s="1347"/>
      <c r="J28" s="1347"/>
      <c r="K28" s="1342"/>
      <c r="L28" s="1341"/>
      <c r="M28" s="1341"/>
    </row>
    <row r="29" spans="2:13" ht="12" customHeight="1" x14ac:dyDescent="0.25">
      <c r="B29" s="941"/>
      <c r="C29" s="941"/>
      <c r="D29" s="941"/>
      <c r="E29" s="1345"/>
      <c r="F29" s="1346"/>
      <c r="G29" s="1345"/>
      <c r="H29" s="1347"/>
      <c r="I29" s="1347"/>
      <c r="J29" s="1347"/>
      <c r="K29" s="1342"/>
      <c r="L29" s="1341"/>
      <c r="M29" s="1341"/>
    </row>
    <row r="30" spans="2:13" s="2" customFormat="1" ht="21" customHeight="1" x14ac:dyDescent="0.2">
      <c r="B30" s="1129" t="s">
        <v>865</v>
      </c>
      <c r="C30" s="1139"/>
      <c r="D30" s="1129">
        <f>+D27+D23+D19+D15</f>
        <v>4</v>
      </c>
      <c r="E30" s="1140">
        <f>+E26+E22+E18+E14</f>
        <v>116000</v>
      </c>
      <c r="F30" s="1355">
        <v>0</v>
      </c>
      <c r="G30" s="1140">
        <f t="shared" ref="G30:M30" si="6">+G26+G22+G18+G14</f>
        <v>116000</v>
      </c>
      <c r="H30" s="1140">
        <f t="shared" si="6"/>
        <v>3329.2</v>
      </c>
      <c r="I30" s="1140">
        <f t="shared" si="6"/>
        <v>20879.12</v>
      </c>
      <c r="J30" s="1140">
        <f t="shared" si="6"/>
        <v>3526.4</v>
      </c>
      <c r="K30" s="1355">
        <v>0</v>
      </c>
      <c r="L30" s="1140">
        <f t="shared" si="6"/>
        <v>27734.720000000001</v>
      </c>
      <c r="M30" s="1140">
        <f t="shared" si="6"/>
        <v>88265.279999999999</v>
      </c>
    </row>
    <row r="38" spans="2:12" ht="15" hidden="1" customHeight="1" x14ac:dyDescent="0.25"/>
    <row r="39" spans="2:12" ht="15" hidden="1" customHeight="1" x14ac:dyDescent="0.25"/>
    <row r="41" spans="2:12" ht="14.25" customHeight="1" x14ac:dyDescent="0.25"/>
    <row r="42" spans="2:12" ht="15" hidden="1" customHeight="1" x14ac:dyDescent="0.25"/>
    <row r="46" spans="2:12" ht="0.75" customHeight="1" x14ac:dyDescent="0.25"/>
    <row r="48" spans="2:12" ht="38.25" customHeight="1" x14ac:dyDescent="0.25">
      <c r="B48" s="916"/>
      <c r="C48" s="916"/>
      <c r="D48" s="917"/>
      <c r="E48" s="918"/>
      <c r="F48" s="919"/>
      <c r="G48" s="1696" t="s">
        <v>1372</v>
      </c>
      <c r="H48" s="1696"/>
      <c r="I48" s="1696"/>
      <c r="J48" s="1696"/>
      <c r="K48" s="1696"/>
      <c r="L48" s="1696"/>
    </row>
    <row r="49" spans="2:13" x14ac:dyDescent="0.25">
      <c r="B49" s="1083" t="s">
        <v>1238</v>
      </c>
      <c r="C49" s="1083"/>
      <c r="D49" s="921"/>
      <c r="E49" s="915"/>
      <c r="F49" s="915"/>
      <c r="G49" s="1702" t="s">
        <v>1222</v>
      </c>
      <c r="H49" s="1702"/>
      <c r="I49" s="1702"/>
      <c r="J49" s="1702"/>
      <c r="K49" s="1702"/>
      <c r="L49" s="1702"/>
    </row>
    <row r="50" spans="2:13" x14ac:dyDescent="0.25">
      <c r="B50" s="916" t="s">
        <v>1239</v>
      </c>
      <c r="C50" s="916"/>
      <c r="D50" s="915"/>
      <c r="E50" s="915"/>
      <c r="F50" s="923"/>
      <c r="G50" s="1701" t="s">
        <v>1503</v>
      </c>
      <c r="H50" s="1701"/>
      <c r="I50" s="1701"/>
      <c r="J50" s="1701"/>
      <c r="K50" s="1701"/>
      <c r="L50" s="1701"/>
    </row>
    <row r="54" spans="2:13" ht="30" customHeight="1" x14ac:dyDescent="0.25"/>
    <row r="58" spans="2:13" x14ac:dyDescent="0.25">
      <c r="E58" s="924"/>
      <c r="F58" s="923"/>
      <c r="G58" s="915"/>
      <c r="H58" s="1698"/>
      <c r="I58" s="1698"/>
      <c r="J58" s="1698"/>
      <c r="K58" s="1698"/>
      <c r="L58" s="1698"/>
      <c r="M58" s="1698"/>
    </row>
    <row r="59" spans="2:13" x14ac:dyDescent="0.25">
      <c r="E59" s="925"/>
      <c r="F59" s="1694"/>
      <c r="G59" s="1694"/>
      <c r="H59" s="1694"/>
      <c r="I59" s="1694"/>
      <c r="J59" s="1694"/>
      <c r="K59" s="926"/>
      <c r="L59" s="926"/>
      <c r="M59" s="886"/>
    </row>
    <row r="60" spans="2:13" ht="60" customHeight="1" x14ac:dyDescent="0.25">
      <c r="E60" s="927" t="s">
        <v>641</v>
      </c>
      <c r="F60" s="927"/>
      <c r="G60" s="927"/>
      <c r="H60" s="927"/>
      <c r="I60" s="927"/>
      <c r="J60" s="927"/>
      <c r="K60" s="927"/>
      <c r="L60" s="927"/>
      <c r="M60" s="927"/>
    </row>
  </sheetData>
  <mergeCells count="21">
    <mergeCell ref="G48:L48"/>
    <mergeCell ref="G49:L49"/>
    <mergeCell ref="G50:L50"/>
    <mergeCell ref="H58:M58"/>
    <mergeCell ref="F59:J5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61" orientation="landscape" r:id="rId1"/>
  <drawing r:id="rId2"/>
</worksheet>
</file>

<file path=xl/worksheets/sheet3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C87CE-A960-4D34-9020-68F8CBBBA256}">
  <sheetPr>
    <pageSetUpPr fitToPage="1"/>
  </sheetPr>
  <dimension ref="A6:M78"/>
  <sheetViews>
    <sheetView showGridLines="0" topLeftCell="B29" zoomScale="110" zoomScaleNormal="110" workbookViewId="0">
      <selection activeCell="C57" sqref="C57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51" t="s">
        <v>0</v>
      </c>
      <c r="C6" s="1551"/>
      <c r="D6" s="1551"/>
      <c r="E6" s="1551"/>
      <c r="F6" s="1551"/>
      <c r="G6" s="1551"/>
      <c r="H6" s="1551"/>
      <c r="I6" s="1551"/>
      <c r="J6" s="1551"/>
      <c r="K6" s="1551"/>
      <c r="L6" s="1551"/>
      <c r="M6" s="1551"/>
    </row>
    <row r="7" spans="2:13" x14ac:dyDescent="0.25">
      <c r="B7" s="1551" t="s">
        <v>1</v>
      </c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2:13" x14ac:dyDescent="0.25">
      <c r="B8" s="1551" t="s">
        <v>3</v>
      </c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2:13" x14ac:dyDescent="0.25">
      <c r="B9" s="1551" t="s">
        <v>1771</v>
      </c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2:13" x14ac:dyDescent="0.25">
      <c r="B10" s="1552" t="s">
        <v>1197</v>
      </c>
      <c r="C10" s="1552"/>
      <c r="D10" s="1552"/>
      <c r="E10" s="1552"/>
      <c r="F10" s="1552"/>
      <c r="G10" s="1552"/>
      <c r="H10" s="1552"/>
      <c r="I10" s="1552"/>
      <c r="J10" s="1552"/>
      <c r="K10" s="1552"/>
      <c r="L10" s="1552"/>
      <c r="M10" s="1552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712" t="s">
        <v>7</v>
      </c>
      <c r="C12" s="1709" t="s">
        <v>802</v>
      </c>
      <c r="D12" s="1709" t="s">
        <v>9</v>
      </c>
      <c r="E12" s="1067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2:13" ht="15" customHeight="1" x14ac:dyDescent="0.25">
      <c r="B13" s="1712"/>
      <c r="C13" s="1709"/>
      <c r="D13" s="1709"/>
      <c r="E13" s="1067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 t="shared" ref="H24:J24" si="2">SUM(H23)</f>
        <v>574</v>
      </c>
      <c r="I24" s="697">
        <f t="shared" si="2"/>
        <v>4704.5</v>
      </c>
      <c r="J24" s="697">
        <f t="shared" si="2"/>
        <v>608</v>
      </c>
      <c r="K24" s="1112">
        <f t="shared" ref="K24" si="3"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377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4">+G16+G20+G24+G28+G32+G36+G39</f>
        <v>201500</v>
      </c>
      <c r="H41" s="1065">
        <f t="shared" si="4"/>
        <v>5783.05</v>
      </c>
      <c r="I41" s="1065">
        <f t="shared" si="4"/>
        <v>44236.94</v>
      </c>
      <c r="J41" s="1065">
        <f t="shared" si="4"/>
        <v>6125.6</v>
      </c>
      <c r="K41" s="1114">
        <v>0</v>
      </c>
      <c r="L41" s="1065">
        <f t="shared" si="4"/>
        <v>56145.590000000004</v>
      </c>
      <c r="M41" s="1065">
        <f>+M16+M20+M24+M28+M32+M36+M39</f>
        <v>145354.41</v>
      </c>
    </row>
    <row r="45" spans="2:13" ht="9.75" customHeight="1" x14ac:dyDescent="0.25"/>
    <row r="46" spans="2:13" hidden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682" t="s">
        <v>1250</v>
      </c>
      <c r="H52" s="1682"/>
      <c r="I52" s="1682"/>
      <c r="J52" s="1682"/>
      <c r="K52" s="1682"/>
      <c r="L52" s="1682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627" t="s">
        <v>852</v>
      </c>
      <c r="H53" s="1627"/>
      <c r="I53" s="1627"/>
      <c r="J53" s="1627"/>
      <c r="K53" s="1627"/>
      <c r="L53" s="1627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628" t="s">
        <v>1506</v>
      </c>
      <c r="H54" s="1628"/>
      <c r="I54" s="1628"/>
      <c r="J54" s="1628"/>
      <c r="K54" s="1628"/>
      <c r="L54" s="1628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629"/>
      <c r="I55" s="1629"/>
      <c r="J55" s="1629"/>
      <c r="K55" s="1629"/>
      <c r="L55" s="1629"/>
      <c r="M55" s="1629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14.25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552"/>
      <c r="G68" s="1552"/>
      <c r="H68" s="1552"/>
      <c r="I68" s="1552"/>
      <c r="J68" s="1552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G52:L52"/>
    <mergeCell ref="G53:L53"/>
    <mergeCell ref="G54:L54"/>
    <mergeCell ref="H55:M55"/>
    <mergeCell ref="F68:J6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2" fitToHeight="0" orientation="landscape" r:id="rId1"/>
  <drawing r:id="rId2"/>
</worksheet>
</file>

<file path=xl/worksheets/sheet3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319C2A-44C6-4C5E-880D-69789B3353BB}">
  <sheetPr>
    <pageSetUpPr fitToPage="1"/>
  </sheetPr>
  <dimension ref="A1:M85"/>
  <sheetViews>
    <sheetView topLeftCell="A33" zoomScale="80" zoomScaleNormal="80" zoomScaleSheetLayoutView="80" workbookViewId="0">
      <selection activeCell="A53" sqref="A5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1:13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1:13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1:13" x14ac:dyDescent="0.25">
      <c r="A10" s="1551" t="s">
        <v>1803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</row>
    <row r="11" spans="1:13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713" t="s">
        <v>7</v>
      </c>
      <c r="B13" s="1713" t="s">
        <v>937</v>
      </c>
      <c r="C13" s="1713" t="s">
        <v>10</v>
      </c>
      <c r="D13" s="1713" t="s">
        <v>11</v>
      </c>
      <c r="E13" s="1047" t="s">
        <v>12</v>
      </c>
      <c r="F13" s="1713" t="s">
        <v>13</v>
      </c>
      <c r="G13" s="1713" t="s">
        <v>14</v>
      </c>
      <c r="H13" s="1713" t="s">
        <v>15</v>
      </c>
      <c r="I13" s="1713" t="s">
        <v>16</v>
      </c>
      <c r="J13" s="1713" t="s">
        <v>17</v>
      </c>
      <c r="K13" s="1713" t="s">
        <v>18</v>
      </c>
      <c r="L13" s="1713" t="s">
        <v>19</v>
      </c>
      <c r="M13" s="1713" t="s">
        <v>20</v>
      </c>
    </row>
    <row r="14" spans="1:13" x14ac:dyDescent="0.25">
      <c r="A14" s="1713"/>
      <c r="B14" s="1713"/>
      <c r="C14" s="1713"/>
      <c r="D14" s="1713"/>
      <c r="E14" s="1047" t="s">
        <v>21</v>
      </c>
      <c r="F14" s="1713"/>
      <c r="G14" s="1713"/>
      <c r="H14" s="1713"/>
      <c r="I14" s="1713"/>
      <c r="J14" s="1713"/>
      <c r="K14" s="1713"/>
      <c r="L14" s="1713"/>
      <c r="M14" s="1713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3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1795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ref="L34" si="1">+H34+I34+J34+K34</f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ref="L35" si="2">+H35+I35+J35+K35</f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ref="L36" si="3">+H36+I36+J36+K36</f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ref="L37" si="4">+H37+I37+J37+K37</f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ref="L38" si="5">+H38+I38+J38+K38</f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ref="L39" si="6">+H39+I39+J39+K39</f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25</v>
      </c>
      <c r="D40" s="1370"/>
      <c r="E40" s="1371">
        <f>SUM(E16:E39)</f>
        <v>338000</v>
      </c>
      <c r="F40" s="1371">
        <f t="shared" ref="F40:L40" si="7">SUM(F16:F39)</f>
        <v>0</v>
      </c>
      <c r="G40" s="1371">
        <f t="shared" si="7"/>
        <v>338000</v>
      </c>
      <c r="H40" s="1371">
        <f t="shared" si="7"/>
        <v>0</v>
      </c>
      <c r="I40" s="1371">
        <f t="shared" si="7"/>
        <v>4195.88</v>
      </c>
      <c r="J40" s="1371">
        <f t="shared" si="7"/>
        <v>0</v>
      </c>
      <c r="K40" s="1371">
        <f t="shared" si="7"/>
        <v>0</v>
      </c>
      <c r="L40" s="1371">
        <f t="shared" si="7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 t="shared" ref="L44" si="8"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9">SUM(F44)</f>
        <v>0</v>
      </c>
      <c r="G45" s="1372">
        <f t="shared" si="9"/>
        <v>12000</v>
      </c>
      <c r="H45" s="1373">
        <f t="shared" si="9"/>
        <v>0</v>
      </c>
      <c r="I45" s="1373">
        <f t="shared" si="9"/>
        <v>0</v>
      </c>
      <c r="J45" s="1373">
        <f t="shared" si="9"/>
        <v>0</v>
      </c>
      <c r="K45" s="1373">
        <f t="shared" si="9"/>
        <v>0</v>
      </c>
      <c r="L45" s="1372">
        <f t="shared" si="9"/>
        <v>0</v>
      </c>
      <c r="M45" s="1372">
        <f t="shared" si="9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26</v>
      </c>
      <c r="D47" s="1374"/>
      <c r="E47" s="1376">
        <f>+E40+E45</f>
        <v>350000</v>
      </c>
      <c r="F47" s="1376">
        <f t="shared" ref="F47:M47" si="10">+F40+F45</f>
        <v>0</v>
      </c>
      <c r="G47" s="1376">
        <f t="shared" si="10"/>
        <v>350000</v>
      </c>
      <c r="H47" s="1376">
        <f t="shared" si="10"/>
        <v>0</v>
      </c>
      <c r="I47" s="1376">
        <f t="shared" si="10"/>
        <v>4195.88</v>
      </c>
      <c r="J47" s="1376">
        <f t="shared" si="10"/>
        <v>0</v>
      </c>
      <c r="K47" s="1376">
        <f t="shared" si="10"/>
        <v>0</v>
      </c>
      <c r="L47" s="1376">
        <f t="shared" si="10"/>
        <v>4195.88</v>
      </c>
      <c r="M47" s="1376">
        <f t="shared" si="10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19.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690" t="s">
        <v>1269</v>
      </c>
      <c r="B69" s="1690"/>
      <c r="C69" s="753"/>
      <c r="D69" s="753"/>
      <c r="E69" s="754"/>
      <c r="F69" s="755"/>
      <c r="H69" s="1691" t="s">
        <v>852</v>
      </c>
      <c r="I69" s="1691"/>
      <c r="J69" s="1691"/>
      <c r="K69" s="1691"/>
      <c r="L69" s="1691"/>
      <c r="M69" s="1691"/>
    </row>
    <row r="70" spans="1:13" s="259" customFormat="1" ht="19.5" customHeight="1" x14ac:dyDescent="0.25">
      <c r="A70" s="1628" t="s">
        <v>1270</v>
      </c>
      <c r="B70" s="1628"/>
      <c r="C70" s="753"/>
      <c r="D70" s="753"/>
      <c r="E70" s="754"/>
      <c r="F70" s="755"/>
      <c r="H70" s="1692" t="s">
        <v>1505</v>
      </c>
      <c r="I70" s="1692"/>
      <c r="J70" s="1692"/>
      <c r="K70" s="1692"/>
      <c r="L70" s="1692"/>
      <c r="M70" s="1692"/>
    </row>
    <row r="71" spans="1:13" ht="16.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6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6.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16.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195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629"/>
      <c r="I82" s="1629"/>
      <c r="J82" s="1629"/>
      <c r="K82" s="1629"/>
      <c r="L82" s="1629"/>
      <c r="M82" s="1629"/>
    </row>
    <row r="83" spans="1:13" ht="15.75" x14ac:dyDescent="0.25">
      <c r="A83" s="267"/>
      <c r="B83" s="267"/>
      <c r="C83" s="268"/>
      <c r="D83" s="268"/>
      <c r="E83" s="269"/>
      <c r="F83" s="1549"/>
      <c r="G83" s="1549"/>
      <c r="H83" s="1549"/>
      <c r="I83" s="1549"/>
      <c r="J83" s="1549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11" right="0.39370078740157483" top="0" bottom="0.01" header="0" footer="0.09"/>
  <pageSetup paperSize="5" scale="30" orientation="landscape" r:id="rId1"/>
  <drawing r:id="rId2"/>
</worksheet>
</file>

<file path=xl/worksheets/sheet3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6B59F3-86B6-4E07-AFCB-1148B6D5EF9D}">
  <sheetPr>
    <pageSetUpPr fitToPage="1"/>
  </sheetPr>
  <dimension ref="A1:N278"/>
  <sheetViews>
    <sheetView showGridLines="0" topLeftCell="A5" zoomScale="84" zoomScaleNormal="84" workbookViewId="0">
      <pane ySplit="14" topLeftCell="A230" activePane="bottomLeft" state="frozen"/>
      <selection activeCell="A5" sqref="A5"/>
      <selection pane="bottomLeft" activeCell="E244" sqref="E244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71093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1089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1089"/>
      <c r="L10" s="1089"/>
      <c r="M10" s="867"/>
    </row>
    <row r="11" spans="1:14" ht="15.75" x14ac:dyDescent="0.25">
      <c r="A11" s="1685" t="s">
        <v>1502</v>
      </c>
      <c r="B11" s="1685"/>
      <c r="C11" s="1685"/>
      <c r="D11" s="1685"/>
      <c r="E11" s="1685"/>
      <c r="F11" s="1685"/>
      <c r="G11" s="1685"/>
      <c r="H11" s="1685"/>
      <c r="I11" s="1685"/>
      <c r="J11" s="1685"/>
      <c r="K11" s="1685"/>
      <c r="L11" s="1685"/>
      <c r="M11" s="1685"/>
    </row>
    <row r="12" spans="1:14" ht="0.75" customHeight="1" x14ac:dyDescent="0.25">
      <c r="A12" s="1685"/>
      <c r="B12" s="1685"/>
      <c r="C12" s="1685"/>
      <c r="D12" s="1685"/>
      <c r="E12" s="1685"/>
      <c r="F12" s="1685"/>
      <c r="G12" s="1685"/>
      <c r="H12" s="1685"/>
      <c r="I12" s="1685"/>
      <c r="J12" s="1685"/>
      <c r="K12" s="1685"/>
      <c r="L12" s="1685"/>
      <c r="M12" s="1685"/>
      <c r="N12" s="1685"/>
    </row>
    <row r="13" spans="1:14" ht="15.75" x14ac:dyDescent="0.25">
      <c r="A13" s="1685" t="s">
        <v>1460</v>
      </c>
      <c r="B13" s="1685"/>
      <c r="C13" s="1685"/>
      <c r="D13" s="1685"/>
      <c r="E13" s="1685"/>
      <c r="F13" s="1685"/>
      <c r="G13" s="1685"/>
      <c r="H13" s="1685"/>
      <c r="I13" s="1685"/>
      <c r="J13" s="1685"/>
      <c r="K13" s="1685"/>
      <c r="L13" s="1685"/>
      <c r="M13" s="1685"/>
    </row>
    <row r="14" spans="1:14" ht="15.75" x14ac:dyDescent="0.25">
      <c r="A14" s="1685" t="s">
        <v>1805</v>
      </c>
      <c r="B14" s="1685"/>
      <c r="C14" s="1685"/>
      <c r="D14" s="1685"/>
      <c r="E14" s="1685"/>
      <c r="F14" s="1685"/>
      <c r="G14" s="1685"/>
      <c r="H14" s="1685"/>
      <c r="I14" s="1685"/>
      <c r="J14" s="1685"/>
      <c r="K14" s="1685"/>
      <c r="L14" s="1685"/>
      <c r="M14" s="1685"/>
    </row>
    <row r="15" spans="1:14" ht="15.75" x14ac:dyDescent="0.25">
      <c r="A15" s="1706" t="s">
        <v>404</v>
      </c>
      <c r="B15" s="1706"/>
      <c r="C15" s="1706"/>
      <c r="D15" s="1706"/>
      <c r="E15" s="1706"/>
      <c r="F15" s="1706"/>
      <c r="G15" s="1706"/>
      <c r="H15" s="1706"/>
      <c r="I15" s="1706"/>
      <c r="J15" s="1706"/>
      <c r="K15" s="1706"/>
      <c r="L15" s="1706"/>
      <c r="M15" s="1706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1090"/>
      <c r="L16" s="1090"/>
      <c r="M16" s="851"/>
    </row>
    <row r="17" spans="1:13" ht="15.75" x14ac:dyDescent="0.25">
      <c r="A17" s="1755" t="s">
        <v>7</v>
      </c>
      <c r="B17" s="1757" t="s">
        <v>802</v>
      </c>
      <c r="C17" s="1757" t="s">
        <v>9</v>
      </c>
      <c r="D17" s="1757" t="s">
        <v>11</v>
      </c>
      <c r="E17" s="1390" t="s">
        <v>12</v>
      </c>
      <c r="F17" s="1759" t="s">
        <v>13</v>
      </c>
      <c r="G17" s="1751" t="s">
        <v>14</v>
      </c>
      <c r="H17" s="1753" t="s">
        <v>15</v>
      </c>
      <c r="I17" s="1753" t="s">
        <v>15</v>
      </c>
      <c r="J17" s="1753" t="s">
        <v>17</v>
      </c>
      <c r="K17" s="1753" t="s">
        <v>18</v>
      </c>
      <c r="L17" s="1753" t="s">
        <v>19</v>
      </c>
      <c r="M17" s="1749" t="s">
        <v>20</v>
      </c>
    </row>
    <row r="18" spans="1:13" ht="16.5" thickBot="1" x14ac:dyDescent="0.3">
      <c r="A18" s="1756"/>
      <c r="B18" s="1758"/>
      <c r="C18" s="1758"/>
      <c r="D18" s="1758"/>
      <c r="E18" s="1391" t="s">
        <v>21</v>
      </c>
      <c r="F18" s="1760"/>
      <c r="G18" s="1752"/>
      <c r="H18" s="1754"/>
      <c r="I18" s="1754"/>
      <c r="J18" s="1754"/>
      <c r="K18" s="1754"/>
      <c r="L18" s="1754"/>
      <c r="M18" s="1750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88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1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1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1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>SUM(E20:E24)</f>
        <v>870000</v>
      </c>
      <c r="F25" s="964">
        <f t="shared" ref="F25:J25" si="0">SUM(F20:F24)</f>
        <v>0</v>
      </c>
      <c r="G25" s="965">
        <f t="shared" si="0"/>
        <v>870000</v>
      </c>
      <c r="H25" s="963">
        <f t="shared" si="0"/>
        <v>24969</v>
      </c>
      <c r="I25" s="963">
        <f>SUM(I20:I24)</f>
        <v>147821.39000000001</v>
      </c>
      <c r="J25" s="963">
        <f t="shared" si="0"/>
        <v>25133.14</v>
      </c>
      <c r="K25" s="963">
        <f>SUM(K20:K24)</f>
        <v>18481.86</v>
      </c>
      <c r="L25" s="963">
        <f>SUM(L20:L24)</f>
        <v>216405.38999999998</v>
      </c>
      <c r="M25" s="965">
        <f>SUM(M20:M24)</f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1"/>
      <c r="L27" s="951"/>
      <c r="M27" s="953"/>
    </row>
    <row r="28" spans="1:13" ht="35.2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1">
        <v>25</v>
      </c>
      <c r="L31" s="951">
        <f t="shared" ref="L31" si="1"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2">SUM(G28:G31)</f>
        <v>219500</v>
      </c>
      <c r="H32" s="963">
        <f>SUM(H28:H31)</f>
        <v>6299.65</v>
      </c>
      <c r="I32" s="963">
        <f t="shared" si="2"/>
        <v>12463.43</v>
      </c>
      <c r="J32" s="963">
        <f t="shared" si="2"/>
        <v>6672.7999999999993</v>
      </c>
      <c r="K32" s="963">
        <f>SUM(K28:K31)</f>
        <v>13585.37</v>
      </c>
      <c r="L32" s="963">
        <f t="shared" si="2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1">
        <v>5171.38</v>
      </c>
      <c r="L35" s="951">
        <f t="shared" ref="L35:L38" si="3"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1">
        <v>1740.46</v>
      </c>
      <c r="L36" s="951">
        <f t="shared" si="3"/>
        <v>4990.6100000000006</v>
      </c>
      <c r="M36" s="953">
        <f t="shared" ref="M36:M38" si="4"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1">
        <v>125</v>
      </c>
      <c r="L37" s="951">
        <f t="shared" si="3"/>
        <v>3632.4700000000003</v>
      </c>
      <c r="M37" s="953">
        <f t="shared" si="4"/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5">SUM(G35:G38)</f>
        <v>327000</v>
      </c>
      <c r="H39" s="963">
        <f t="shared" si="5"/>
        <v>9384.9</v>
      </c>
      <c r="I39" s="963">
        <f t="shared" si="5"/>
        <v>34988.5</v>
      </c>
      <c r="J39" s="963">
        <f t="shared" si="5"/>
        <v>9940.7999999999993</v>
      </c>
      <c r="K39" s="963">
        <f>SUM(K35:K38)</f>
        <v>7061.84</v>
      </c>
      <c r="L39" s="963">
        <f t="shared" si="5"/>
        <v>61376.04</v>
      </c>
      <c r="M39" s="963">
        <f t="shared" si="5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L43" si="6">SUM(H42)</f>
        <v>2152.5</v>
      </c>
      <c r="I43" s="963">
        <f t="shared" si="6"/>
        <v>6309.38</v>
      </c>
      <c r="J43" s="963">
        <f t="shared" si="6"/>
        <v>2280</v>
      </c>
      <c r="K43" s="963">
        <f>SUM(K42)</f>
        <v>25</v>
      </c>
      <c r="L43" s="963">
        <f t="shared" si="6"/>
        <v>10766.880000000001</v>
      </c>
      <c r="M43" s="965">
        <f>SUM(M42)</f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7">SUM(F46:F47)</f>
        <v>0</v>
      </c>
      <c r="G48" s="965">
        <f t="shared" si="7"/>
        <v>73500</v>
      </c>
      <c r="H48" s="963">
        <f t="shared" si="7"/>
        <v>2109.4499999999998</v>
      </c>
      <c r="I48" s="1071">
        <f t="shared" si="7"/>
        <v>936.62</v>
      </c>
      <c r="J48" s="963">
        <f t="shared" si="7"/>
        <v>2234.4</v>
      </c>
      <c r="K48" s="963">
        <f>SUM(K46:K47)</f>
        <v>1765.46</v>
      </c>
      <c r="L48" s="963">
        <f t="shared" si="7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4">
        <v>1322.4</v>
      </c>
      <c r="K51" s="951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1">
        <v>7721.54</v>
      </c>
      <c r="L54" s="951">
        <f t="shared" ref="L54" si="8"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9">SUM(G51:G56)</f>
        <v>222000</v>
      </c>
      <c r="H57" s="1233">
        <f t="shared" si="9"/>
        <v>6371.4</v>
      </c>
      <c r="I57" s="1233">
        <f t="shared" si="9"/>
        <v>1873.24</v>
      </c>
      <c r="J57" s="1233">
        <f t="shared" si="9"/>
        <v>6748.7999999999993</v>
      </c>
      <c r="K57" s="1233">
        <f>SUM(K51:K56)</f>
        <v>9118.24</v>
      </c>
      <c r="L57" s="1233">
        <f t="shared" si="9"/>
        <v>24111.68</v>
      </c>
      <c r="M57" s="1233">
        <f t="shared" si="9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4">
        <v>1322.4</v>
      </c>
      <c r="K60" s="951">
        <v>25</v>
      </c>
      <c r="L60" s="954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1">
        <v>525</v>
      </c>
      <c r="L61" s="951">
        <f>+H61+I61+J61+K61</f>
        <v>2831.06</v>
      </c>
      <c r="M61" s="951">
        <f t="shared" ref="M61:M62" si="10"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1">
        <v>2169.96</v>
      </c>
      <c r="L62" s="951">
        <f>SUM(H62:K62)</f>
        <v>4386.21</v>
      </c>
      <c r="M62" s="951">
        <f t="shared" si="10"/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11">SUM(H60:H62)</f>
        <v>3400.95</v>
      </c>
      <c r="I63" s="963">
        <f t="shared" si="11"/>
        <v>1026.43</v>
      </c>
      <c r="J63" s="963">
        <f t="shared" si="11"/>
        <v>3602.4</v>
      </c>
      <c r="K63" s="963">
        <f>SUM(K60:K62)</f>
        <v>2719.96</v>
      </c>
      <c r="L63" s="963">
        <f t="shared" si="11"/>
        <v>10749.740000000002</v>
      </c>
      <c r="M63" s="963">
        <f t="shared" si="11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1">
        <v>25</v>
      </c>
      <c r="L66" s="951">
        <f t="shared" ref="L66:L78" si="12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4">
        <v>912</v>
      </c>
      <c r="K70" s="951">
        <v>6341.6</v>
      </c>
      <c r="L70" s="954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1">
        <v>25</v>
      </c>
      <c r="L71" s="951">
        <f t="shared" si="12"/>
        <v>1798</v>
      </c>
      <c r="M71" s="953">
        <f t="shared" ref="M71:M78" si="13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1">
        <v>2568.4</v>
      </c>
      <c r="L73" s="951">
        <f t="shared" si="12"/>
        <v>4341.3999999999996</v>
      </c>
      <c r="M73" s="953">
        <f t="shared" si="13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1">
        <v>25</v>
      </c>
      <c r="L74" s="951">
        <f t="shared" si="12"/>
        <v>1798</v>
      </c>
      <c r="M74" s="953">
        <f t="shared" si="13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1">
        <v>25</v>
      </c>
      <c r="L75" s="951">
        <f t="shared" si="12"/>
        <v>1798</v>
      </c>
      <c r="M75" s="953">
        <f t="shared" si="13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1">
        <v>1740.46</v>
      </c>
      <c r="L76" s="951">
        <f t="shared" si="12"/>
        <v>3513.46</v>
      </c>
      <c r="M76" s="953">
        <f t="shared" si="13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1">
        <v>25</v>
      </c>
      <c r="L77" s="951">
        <f t="shared" si="12"/>
        <v>1798</v>
      </c>
      <c r="M77" s="953">
        <f t="shared" si="13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1">
        <v>25</v>
      </c>
      <c r="L78" s="951">
        <f t="shared" si="12"/>
        <v>1798</v>
      </c>
      <c r="M78" s="953">
        <f t="shared" si="13"/>
        <v>28202</v>
      </c>
    </row>
    <row r="79" spans="1:13" ht="18.75" x14ac:dyDescent="0.3">
      <c r="A79" s="958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1">
        <v>25</v>
      </c>
      <c r="L79" s="951">
        <f t="shared" ref="L79" si="14">+H79+I79+J79+K79</f>
        <v>1798</v>
      </c>
      <c r="M79" s="953">
        <f t="shared" ref="M79" si="15">+G79-L79</f>
        <v>28202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1">
        <v>25</v>
      </c>
      <c r="L80" s="951">
        <f t="shared" ref="L80" si="16">+H80+I80+J80+K80</f>
        <v>1798</v>
      </c>
      <c r="M80" s="953">
        <f t="shared" ref="M80" si="17">+G80-L80</f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18">SUM(G66:G80)</f>
        <v>482000</v>
      </c>
      <c r="H81" s="963">
        <f t="shared" si="18"/>
        <v>13833.4</v>
      </c>
      <c r="I81" s="963">
        <f t="shared" si="18"/>
        <v>1873.24</v>
      </c>
      <c r="J81" s="963">
        <f t="shared" si="18"/>
        <v>14652.8</v>
      </c>
      <c r="K81" s="963">
        <f t="shared" si="18"/>
        <v>11050.46</v>
      </c>
      <c r="L81" s="963">
        <f t="shared" si="18"/>
        <v>41409.9</v>
      </c>
      <c r="M81" s="963">
        <f t="shared" si="18"/>
        <v>440590.1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1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3"/>
      <c r="L83" s="963"/>
      <c r="M83" s="965"/>
    </row>
    <row r="84" spans="1:13" s="259" customFormat="1" ht="18.75" x14ac:dyDescent="0.3">
      <c r="A84" s="1258" t="s">
        <v>1666</v>
      </c>
      <c r="B84" s="1256" t="s">
        <v>807</v>
      </c>
      <c r="C84" s="1257" t="s">
        <v>1778</v>
      </c>
      <c r="D84" s="1257" t="s">
        <v>307</v>
      </c>
      <c r="E84" s="954">
        <v>43500</v>
      </c>
      <c r="F84" s="1191">
        <v>0</v>
      </c>
      <c r="G84" s="954">
        <v>43500</v>
      </c>
      <c r="H84" s="954">
        <v>1248.45</v>
      </c>
      <c r="I84" s="1191">
        <v>936.62</v>
      </c>
      <c r="J84" s="954">
        <v>1322.4</v>
      </c>
      <c r="K84" s="954">
        <v>1025</v>
      </c>
      <c r="L84" s="954">
        <f t="shared" ref="L84:L92" si="19">+H84+I84+J84+K84</f>
        <v>4532.47</v>
      </c>
      <c r="M84" s="954">
        <f>+G84-L84</f>
        <v>38967.53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1">
        <v>125</v>
      </c>
      <c r="L85" s="951">
        <f t="shared" si="19"/>
        <v>1602.5</v>
      </c>
      <c r="M85" s="953">
        <f t="shared" ref="M85:M93" si="20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728</v>
      </c>
      <c r="L86" s="951">
        <f t="shared" si="19"/>
        <v>2205.5</v>
      </c>
      <c r="M86" s="953">
        <f t="shared" si="20"/>
        <v>22794.5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1">
        <v>1296.7</v>
      </c>
      <c r="L87" s="951">
        <f t="shared" si="19"/>
        <v>2774.2</v>
      </c>
      <c r="M87" s="953">
        <f t="shared" si="20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1">
        <v>25</v>
      </c>
      <c r="L88" s="951">
        <f t="shared" si="19"/>
        <v>1502.5</v>
      </c>
      <c r="M88" s="953">
        <f t="shared" si="20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1">
        <v>25</v>
      </c>
      <c r="L89" s="951">
        <f t="shared" si="19"/>
        <v>1502.5</v>
      </c>
      <c r="M89" s="953">
        <f t="shared" si="20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1">
        <v>25</v>
      </c>
      <c r="L90" s="951">
        <f t="shared" si="19"/>
        <v>1502.5</v>
      </c>
      <c r="M90" s="953">
        <f t="shared" si="20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1">
        <v>25</v>
      </c>
      <c r="L91" s="951">
        <f t="shared" si="19"/>
        <v>1502.5</v>
      </c>
      <c r="M91" s="953">
        <f t="shared" si="20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1">
        <v>25</v>
      </c>
      <c r="L92" s="951">
        <f t="shared" si="19"/>
        <v>1502.5</v>
      </c>
      <c r="M92" s="953">
        <f t="shared" si="20"/>
        <v>23497.5</v>
      </c>
    </row>
    <row r="93" spans="1:13" ht="19.5" customHeight="1" x14ac:dyDescent="0.3">
      <c r="A93" s="955" t="s">
        <v>1075</v>
      </c>
      <c r="B93" s="950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974">
        <v>0</v>
      </c>
      <c r="J93" s="951">
        <v>760</v>
      </c>
      <c r="K93" s="951">
        <v>4353.66</v>
      </c>
      <c r="L93" s="951">
        <f>+H93+I93+J93+K93</f>
        <v>5831.16</v>
      </c>
      <c r="M93" s="953">
        <f t="shared" si="20"/>
        <v>19168.84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21">SUM(G84:G93)</f>
        <v>268500</v>
      </c>
      <c r="H94" s="963">
        <f t="shared" si="21"/>
        <v>7705.95</v>
      </c>
      <c r="I94" s="963">
        <f t="shared" si="21"/>
        <v>936.62</v>
      </c>
      <c r="J94" s="963">
        <f t="shared" si="21"/>
        <v>8162.4</v>
      </c>
      <c r="K94" s="963">
        <f>SUM(K84:K93)</f>
        <v>7653.36</v>
      </c>
      <c r="L94" s="963">
        <f t="shared" si="21"/>
        <v>24458.33</v>
      </c>
      <c r="M94" s="963">
        <f t="shared" si="21"/>
        <v>244041.67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1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1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1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22">SUM(F97:F97)</f>
        <v>0</v>
      </c>
      <c r="G98" s="965">
        <f t="shared" si="22"/>
        <v>55000</v>
      </c>
      <c r="H98" s="963">
        <f t="shared" si="22"/>
        <v>1578.5</v>
      </c>
      <c r="I98" s="963">
        <f t="shared" si="22"/>
        <v>2559.6799999999998</v>
      </c>
      <c r="J98" s="963">
        <f t="shared" si="22"/>
        <v>1672</v>
      </c>
      <c r="K98" s="963">
        <f>SUM(K97:K97)</f>
        <v>25</v>
      </c>
      <c r="L98" s="963">
        <f t="shared" si="22"/>
        <v>5835.18</v>
      </c>
      <c r="M98" s="965">
        <f t="shared" si="22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1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1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1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1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23">SUM(G101:G102)</f>
        <v>98500</v>
      </c>
      <c r="H103" s="963">
        <f t="shared" si="23"/>
        <v>2826.95</v>
      </c>
      <c r="I103" s="963">
        <f t="shared" si="23"/>
        <v>3496.2999999999997</v>
      </c>
      <c r="J103" s="963">
        <f t="shared" si="23"/>
        <v>2994.4</v>
      </c>
      <c r="K103" s="963">
        <f t="shared" si="23"/>
        <v>2593.4</v>
      </c>
      <c r="L103" s="963">
        <f t="shared" si="23"/>
        <v>11911.05</v>
      </c>
      <c r="M103" s="963">
        <f t="shared" si="23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1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3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1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1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J108" si="24">SUM(G106:G107)</f>
        <v>140000</v>
      </c>
      <c r="H108" s="963">
        <f t="shared" si="24"/>
        <v>4018</v>
      </c>
      <c r="I108" s="963">
        <f>SUM(I106:I107)</f>
        <v>10050.77</v>
      </c>
      <c r="J108" s="963">
        <f t="shared" si="24"/>
        <v>4256</v>
      </c>
      <c r="K108" s="963">
        <f>SUM(K106:K107)</f>
        <v>3580.92</v>
      </c>
      <c r="L108" s="963">
        <f>SUM(L106:L107)</f>
        <v>21905.69</v>
      </c>
      <c r="M108" s="963">
        <f>SUM(M106:M107)</f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3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3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4">
        <v>2432</v>
      </c>
      <c r="K111" s="951">
        <v>2134</v>
      </c>
      <c r="L111" s="954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1">
        <v>1740.46</v>
      </c>
      <c r="L112" s="954">
        <f t="shared" ref="L112:L113" si="25"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1">
        <v>25</v>
      </c>
      <c r="L113" s="954">
        <f t="shared" si="25"/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26">SUM(G111:G113)</f>
        <v>167000</v>
      </c>
      <c r="H114" s="963">
        <f t="shared" si="26"/>
        <v>4792.8999999999996</v>
      </c>
      <c r="I114" s="963">
        <f t="shared" si="26"/>
        <v>9016.7900000000009</v>
      </c>
      <c r="J114" s="963">
        <f t="shared" si="26"/>
        <v>5076.8</v>
      </c>
      <c r="K114" s="963">
        <f>SUM(K111:K113)</f>
        <v>3899.46</v>
      </c>
      <c r="L114" s="963">
        <f>SUM(L111:L113)</f>
        <v>22785.95</v>
      </c>
      <c r="M114" s="963">
        <f t="shared" si="26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3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3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1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27">SUM(G117:G117)</f>
        <v>80000</v>
      </c>
      <c r="H118" s="963">
        <f t="shared" si="27"/>
        <v>2296</v>
      </c>
      <c r="I118" s="963">
        <f t="shared" si="27"/>
        <v>6972</v>
      </c>
      <c r="J118" s="963">
        <f t="shared" si="27"/>
        <v>2432</v>
      </c>
      <c r="K118" s="963">
        <f>SUM(K117:K117)</f>
        <v>1740.46</v>
      </c>
      <c r="L118" s="963">
        <f t="shared" si="27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3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3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1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5025.38</v>
      </c>
      <c r="J122" s="951">
        <v>2128</v>
      </c>
      <c r="K122" s="951">
        <v>1840.46</v>
      </c>
      <c r="L122" s="951">
        <f>+H122+I122+J122+K122</f>
        <v>11002.84</v>
      </c>
      <c r="M122" s="953">
        <f t="shared" ref="M122:M125" si="28">+G122-L122</f>
        <v>58997.16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1">
        <v>25</v>
      </c>
      <c r="L123" s="951">
        <f>+H123+I123+J123+K123</f>
        <v>12153.869999999999</v>
      </c>
      <c r="M123" s="953">
        <f t="shared" si="28"/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1">
        <v>25</v>
      </c>
      <c r="L124" s="951">
        <v>1886.65</v>
      </c>
      <c r="M124" s="953">
        <f t="shared" si="28"/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1">
        <v>25</v>
      </c>
      <c r="L125" s="951">
        <f>+H125+I125+J125+K125</f>
        <v>3532.4700000000003</v>
      </c>
      <c r="M125" s="953">
        <f t="shared" si="28"/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>SUM(E121:E125)</f>
        <v>410000</v>
      </c>
      <c r="F126" s="964">
        <f t="shared" ref="F126" si="29">SUM(F121:F125)</f>
        <v>0</v>
      </c>
      <c r="G126" s="963">
        <f>SUM(G121:G125)</f>
        <v>410000</v>
      </c>
      <c r="H126" s="963">
        <f t="shared" ref="H126:M126" si="30">SUM(H121:H125)</f>
        <v>11767</v>
      </c>
      <c r="I126" s="963">
        <f t="shared" si="30"/>
        <v>45462.360000000008</v>
      </c>
      <c r="J126" s="963">
        <f t="shared" si="30"/>
        <v>12464</v>
      </c>
      <c r="K126" s="963">
        <f>SUM(K121:K125)</f>
        <v>1940.46</v>
      </c>
      <c r="L126" s="963">
        <f t="shared" si="30"/>
        <v>71633.819999999992</v>
      </c>
      <c r="M126" s="963">
        <f t="shared" si="30"/>
        <v>338366.18000000005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3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3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4">
        <v>2432</v>
      </c>
      <c r="K129" s="951">
        <v>5884.86</v>
      </c>
      <c r="L129" s="954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31">SUM(G129:G129)</f>
        <v>80000</v>
      </c>
      <c r="H130" s="963">
        <f t="shared" si="31"/>
        <v>2296</v>
      </c>
      <c r="I130" s="963">
        <f t="shared" si="31"/>
        <v>6972</v>
      </c>
      <c r="J130" s="963">
        <f t="shared" si="31"/>
        <v>2432</v>
      </c>
      <c r="K130" s="963">
        <f>SUM(K129:K129)</f>
        <v>5884.86</v>
      </c>
      <c r="L130" s="963">
        <f t="shared" si="31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3"/>
      <c r="L131" s="963"/>
      <c r="M131" s="965"/>
    </row>
    <row r="132" spans="1:13" ht="36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3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1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32">SUM(F133:F133)</f>
        <v>0</v>
      </c>
      <c r="G134" s="963">
        <f t="shared" si="32"/>
        <v>50000</v>
      </c>
      <c r="H134" s="963">
        <f t="shared" si="32"/>
        <v>1435</v>
      </c>
      <c r="I134" s="963">
        <f t="shared" si="32"/>
        <v>1854</v>
      </c>
      <c r="J134" s="963">
        <f t="shared" si="32"/>
        <v>1520</v>
      </c>
      <c r="K134" s="963">
        <f>SUM(K133:K133)</f>
        <v>728</v>
      </c>
      <c r="L134" s="963">
        <f t="shared" si="32"/>
        <v>5537</v>
      </c>
      <c r="M134" s="963">
        <f t="shared" si="32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1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3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1">
        <v>828</v>
      </c>
      <c r="L137" s="951">
        <f t="shared" ref="L137:L140" si="33"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1">
        <v>125</v>
      </c>
      <c r="L138" s="951">
        <v>5935.18</v>
      </c>
      <c r="M138" s="951">
        <f t="shared" ref="M138:M140" si="34"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728</v>
      </c>
      <c r="L139" s="951">
        <f t="shared" si="33"/>
        <v>6538.18</v>
      </c>
      <c r="M139" s="951">
        <f t="shared" si="34"/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1">
        <v>25</v>
      </c>
      <c r="L140" s="951">
        <f t="shared" si="33"/>
        <v>3532.4700000000003</v>
      </c>
      <c r="M140" s="951">
        <f t="shared" si="34"/>
        <v>39967.53</v>
      </c>
    </row>
    <row r="141" spans="1:13" ht="18.75" x14ac:dyDescent="0.3">
      <c r="A141" s="961" t="s">
        <v>749</v>
      </c>
      <c r="B141" s="950"/>
      <c r="C141" s="962">
        <v>4</v>
      </c>
      <c r="D141" s="962"/>
      <c r="E141" s="963">
        <f>SUM(E137:E140)</f>
        <v>233500</v>
      </c>
      <c r="F141" s="964">
        <f>SUM(F137:F140)</f>
        <v>0</v>
      </c>
      <c r="G141" s="963">
        <f t="shared" ref="G141:L141" si="35">SUM(G137:G140)</f>
        <v>233500</v>
      </c>
      <c r="H141" s="963">
        <f t="shared" si="35"/>
        <v>6701.45</v>
      </c>
      <c r="I141" s="963">
        <f t="shared" si="35"/>
        <v>13456.85</v>
      </c>
      <c r="J141" s="963">
        <f t="shared" si="35"/>
        <v>7098.4</v>
      </c>
      <c r="K141" s="963">
        <f>SUM(K137:K140)</f>
        <v>1706</v>
      </c>
      <c r="L141" s="963">
        <f t="shared" si="35"/>
        <v>28962.7</v>
      </c>
      <c r="M141" s="963">
        <f>SUM(M137:M140)</f>
        <v>204537.30000000002</v>
      </c>
    </row>
    <row r="142" spans="1:13" ht="18.75" x14ac:dyDescent="0.3">
      <c r="A142" s="958"/>
      <c r="B142" s="950"/>
      <c r="C142" s="960"/>
      <c r="D142" s="960"/>
      <c r="E142" s="951"/>
      <c r="F142" s="952"/>
      <c r="G142" s="953"/>
      <c r="H142" s="951"/>
      <c r="I142" s="951"/>
      <c r="J142" s="951"/>
      <c r="K142" s="951"/>
      <c r="L142" s="951"/>
      <c r="M142" s="953"/>
    </row>
    <row r="143" spans="1:13" ht="18.75" x14ac:dyDescent="0.3">
      <c r="A143" s="961" t="s">
        <v>1515</v>
      </c>
      <c r="B143" s="950"/>
      <c r="C143" s="967"/>
      <c r="D143" s="967"/>
      <c r="E143" s="963"/>
      <c r="F143" s="964"/>
      <c r="G143" s="965"/>
      <c r="H143" s="963"/>
      <c r="I143" s="963"/>
      <c r="J143" s="963"/>
      <c r="K143" s="963"/>
      <c r="L143" s="963"/>
      <c r="M143" s="965"/>
    </row>
    <row r="144" spans="1:13" ht="18.75" x14ac:dyDescent="0.3">
      <c r="A144" s="958" t="s">
        <v>1686</v>
      </c>
      <c r="B144" s="950" t="s">
        <v>806</v>
      </c>
      <c r="C144" s="960" t="s">
        <v>1687</v>
      </c>
      <c r="D144" s="960" t="s">
        <v>307</v>
      </c>
      <c r="E144" s="951">
        <v>185000</v>
      </c>
      <c r="F144" s="952">
        <v>0</v>
      </c>
      <c r="G144" s="953">
        <v>185000</v>
      </c>
      <c r="H144" s="951">
        <v>5309.5</v>
      </c>
      <c r="I144" s="951">
        <v>32099.49</v>
      </c>
      <c r="J144" s="951">
        <v>5624</v>
      </c>
      <c r="K144" s="951">
        <v>2568.4</v>
      </c>
      <c r="L144" s="951">
        <f>+H144+I144+J144+K144</f>
        <v>45601.390000000007</v>
      </c>
      <c r="M144" s="953">
        <f>+G144-L144</f>
        <v>139398.60999999999</v>
      </c>
    </row>
    <row r="145" spans="1:13" ht="18.75" x14ac:dyDescent="0.3">
      <c r="A145" s="955" t="s">
        <v>77</v>
      </c>
      <c r="B145" s="986" t="s">
        <v>807</v>
      </c>
      <c r="C145" s="960" t="s">
        <v>1734</v>
      </c>
      <c r="D145" s="960" t="s">
        <v>1069</v>
      </c>
      <c r="E145" s="951">
        <v>70000</v>
      </c>
      <c r="F145" s="974">
        <v>0</v>
      </c>
      <c r="G145" s="1070">
        <v>70000</v>
      </c>
      <c r="H145" s="956">
        <v>2009</v>
      </c>
      <c r="I145" s="956">
        <v>5368.48</v>
      </c>
      <c r="J145" s="951">
        <v>2128</v>
      </c>
      <c r="K145" s="956">
        <v>828</v>
      </c>
      <c r="L145" s="951">
        <f>+H145+I145+J145+K145</f>
        <v>10333.48</v>
      </c>
      <c r="M145" s="953">
        <f>+G145-L145</f>
        <v>59666.520000000004</v>
      </c>
    </row>
    <row r="146" spans="1:13" ht="18.75" x14ac:dyDescent="0.3">
      <c r="A146" s="955" t="s">
        <v>1437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974">
        <v>936.62</v>
      </c>
      <c r="J146" s="951">
        <v>1322.4</v>
      </c>
      <c r="K146" s="951">
        <v>25</v>
      </c>
      <c r="L146" s="951">
        <f>+H146+I146+J146+K146</f>
        <v>3532.4700000000003</v>
      </c>
      <c r="M146" s="953">
        <f>+G146-L146</f>
        <v>39967.53</v>
      </c>
    </row>
    <row r="147" spans="1:13" ht="18.75" x14ac:dyDescent="0.3">
      <c r="A147" s="958" t="s">
        <v>310</v>
      </c>
      <c r="B147" s="950" t="s">
        <v>807</v>
      </c>
      <c r="C147" s="960" t="s">
        <v>276</v>
      </c>
      <c r="D147" s="960" t="s">
        <v>307</v>
      </c>
      <c r="E147" s="951">
        <v>50000</v>
      </c>
      <c r="F147" s="952">
        <v>0</v>
      </c>
      <c r="G147" s="953">
        <v>50000</v>
      </c>
      <c r="H147" s="951">
        <v>1435</v>
      </c>
      <c r="I147" s="951">
        <v>1854</v>
      </c>
      <c r="J147" s="951">
        <v>1520</v>
      </c>
      <c r="K147" s="951">
        <v>2025</v>
      </c>
      <c r="L147" s="951">
        <f>+H147+I147+J147+K147</f>
        <v>6834</v>
      </c>
      <c r="M147" s="953">
        <f t="shared" ref="M147" si="36">+G147-L147</f>
        <v>43166</v>
      </c>
    </row>
    <row r="148" spans="1:13" ht="18.75" x14ac:dyDescent="0.3">
      <c r="A148" s="961" t="s">
        <v>749</v>
      </c>
      <c r="B148" s="950"/>
      <c r="C148" s="962">
        <v>4</v>
      </c>
      <c r="D148" s="962"/>
      <c r="E148" s="963">
        <f>SUM(E144:E147)</f>
        <v>348500</v>
      </c>
      <c r="F148" s="964">
        <f ca="1">SUM(F144:F171)</f>
        <v>0</v>
      </c>
      <c r="G148" s="965">
        <f>SUM(G144:G147)</f>
        <v>348500</v>
      </c>
      <c r="H148" s="963">
        <f t="shared" ref="H148:L148" si="37">SUM(H144:H147)</f>
        <v>10001.950000000001</v>
      </c>
      <c r="I148" s="963">
        <f t="shared" si="37"/>
        <v>40258.590000000004</v>
      </c>
      <c r="J148" s="963">
        <f t="shared" si="37"/>
        <v>10594.4</v>
      </c>
      <c r="K148" s="963">
        <f>SUM(K144:K147)</f>
        <v>5446.4</v>
      </c>
      <c r="L148" s="963">
        <f t="shared" si="37"/>
        <v>66301.340000000011</v>
      </c>
      <c r="M148" s="965">
        <f>SUM(M144:M147)</f>
        <v>282198.66000000003</v>
      </c>
    </row>
    <row r="149" spans="1:13" ht="18.75" x14ac:dyDescent="0.3">
      <c r="A149" s="961"/>
      <c r="B149" s="950"/>
      <c r="C149" s="962"/>
      <c r="D149" s="962"/>
      <c r="E149" s="963"/>
      <c r="F149" s="964"/>
      <c r="G149" s="965"/>
      <c r="H149" s="963"/>
      <c r="I149" s="963"/>
      <c r="J149" s="963"/>
      <c r="K149" s="963"/>
      <c r="L149" s="963"/>
      <c r="M149" s="965"/>
    </row>
    <row r="150" spans="1:13" ht="18.75" x14ac:dyDescent="0.3">
      <c r="A150" s="967" t="s">
        <v>1458</v>
      </c>
      <c r="B150" s="988"/>
      <c r="C150" s="989"/>
      <c r="D150" s="989"/>
      <c r="E150" s="949"/>
      <c r="F150" s="949"/>
      <c r="G150" s="990"/>
      <c r="H150" s="1379"/>
      <c r="I150" s="963"/>
      <c r="J150" s="963"/>
      <c r="K150" s="963"/>
      <c r="L150" s="963"/>
      <c r="M150" s="965"/>
    </row>
    <row r="151" spans="1:13" ht="18.75" x14ac:dyDescent="0.3">
      <c r="A151" s="960" t="s">
        <v>1689</v>
      </c>
      <c r="B151" s="950" t="s">
        <v>807</v>
      </c>
      <c r="C151" s="960" t="s">
        <v>1772</v>
      </c>
      <c r="D151" s="960" t="s">
        <v>1069</v>
      </c>
      <c r="E151" s="951">
        <v>80000</v>
      </c>
      <c r="F151" s="971">
        <v>0</v>
      </c>
      <c r="G151" s="972">
        <v>80000</v>
      </c>
      <c r="H151" s="951">
        <v>2296</v>
      </c>
      <c r="I151" s="951">
        <v>7400.87</v>
      </c>
      <c r="J151" s="951">
        <v>2432</v>
      </c>
      <c r="K151" s="951">
        <v>2097.1999999999998</v>
      </c>
      <c r="L151" s="951">
        <f>+H151+I151+J151+K151</f>
        <v>14226.07</v>
      </c>
      <c r="M151" s="953">
        <f>+G151-L151</f>
        <v>65773.929999999993</v>
      </c>
    </row>
    <row r="152" spans="1:13" ht="18.75" x14ac:dyDescent="0.3">
      <c r="A152" s="960" t="s">
        <v>1690</v>
      </c>
      <c r="B152" s="950" t="s">
        <v>807</v>
      </c>
      <c r="C152" s="960" t="s">
        <v>276</v>
      </c>
      <c r="D152" s="960" t="s">
        <v>307</v>
      </c>
      <c r="E152" s="951">
        <v>43500</v>
      </c>
      <c r="F152" s="974">
        <v>0</v>
      </c>
      <c r="G152" s="951">
        <v>43500</v>
      </c>
      <c r="H152" s="951">
        <v>1248.45</v>
      </c>
      <c r="I152" s="974">
        <v>679.3</v>
      </c>
      <c r="J152" s="951">
        <v>1322.4</v>
      </c>
      <c r="K152" s="951">
        <v>1740.46</v>
      </c>
      <c r="L152" s="951">
        <f>SUM(H152:K152)</f>
        <v>4990.6100000000006</v>
      </c>
      <c r="M152" s="951">
        <f>+E152-L152</f>
        <v>38509.39</v>
      </c>
    </row>
    <row r="153" spans="1:13" ht="18.75" x14ac:dyDescent="0.3">
      <c r="A153" s="961" t="s">
        <v>847</v>
      </c>
      <c r="B153" s="992"/>
      <c r="C153" s="962">
        <v>2</v>
      </c>
      <c r="D153" s="962"/>
      <c r="E153" s="963">
        <f>SUM(E151:E152)</f>
        <v>123500</v>
      </c>
      <c r="F153" s="1071">
        <v>0</v>
      </c>
      <c r="G153" s="963">
        <f t="shared" ref="G153:I153" si="38">SUM(G151:G152)</f>
        <v>123500</v>
      </c>
      <c r="H153" s="963">
        <f t="shared" si="38"/>
        <v>3544.45</v>
      </c>
      <c r="I153" s="963">
        <f t="shared" si="38"/>
        <v>8080.17</v>
      </c>
      <c r="J153" s="963">
        <f>SUM(J151:J152)</f>
        <v>3754.4</v>
      </c>
      <c r="K153" s="963">
        <f>SUM(K151:K152)</f>
        <v>3837.66</v>
      </c>
      <c r="L153" s="963">
        <f>SUM(L151:L152)</f>
        <v>19216.68</v>
      </c>
      <c r="M153" s="963">
        <f>SUM(M151:M152)</f>
        <v>104283.31999999999</v>
      </c>
    </row>
    <row r="154" spans="1:13" ht="18.75" x14ac:dyDescent="0.3">
      <c r="A154" s="961"/>
      <c r="B154" s="950"/>
      <c r="C154" s="962"/>
      <c r="D154" s="962"/>
      <c r="E154" s="963"/>
      <c r="F154" s="964"/>
      <c r="G154" s="965"/>
      <c r="H154" s="963"/>
      <c r="I154" s="963"/>
      <c r="J154" s="963"/>
      <c r="K154" s="963"/>
      <c r="L154" s="963"/>
      <c r="M154" s="965"/>
    </row>
    <row r="155" spans="1:13" ht="18.75" x14ac:dyDescent="0.3">
      <c r="A155" s="982" t="s">
        <v>1245</v>
      </c>
      <c r="B155" s="950"/>
      <c r="C155" s="967"/>
      <c r="D155" s="967"/>
      <c r="E155" s="963"/>
      <c r="F155" s="964"/>
      <c r="G155" s="965"/>
      <c r="H155" s="963"/>
      <c r="I155" s="963"/>
      <c r="J155" s="963"/>
      <c r="K155" s="963"/>
      <c r="L155" s="963"/>
      <c r="M155" s="965"/>
    </row>
    <row r="156" spans="1:13" ht="18.75" x14ac:dyDescent="0.3">
      <c r="A156" s="955" t="s">
        <v>1691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1">
        <v>1248.45</v>
      </c>
      <c r="I156" s="974">
        <v>936.62</v>
      </c>
      <c r="J156" s="951">
        <v>1322.4</v>
      </c>
      <c r="K156" s="951">
        <v>25</v>
      </c>
      <c r="L156" s="951">
        <f>SUM(H156:K156)</f>
        <v>3532.4700000000003</v>
      </c>
      <c r="M156" s="953">
        <f>+G156-L156</f>
        <v>39967.53</v>
      </c>
    </row>
    <row r="157" spans="1:13" ht="18.75" x14ac:dyDescent="0.3">
      <c r="A157" s="961" t="s">
        <v>749</v>
      </c>
      <c r="B157" s="950"/>
      <c r="C157" s="962">
        <v>1</v>
      </c>
      <c r="D157" s="962"/>
      <c r="E157" s="963">
        <f>SUM(E156:E156)</f>
        <v>43500</v>
      </c>
      <c r="F157" s="964">
        <f t="shared" ref="F157:J157" si="39">SUM(F156:F156)</f>
        <v>0</v>
      </c>
      <c r="G157" s="965">
        <f t="shared" si="39"/>
        <v>43500</v>
      </c>
      <c r="H157" s="963">
        <f t="shared" si="39"/>
        <v>1248.45</v>
      </c>
      <c r="I157" s="1091">
        <f>SUM(I156:I156)</f>
        <v>936.62</v>
      </c>
      <c r="J157" s="1091">
        <f t="shared" si="39"/>
        <v>1322.4</v>
      </c>
      <c r="K157" s="963">
        <f>SUM(K156:K156)</f>
        <v>25</v>
      </c>
      <c r="L157" s="963">
        <f>SUM(L156)</f>
        <v>3532.4700000000003</v>
      </c>
      <c r="M157" s="965">
        <v>39967.53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1"/>
      <c r="I158" s="951"/>
      <c r="J158" s="951"/>
      <c r="K158" s="951"/>
      <c r="L158" s="951"/>
      <c r="M158" s="953"/>
    </row>
    <row r="159" spans="1:13" ht="18.75" x14ac:dyDescent="0.3">
      <c r="A159" s="997" t="s">
        <v>1692</v>
      </c>
      <c r="B159" s="950"/>
      <c r="C159" s="967"/>
      <c r="D159" s="967"/>
      <c r="E159" s="963"/>
      <c r="F159" s="964"/>
      <c r="G159" s="965"/>
      <c r="H159" s="963"/>
      <c r="I159" s="963"/>
      <c r="J159" s="963"/>
      <c r="K159" s="963"/>
      <c r="L159" s="963"/>
      <c r="M159" s="965"/>
    </row>
    <row r="160" spans="1:13" ht="18.75" x14ac:dyDescent="0.3">
      <c r="A160" s="955" t="s">
        <v>1693</v>
      </c>
      <c r="B160" s="950" t="s">
        <v>807</v>
      </c>
      <c r="C160" s="960" t="s">
        <v>1734</v>
      </c>
      <c r="D160" s="960" t="s">
        <v>307</v>
      </c>
      <c r="E160" s="951">
        <v>70000</v>
      </c>
      <c r="F160" s="974">
        <v>0</v>
      </c>
      <c r="G160" s="951">
        <v>70000</v>
      </c>
      <c r="H160" s="951">
        <v>2009</v>
      </c>
      <c r="I160" s="951">
        <v>5368.48</v>
      </c>
      <c r="J160" s="951">
        <v>2128</v>
      </c>
      <c r="K160" s="951">
        <v>1296.7</v>
      </c>
      <c r="L160" s="951">
        <f>+H160+I160+J160+K160</f>
        <v>10802.18</v>
      </c>
      <c r="M160" s="953">
        <f t="shared" ref="M160:M161" si="40">+G160-L160</f>
        <v>59197.82</v>
      </c>
    </row>
    <row r="161" spans="1:13" ht="18.75" x14ac:dyDescent="0.3">
      <c r="A161" s="955" t="s">
        <v>1694</v>
      </c>
      <c r="B161" s="950" t="s">
        <v>806</v>
      </c>
      <c r="C161" s="960" t="s">
        <v>551</v>
      </c>
      <c r="D161" s="960" t="s">
        <v>307</v>
      </c>
      <c r="E161" s="951">
        <v>43500</v>
      </c>
      <c r="F161" s="952">
        <v>0</v>
      </c>
      <c r="G161" s="953">
        <v>43500</v>
      </c>
      <c r="H161" s="951">
        <v>1248.45</v>
      </c>
      <c r="I161" s="974">
        <v>936.62</v>
      </c>
      <c r="J161" s="951">
        <v>1322.4</v>
      </c>
      <c r="K161" s="951">
        <v>2025</v>
      </c>
      <c r="L161" s="951">
        <f>+H161+I161+J161+K161</f>
        <v>5532.47</v>
      </c>
      <c r="M161" s="953">
        <f t="shared" si="40"/>
        <v>37967.53</v>
      </c>
    </row>
    <row r="162" spans="1:13" ht="18.75" x14ac:dyDescent="0.3">
      <c r="A162" s="955" t="s">
        <v>1695</v>
      </c>
      <c r="B162" s="950" t="s">
        <v>806</v>
      </c>
      <c r="C162" s="960" t="s">
        <v>551</v>
      </c>
      <c r="D162" s="960" t="s">
        <v>321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1">
        <v>25</v>
      </c>
      <c r="L162" s="951">
        <f>+H162+I162+J162+K162</f>
        <v>3532.4700000000003</v>
      </c>
      <c r="M162" s="953">
        <f>+G162-L162</f>
        <v>39967.53</v>
      </c>
    </row>
    <row r="163" spans="1:13" ht="18.75" x14ac:dyDescent="0.3">
      <c r="A163" s="961" t="s">
        <v>847</v>
      </c>
      <c r="B163" s="950"/>
      <c r="C163" s="962">
        <v>3</v>
      </c>
      <c r="D163" s="962"/>
      <c r="E163" s="963">
        <f>SUM(E160:E162)</f>
        <v>157000</v>
      </c>
      <c r="F163" s="993">
        <f t="shared" ref="F163" si="41">SUM(F162)</f>
        <v>0</v>
      </c>
      <c r="G163" s="963">
        <f t="shared" ref="G163:M163" si="42">SUM(G160:G162)</f>
        <v>157000</v>
      </c>
      <c r="H163" s="963">
        <f t="shared" si="42"/>
        <v>4505.8999999999996</v>
      </c>
      <c r="I163" s="963">
        <f t="shared" si="42"/>
        <v>7241.7199999999993</v>
      </c>
      <c r="J163" s="963">
        <f t="shared" si="42"/>
        <v>4772.8</v>
      </c>
      <c r="K163" s="963">
        <f>SUM(K160:K162)</f>
        <v>3346.7</v>
      </c>
      <c r="L163" s="963">
        <f t="shared" si="42"/>
        <v>19867.120000000003</v>
      </c>
      <c r="M163" s="963">
        <f t="shared" si="42"/>
        <v>137132.88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1"/>
      <c r="I164" s="951"/>
      <c r="J164" s="951"/>
      <c r="K164" s="951"/>
      <c r="L164" s="951"/>
      <c r="M164" s="953"/>
    </row>
    <row r="165" spans="1:13" ht="29.25" customHeight="1" x14ac:dyDescent="0.3">
      <c r="A165" s="982" t="s">
        <v>1138</v>
      </c>
      <c r="B165" s="950"/>
      <c r="C165" s="967"/>
      <c r="D165" s="967"/>
      <c r="E165" s="963"/>
      <c r="F165" s="964"/>
      <c r="G165" s="965"/>
      <c r="H165" s="963"/>
      <c r="I165" s="963"/>
      <c r="J165" s="963"/>
      <c r="K165" s="963"/>
      <c r="L165" s="963"/>
      <c r="M165" s="965"/>
    </row>
    <row r="166" spans="1:13" ht="18.75" x14ac:dyDescent="0.3">
      <c r="A166" s="958" t="s">
        <v>1640</v>
      </c>
      <c r="B166" s="950" t="s">
        <v>806</v>
      </c>
      <c r="C166" s="960" t="s">
        <v>417</v>
      </c>
      <c r="D166" s="960" t="s">
        <v>1069</v>
      </c>
      <c r="E166" s="951">
        <v>80000</v>
      </c>
      <c r="F166" s="952">
        <v>0</v>
      </c>
      <c r="G166" s="953">
        <v>80000</v>
      </c>
      <c r="H166" s="951">
        <v>2296</v>
      </c>
      <c r="I166" s="951">
        <v>7400.87</v>
      </c>
      <c r="J166" s="951">
        <v>2432</v>
      </c>
      <c r="K166" s="951">
        <v>728</v>
      </c>
      <c r="L166" s="951">
        <f>+H166+I166+J166+K166</f>
        <v>12856.869999999999</v>
      </c>
      <c r="M166" s="953">
        <f>+G166-L166</f>
        <v>67143.13</v>
      </c>
    </row>
    <row r="167" spans="1:13" ht="18.75" x14ac:dyDescent="0.3">
      <c r="A167" s="961" t="s">
        <v>847</v>
      </c>
      <c r="B167" s="950"/>
      <c r="C167" s="962">
        <v>1</v>
      </c>
      <c r="D167" s="962"/>
      <c r="E167" s="963">
        <f>SUM(E166:E166)</f>
        <v>80000</v>
      </c>
      <c r="F167" s="1071">
        <v>0</v>
      </c>
      <c r="G167" s="963">
        <f t="shared" ref="G167:M167" si="43">SUM(G166:G166)</f>
        <v>80000</v>
      </c>
      <c r="H167" s="963">
        <f t="shared" si="43"/>
        <v>2296</v>
      </c>
      <c r="I167" s="963">
        <f t="shared" si="43"/>
        <v>7400.87</v>
      </c>
      <c r="J167" s="963">
        <f t="shared" si="43"/>
        <v>2432</v>
      </c>
      <c r="K167" s="963">
        <f>SUM(K166:K166)</f>
        <v>728</v>
      </c>
      <c r="L167" s="963">
        <f t="shared" si="43"/>
        <v>12856.869999999999</v>
      </c>
      <c r="M167" s="963">
        <f t="shared" si="43"/>
        <v>67143.13</v>
      </c>
    </row>
    <row r="168" spans="1:13" ht="18.75" x14ac:dyDescent="0.3">
      <c r="A168" s="958"/>
      <c r="B168" s="950"/>
      <c r="C168" s="960"/>
      <c r="D168" s="960"/>
      <c r="E168" s="951"/>
      <c r="F168" s="952"/>
      <c r="G168" s="953"/>
      <c r="H168" s="951"/>
      <c r="I168" s="951"/>
      <c r="J168" s="951"/>
      <c r="K168" s="951"/>
      <c r="L168" s="951"/>
      <c r="M168" s="953"/>
    </row>
    <row r="169" spans="1:13" ht="18.75" customHeight="1" x14ac:dyDescent="0.3">
      <c r="A169" s="982" t="s">
        <v>1195</v>
      </c>
      <c r="B169" s="950"/>
      <c r="C169" s="967"/>
      <c r="D169" s="967"/>
      <c r="E169" s="963"/>
      <c r="F169" s="964"/>
      <c r="G169" s="965"/>
      <c r="H169" s="963"/>
      <c r="I169" s="963"/>
      <c r="J169" s="963"/>
      <c r="K169" s="963"/>
      <c r="L169" s="963"/>
      <c r="M169" s="965"/>
    </row>
    <row r="170" spans="1:13" ht="18.75" x14ac:dyDescent="0.3">
      <c r="A170" s="955" t="s">
        <v>217</v>
      </c>
      <c r="B170" s="950" t="s">
        <v>807</v>
      </c>
      <c r="C170" s="960" t="s">
        <v>1734</v>
      </c>
      <c r="D170" s="960" t="s">
        <v>1069</v>
      </c>
      <c r="E170" s="951">
        <v>80000</v>
      </c>
      <c r="F170" s="952">
        <v>0</v>
      </c>
      <c r="G170" s="953">
        <v>80000</v>
      </c>
      <c r="H170" s="951">
        <v>2296</v>
      </c>
      <c r="I170" s="951">
        <v>7400.87</v>
      </c>
      <c r="J170" s="951">
        <v>2432</v>
      </c>
      <c r="K170" s="951">
        <v>3639.14</v>
      </c>
      <c r="L170" s="951">
        <f>+H170+I170+J170+K170</f>
        <v>15768.009999999998</v>
      </c>
      <c r="M170" s="953">
        <f>+G170-L170</f>
        <v>64231.990000000005</v>
      </c>
    </row>
    <row r="171" spans="1:13" ht="18.75" x14ac:dyDescent="0.3">
      <c r="A171" s="955" t="s">
        <v>1688</v>
      </c>
      <c r="B171" s="950" t="s">
        <v>806</v>
      </c>
      <c r="C171" s="960" t="s">
        <v>1683</v>
      </c>
      <c r="D171" s="960" t="s">
        <v>1069</v>
      </c>
      <c r="E171" s="951">
        <v>55000</v>
      </c>
      <c r="F171" s="974">
        <v>0</v>
      </c>
      <c r="G171" s="951">
        <v>55000</v>
      </c>
      <c r="H171" s="951">
        <v>1578.5</v>
      </c>
      <c r="I171" s="951">
        <v>2559.6799999999998</v>
      </c>
      <c r="J171" s="951">
        <v>1672</v>
      </c>
      <c r="K171" s="951">
        <v>1396.7</v>
      </c>
      <c r="L171" s="951">
        <f>+H171+I171+J171+K171</f>
        <v>7206.88</v>
      </c>
      <c r="M171" s="953">
        <f>+G171-L171</f>
        <v>47793.120000000003</v>
      </c>
    </row>
    <row r="172" spans="1:13" ht="18.75" x14ac:dyDescent="0.3">
      <c r="A172" s="961" t="s">
        <v>749</v>
      </c>
      <c r="B172" s="950"/>
      <c r="C172" s="962">
        <v>2</v>
      </c>
      <c r="D172" s="962"/>
      <c r="E172" s="963">
        <f>SUM(E170:E171)</f>
        <v>135000</v>
      </c>
      <c r="F172" s="964">
        <f t="shared" ref="F172:M172" si="44">SUM(F170:F171)</f>
        <v>0</v>
      </c>
      <c r="G172" s="965">
        <f t="shared" si="44"/>
        <v>135000</v>
      </c>
      <c r="H172" s="963">
        <f t="shared" si="44"/>
        <v>3874.5</v>
      </c>
      <c r="I172" s="963">
        <f t="shared" si="44"/>
        <v>9960.5499999999993</v>
      </c>
      <c r="J172" s="963">
        <f t="shared" si="44"/>
        <v>4104</v>
      </c>
      <c r="K172" s="963">
        <f>SUM(K170:K171)</f>
        <v>5035.84</v>
      </c>
      <c r="L172" s="963">
        <f t="shared" si="44"/>
        <v>22974.89</v>
      </c>
      <c r="M172" s="965">
        <f t="shared" si="44"/>
        <v>112025.11000000002</v>
      </c>
    </row>
    <row r="173" spans="1:13" ht="18.75" x14ac:dyDescent="0.3">
      <c r="A173" s="961"/>
      <c r="B173" s="950"/>
      <c r="C173" s="962"/>
      <c r="D173" s="962"/>
      <c r="E173" s="963"/>
      <c r="F173" s="964"/>
      <c r="G173" s="965"/>
      <c r="H173" s="963"/>
      <c r="I173" s="963"/>
      <c r="J173" s="963"/>
      <c r="K173" s="963"/>
      <c r="L173" s="963"/>
      <c r="M173" s="965"/>
    </row>
    <row r="174" spans="1:13" ht="18.75" x14ac:dyDescent="0.3">
      <c r="A174" s="982" t="s">
        <v>1421</v>
      </c>
      <c r="B174" s="950"/>
      <c r="C174" s="962"/>
      <c r="D174" s="962"/>
      <c r="E174" s="963"/>
      <c r="F174" s="964"/>
      <c r="G174" s="965"/>
      <c r="H174" s="963"/>
      <c r="I174" s="963"/>
      <c r="J174" s="963"/>
      <c r="K174" s="963"/>
      <c r="L174" s="963"/>
      <c r="M174" s="965"/>
    </row>
    <row r="175" spans="1:13" ht="18.75" x14ac:dyDescent="0.3">
      <c r="A175" s="1319" t="s">
        <v>1780</v>
      </c>
      <c r="B175" s="950" t="s">
        <v>806</v>
      </c>
      <c r="C175" s="1320" t="s">
        <v>551</v>
      </c>
      <c r="D175" s="960" t="s">
        <v>307</v>
      </c>
      <c r="E175" s="951">
        <v>43500</v>
      </c>
      <c r="F175" s="952">
        <v>0</v>
      </c>
      <c r="G175" s="953">
        <v>43500</v>
      </c>
      <c r="H175" s="951">
        <v>1248.45</v>
      </c>
      <c r="I175" s="951">
        <v>936.62</v>
      </c>
      <c r="J175" s="951">
        <v>1322.4</v>
      </c>
      <c r="K175" s="951">
        <v>25</v>
      </c>
      <c r="L175" s="951">
        <v>3532.47</v>
      </c>
      <c r="M175" s="953">
        <v>39967.53</v>
      </c>
    </row>
    <row r="176" spans="1:13" ht="18.75" x14ac:dyDescent="0.3">
      <c r="A176" s="961" t="s">
        <v>749</v>
      </c>
      <c r="B176" s="950"/>
      <c r="C176" s="962">
        <v>1</v>
      </c>
      <c r="D176" s="962"/>
      <c r="E176" s="963">
        <v>43500</v>
      </c>
      <c r="F176" s="964">
        <v>0</v>
      </c>
      <c r="G176" s="965">
        <v>43500</v>
      </c>
      <c r="H176" s="963">
        <v>1248.45</v>
      </c>
      <c r="I176" s="963">
        <v>936.62</v>
      </c>
      <c r="J176" s="963">
        <v>1322.4</v>
      </c>
      <c r="K176" s="963">
        <v>25</v>
      </c>
      <c r="L176" s="963">
        <v>3532.47</v>
      </c>
      <c r="M176" s="965">
        <v>39967.53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5"/>
      <c r="H177" s="963"/>
      <c r="I177" s="963"/>
      <c r="J177" s="963"/>
      <c r="K177" s="963"/>
      <c r="L177" s="963"/>
      <c r="M177" s="965"/>
    </row>
    <row r="178" spans="1:13" ht="18.75" x14ac:dyDescent="0.3">
      <c r="A178" s="961" t="s">
        <v>803</v>
      </c>
      <c r="B178" s="950"/>
      <c r="C178" s="967"/>
      <c r="D178" s="967"/>
      <c r="E178" s="963"/>
      <c r="F178" s="964"/>
      <c r="G178" s="965"/>
      <c r="H178" s="963"/>
      <c r="I178" s="963"/>
      <c r="J178" s="963"/>
      <c r="K178" s="963"/>
      <c r="L178" s="963"/>
      <c r="M178" s="965"/>
    </row>
    <row r="179" spans="1:13" ht="18.75" x14ac:dyDescent="0.3">
      <c r="A179" s="955" t="s">
        <v>1698</v>
      </c>
      <c r="B179" s="950" t="s">
        <v>806</v>
      </c>
      <c r="C179" s="1024" t="s">
        <v>1325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974">
        <v>936.62</v>
      </c>
      <c r="J179" s="951">
        <v>1322.4</v>
      </c>
      <c r="K179" s="951">
        <v>25</v>
      </c>
      <c r="L179" s="951">
        <f t="shared" ref="L179:L183" si="45">+H179+I179+J179+K179</f>
        <v>3532.4700000000003</v>
      </c>
      <c r="M179" s="951">
        <f t="shared" ref="M179:M183" si="46">+G179-L179</f>
        <v>39967.53</v>
      </c>
    </row>
    <row r="180" spans="1:13" ht="18.75" x14ac:dyDescent="0.3">
      <c r="A180" s="955" t="s">
        <v>1699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 t="shared" si="45"/>
        <v>3532.4700000000003</v>
      </c>
      <c r="M180" s="951">
        <f t="shared" si="46"/>
        <v>39967.53</v>
      </c>
    </row>
    <row r="181" spans="1:13" ht="18.75" x14ac:dyDescent="0.3">
      <c r="A181" s="955" t="s">
        <v>1700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 t="shared" si="45"/>
        <v>3532.4700000000003</v>
      </c>
      <c r="M181" s="951">
        <f t="shared" si="46"/>
        <v>39967.53</v>
      </c>
    </row>
    <row r="182" spans="1:13" ht="16.5" customHeight="1" x14ac:dyDescent="0.3">
      <c r="A182" s="1069" t="s">
        <v>1701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421.98</v>
      </c>
      <c r="J182" s="951">
        <v>1322.4</v>
      </c>
      <c r="K182" s="951">
        <v>4861.92</v>
      </c>
      <c r="L182" s="951">
        <f t="shared" si="45"/>
        <v>7854.75</v>
      </c>
      <c r="M182" s="951">
        <f t="shared" si="46"/>
        <v>35645.25</v>
      </c>
    </row>
    <row r="183" spans="1:13" ht="18.75" x14ac:dyDescent="0.3">
      <c r="A183" s="998" t="s">
        <v>1702</v>
      </c>
      <c r="B183" s="950" t="s">
        <v>1296</v>
      </c>
      <c r="C183" s="1024" t="s">
        <v>1325</v>
      </c>
      <c r="D183" s="960" t="s">
        <v>321</v>
      </c>
      <c r="E183" s="951">
        <v>43500</v>
      </c>
      <c r="F183" s="952">
        <v>0</v>
      </c>
      <c r="G183" s="953">
        <v>43500</v>
      </c>
      <c r="H183" s="951">
        <v>1248.45</v>
      </c>
      <c r="I183" s="974">
        <v>936.62</v>
      </c>
      <c r="J183" s="951">
        <v>1322.4</v>
      </c>
      <c r="K183" s="951">
        <v>25</v>
      </c>
      <c r="L183" s="951">
        <f t="shared" si="45"/>
        <v>3532.4700000000003</v>
      </c>
      <c r="M183" s="951">
        <f t="shared" si="46"/>
        <v>39967.53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217500</v>
      </c>
      <c r="F184" s="964">
        <v>0</v>
      </c>
      <c r="G184" s="963">
        <f t="shared" ref="G184:M184" si="47">SUM(G179:G183)</f>
        <v>217500</v>
      </c>
      <c r="H184" s="963">
        <f t="shared" si="47"/>
        <v>6242.25</v>
      </c>
      <c r="I184" s="963">
        <f t="shared" si="47"/>
        <v>4168.46</v>
      </c>
      <c r="J184" s="963">
        <f t="shared" si="47"/>
        <v>6612</v>
      </c>
      <c r="K184" s="963">
        <f>SUM(K179:K183)</f>
        <v>4961.92</v>
      </c>
      <c r="L184" s="963">
        <f t="shared" si="47"/>
        <v>21984.63</v>
      </c>
      <c r="M184" s="963">
        <f t="shared" si="47"/>
        <v>195515.37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1490</v>
      </c>
      <c r="B186" s="950"/>
      <c r="C186" s="962"/>
      <c r="D186" s="962"/>
      <c r="E186" s="963"/>
      <c r="F186" s="964"/>
      <c r="G186" s="963"/>
      <c r="H186" s="963"/>
      <c r="I186" s="963"/>
      <c r="J186" s="963"/>
      <c r="K186" s="963"/>
      <c r="L186" s="963"/>
      <c r="M186" s="963"/>
    </row>
    <row r="187" spans="1:13" ht="21" customHeight="1" x14ac:dyDescent="0.3">
      <c r="A187" s="1069" t="s">
        <v>1386</v>
      </c>
      <c r="B187" s="950" t="s">
        <v>806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974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21" customHeight="1" x14ac:dyDescent="0.3">
      <c r="A188" s="1069" t="s">
        <v>1704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1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1328</v>
      </c>
      <c r="B189" s="950" t="s">
        <v>1296</v>
      </c>
      <c r="C189" s="1024" t="s">
        <v>1325</v>
      </c>
      <c r="D189" s="960" t="s">
        <v>321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1">
        <v>25</v>
      </c>
      <c r="L189" s="951">
        <f>+H189+I189+J189+K189</f>
        <v>3532.4700000000003</v>
      </c>
      <c r="M189" s="951">
        <f>+G189-L189</f>
        <v>39967.53</v>
      </c>
    </row>
    <row r="190" spans="1:13" ht="18.75" x14ac:dyDescent="0.3">
      <c r="A190" s="1027" t="s">
        <v>1705</v>
      </c>
      <c r="B190" s="950" t="s">
        <v>806</v>
      </c>
      <c r="C190" s="1024" t="s">
        <v>1325</v>
      </c>
      <c r="D190" s="960" t="s">
        <v>307</v>
      </c>
      <c r="E190" s="951">
        <v>43500</v>
      </c>
      <c r="F190" s="974">
        <v>0</v>
      </c>
      <c r="G190" s="1032">
        <v>43500</v>
      </c>
      <c r="H190" s="951">
        <v>1248.45</v>
      </c>
      <c r="I190" s="1036">
        <v>936.62</v>
      </c>
      <c r="J190" s="951">
        <v>1322.4</v>
      </c>
      <c r="K190" s="951">
        <v>25</v>
      </c>
      <c r="L190" s="1032">
        <v>3532.4700000000003</v>
      </c>
      <c r="M190" s="1032">
        <v>39967.53</v>
      </c>
    </row>
    <row r="191" spans="1:13" ht="18.75" x14ac:dyDescent="0.3">
      <c r="A191" s="1027" t="s">
        <v>1781</v>
      </c>
      <c r="B191" s="950" t="s">
        <v>807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1">
        <v>25</v>
      </c>
      <c r="L191" s="1032">
        <v>3532.4700000000003</v>
      </c>
      <c r="M191" s="1032">
        <v>39967.53</v>
      </c>
    </row>
    <row r="192" spans="1:13" ht="18.75" x14ac:dyDescent="0.3">
      <c r="A192" s="961" t="s">
        <v>847</v>
      </c>
      <c r="B192" s="950"/>
      <c r="C192" s="962">
        <v>5</v>
      </c>
      <c r="D192" s="962"/>
      <c r="E192" s="963">
        <f>SUM(E187:E191)</f>
        <v>217500</v>
      </c>
      <c r="F192" s="964">
        <v>0</v>
      </c>
      <c r="G192" s="963">
        <f t="shared" ref="G192:M192" si="48">SUM(G187:G191)</f>
        <v>217500</v>
      </c>
      <c r="H192" s="963">
        <f t="shared" si="48"/>
        <v>6242.25</v>
      </c>
      <c r="I192" s="963">
        <f t="shared" si="48"/>
        <v>4683.1000000000004</v>
      </c>
      <c r="J192" s="963">
        <f t="shared" si="48"/>
        <v>6612</v>
      </c>
      <c r="K192" s="963">
        <f>SUM(K187:K191)</f>
        <v>125</v>
      </c>
      <c r="L192" s="963">
        <f t="shared" si="48"/>
        <v>17662.350000000002</v>
      </c>
      <c r="M192" s="963">
        <f t="shared" si="48"/>
        <v>199837.65</v>
      </c>
    </row>
    <row r="193" spans="1:13" ht="18.75" x14ac:dyDescent="0.3">
      <c r="A193" s="961"/>
      <c r="B193" s="950"/>
      <c r="C193" s="962"/>
      <c r="D193" s="962"/>
      <c r="E193" s="963"/>
      <c r="F193" s="964"/>
      <c r="G193" s="963"/>
      <c r="H193" s="963"/>
      <c r="I193" s="963"/>
      <c r="J193" s="963"/>
      <c r="K193" s="963"/>
      <c r="L193" s="963"/>
      <c r="M193" s="963"/>
    </row>
    <row r="194" spans="1:13" ht="18.75" x14ac:dyDescent="0.3">
      <c r="A194" s="961" t="s">
        <v>1221</v>
      </c>
      <c r="B194" s="950"/>
      <c r="C194" s="967"/>
      <c r="D194" s="967"/>
      <c r="E194" s="963"/>
      <c r="F194" s="964"/>
      <c r="G194" s="965"/>
      <c r="H194" s="963"/>
      <c r="I194" s="963"/>
      <c r="J194" s="963"/>
      <c r="K194" s="963"/>
      <c r="L194" s="963"/>
      <c r="M194" s="965"/>
    </row>
    <row r="195" spans="1:13" ht="18.75" x14ac:dyDescent="0.3">
      <c r="A195" s="961" t="s">
        <v>1739</v>
      </c>
      <c r="B195" s="950"/>
      <c r="C195" s="1026"/>
      <c r="D195" s="960"/>
      <c r="E195" s="951"/>
      <c r="F195" s="974"/>
      <c r="G195" s="1032"/>
      <c r="H195" s="951"/>
      <c r="I195" s="1036"/>
      <c r="J195" s="951"/>
      <c r="K195" s="951"/>
      <c r="L195" s="1032"/>
      <c r="M195" s="1032"/>
    </row>
    <row r="196" spans="1:13" ht="18.75" x14ac:dyDescent="0.3">
      <c r="A196" s="1027" t="s">
        <v>1478</v>
      </c>
      <c r="B196" s="950" t="s">
        <v>806</v>
      </c>
      <c r="C196" s="1024" t="s">
        <v>1706</v>
      </c>
      <c r="D196" s="960" t="s">
        <v>1069</v>
      </c>
      <c r="E196" s="951">
        <v>120000</v>
      </c>
      <c r="F196" s="974">
        <v>0</v>
      </c>
      <c r="G196" s="1032">
        <v>120000</v>
      </c>
      <c r="H196" s="951">
        <v>3444</v>
      </c>
      <c r="I196" s="1032">
        <v>16809.87</v>
      </c>
      <c r="J196" s="951">
        <v>3648</v>
      </c>
      <c r="K196" s="951">
        <v>25</v>
      </c>
      <c r="L196" s="1032">
        <f>+H196+I196+J196+K196</f>
        <v>23926.87</v>
      </c>
      <c r="M196" s="1032">
        <f t="shared" ref="M196:M202" si="49">+G196-L196</f>
        <v>96073.13</v>
      </c>
    </row>
    <row r="197" spans="1:13" ht="18.75" x14ac:dyDescent="0.3">
      <c r="A197" s="1027" t="s">
        <v>244</v>
      </c>
      <c r="B197" s="950" t="s">
        <v>806</v>
      </c>
      <c r="C197" s="1024" t="s">
        <v>489</v>
      </c>
      <c r="D197" s="960" t="s">
        <v>1064</v>
      </c>
      <c r="E197" s="951">
        <v>80000</v>
      </c>
      <c r="F197" s="974">
        <v>0</v>
      </c>
      <c r="G197" s="1032">
        <v>80000</v>
      </c>
      <c r="H197" s="951">
        <v>2296</v>
      </c>
      <c r="I197" s="1032">
        <v>7400.87</v>
      </c>
      <c r="J197" s="951">
        <v>2432</v>
      </c>
      <c r="K197" s="951">
        <v>25</v>
      </c>
      <c r="L197" s="1032">
        <f>+H197+I197+J197+K197</f>
        <v>12153.869999999999</v>
      </c>
      <c r="M197" s="1032">
        <f t="shared" si="49"/>
        <v>67846.13</v>
      </c>
    </row>
    <row r="198" spans="1:13" ht="18.75" x14ac:dyDescent="0.3">
      <c r="A198" s="1027" t="s">
        <v>84</v>
      </c>
      <c r="B198" s="950" t="s">
        <v>806</v>
      </c>
      <c r="C198" s="1024" t="s">
        <v>417</v>
      </c>
      <c r="D198" s="960" t="s">
        <v>307</v>
      </c>
      <c r="E198" s="951">
        <v>70000</v>
      </c>
      <c r="F198" s="974">
        <v>0</v>
      </c>
      <c r="G198" s="951">
        <v>70000</v>
      </c>
      <c r="H198" s="951">
        <v>2009</v>
      </c>
      <c r="I198" s="1032">
        <v>5368.48</v>
      </c>
      <c r="J198" s="951">
        <v>2128</v>
      </c>
      <c r="K198" s="951">
        <v>25</v>
      </c>
      <c r="L198" s="1032">
        <f>+H198+I198+J198+K198</f>
        <v>9530.48</v>
      </c>
      <c r="M198" s="1032">
        <f t="shared" si="49"/>
        <v>60469.520000000004</v>
      </c>
    </row>
    <row r="199" spans="1:13" ht="18.75" x14ac:dyDescent="0.3">
      <c r="A199" s="1027" t="s">
        <v>94</v>
      </c>
      <c r="B199" s="950" t="s">
        <v>807</v>
      </c>
      <c r="C199" s="1024" t="s">
        <v>417</v>
      </c>
      <c r="D199" s="960" t="s">
        <v>1069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5025.38</v>
      </c>
      <c r="J199" s="951">
        <v>2128</v>
      </c>
      <c r="K199" s="951">
        <v>1740.46</v>
      </c>
      <c r="L199" s="1032">
        <v>10902.84</v>
      </c>
      <c r="M199" s="1032">
        <f t="shared" si="49"/>
        <v>59097.16</v>
      </c>
    </row>
    <row r="200" spans="1:13" ht="18.75" x14ac:dyDescent="0.3">
      <c r="A200" s="1027" t="s">
        <v>156</v>
      </c>
      <c r="B200" s="950" t="s">
        <v>806</v>
      </c>
      <c r="C200" s="1024" t="s">
        <v>1773</v>
      </c>
      <c r="D200" s="960" t="s">
        <v>1069</v>
      </c>
      <c r="E200" s="951">
        <v>80000</v>
      </c>
      <c r="F200" s="974">
        <v>0</v>
      </c>
      <c r="G200" s="951">
        <v>80000</v>
      </c>
      <c r="H200" s="951">
        <v>2296</v>
      </c>
      <c r="I200" s="1032">
        <v>6972</v>
      </c>
      <c r="J200" s="951">
        <v>2432</v>
      </c>
      <c r="K200" s="951">
        <v>1740.46</v>
      </c>
      <c r="L200" s="1032">
        <f>+H200+I200+J200+K200</f>
        <v>13440.46</v>
      </c>
      <c r="M200" s="1032">
        <f t="shared" si="49"/>
        <v>66559.540000000008</v>
      </c>
    </row>
    <row r="201" spans="1:13" ht="18.75" x14ac:dyDescent="0.3">
      <c r="A201" s="1028" t="s">
        <v>177</v>
      </c>
      <c r="B201" s="1001" t="s">
        <v>807</v>
      </c>
      <c r="C201" s="1025" t="s">
        <v>1204</v>
      </c>
      <c r="D201" s="1024" t="s">
        <v>1069</v>
      </c>
      <c r="E201" s="951">
        <v>55000</v>
      </c>
      <c r="F201" s="974">
        <v>0</v>
      </c>
      <c r="G201" s="1032">
        <v>55000</v>
      </c>
      <c r="H201" s="956">
        <v>1578.5</v>
      </c>
      <c r="I201" s="1275">
        <v>2559.6799999999998</v>
      </c>
      <c r="J201" s="951">
        <v>1672</v>
      </c>
      <c r="K201" s="956">
        <v>2097.1999999999998</v>
      </c>
      <c r="L201" s="1032">
        <f>+H201+I201+J201+K201</f>
        <v>7907.38</v>
      </c>
      <c r="M201" s="1032">
        <f t="shared" si="49"/>
        <v>47092.62</v>
      </c>
    </row>
    <row r="202" spans="1:13" ht="18.75" x14ac:dyDescent="0.3">
      <c r="A202" s="955" t="s">
        <v>1710</v>
      </c>
      <c r="B202" s="968" t="s">
        <v>807</v>
      </c>
      <c r="C202" s="960" t="s">
        <v>521</v>
      </c>
      <c r="D202" s="960" t="s">
        <v>307</v>
      </c>
      <c r="E202" s="951">
        <v>43500</v>
      </c>
      <c r="F202" s="974">
        <v>0</v>
      </c>
      <c r="G202" s="951">
        <v>43500</v>
      </c>
      <c r="H202" s="951">
        <v>1248.45</v>
      </c>
      <c r="I202" s="974">
        <v>679.3</v>
      </c>
      <c r="J202" s="951">
        <v>1322.4</v>
      </c>
      <c r="K202" s="951">
        <v>1740.46</v>
      </c>
      <c r="L202" s="951">
        <f>+H202+I202+J202+K202</f>
        <v>4990.6100000000006</v>
      </c>
      <c r="M202" s="951">
        <f t="shared" si="49"/>
        <v>38509.39</v>
      </c>
    </row>
    <row r="203" spans="1:13" ht="18.75" x14ac:dyDescent="0.3">
      <c r="A203" s="1027" t="s">
        <v>1717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1718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f>+H204+I204+J204+K204</f>
        <v>3532.4700000000003</v>
      </c>
      <c r="M204" s="1032">
        <f t="shared" ref="M204:M209" si="50">+G204-L204</f>
        <v>39967.53</v>
      </c>
    </row>
    <row r="205" spans="1:13" ht="18.75" x14ac:dyDescent="0.3">
      <c r="A205" s="1027" t="s">
        <v>1721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74">
        <v>0</v>
      </c>
      <c r="G205" s="1032">
        <v>25000</v>
      </c>
      <c r="H205" s="951">
        <v>717.5</v>
      </c>
      <c r="I205" s="1036">
        <v>0</v>
      </c>
      <c r="J205" s="951">
        <v>760</v>
      </c>
      <c r="K205" s="951">
        <v>25</v>
      </c>
      <c r="L205" s="1032">
        <f>+H205+I205+J205+K205</f>
        <v>1502.5</v>
      </c>
      <c r="M205" s="1032">
        <f t="shared" si="50"/>
        <v>23497.5</v>
      </c>
    </row>
    <row r="206" spans="1:13" ht="18.75" x14ac:dyDescent="0.3">
      <c r="A206" s="1027" t="s">
        <v>1722</v>
      </c>
      <c r="B206" s="950" t="s">
        <v>1151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951">
        <v>25</v>
      </c>
      <c r="L206" s="1032">
        <f>+H206+I206+J206+K206</f>
        <v>1502.5</v>
      </c>
      <c r="M206" s="1032">
        <f t="shared" si="50"/>
        <v>23497.5</v>
      </c>
    </row>
    <row r="207" spans="1:13" ht="18.75" x14ac:dyDescent="0.3">
      <c r="A207" s="1024" t="s">
        <v>830</v>
      </c>
      <c r="B207" s="950" t="s">
        <v>806</v>
      </c>
      <c r="C207" s="1026" t="s">
        <v>92</v>
      </c>
      <c r="D207" s="960" t="s">
        <v>1067</v>
      </c>
      <c r="E207" s="978">
        <v>30000</v>
      </c>
      <c r="F207" s="979">
        <v>0</v>
      </c>
      <c r="G207" s="1032">
        <v>30000</v>
      </c>
      <c r="H207" s="951">
        <v>861</v>
      </c>
      <c r="I207" s="1036">
        <v>0</v>
      </c>
      <c r="J207" s="951">
        <v>912</v>
      </c>
      <c r="K207" s="951">
        <v>25</v>
      </c>
      <c r="L207" s="1032">
        <f>+H207+I207+J207+K207</f>
        <v>1798</v>
      </c>
      <c r="M207" s="1032">
        <f t="shared" si="50"/>
        <v>28202</v>
      </c>
    </row>
    <row r="208" spans="1:13" ht="18.75" x14ac:dyDescent="0.3">
      <c r="A208" s="1027" t="s">
        <v>1723</v>
      </c>
      <c r="B208" s="950" t="s">
        <v>806</v>
      </c>
      <c r="C208" s="1026" t="s">
        <v>92</v>
      </c>
      <c r="D208" s="960" t="s">
        <v>1067</v>
      </c>
      <c r="E208" s="951">
        <v>30000</v>
      </c>
      <c r="F208" s="974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951">
        <v>25</v>
      </c>
      <c r="L208" s="1032">
        <f>+H208+I208+J208+K208</f>
        <v>1798</v>
      </c>
      <c r="M208" s="1032">
        <f t="shared" si="50"/>
        <v>28202</v>
      </c>
    </row>
    <row r="209" spans="1:13" ht="18.75" x14ac:dyDescent="0.3">
      <c r="A209" s="1027" t="s">
        <v>1729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951">
        <v>1740.46</v>
      </c>
      <c r="L209" s="1032">
        <v>3513.46</v>
      </c>
      <c r="M209" s="1032">
        <f t="shared" si="50"/>
        <v>26486.54</v>
      </c>
    </row>
    <row r="210" spans="1:13" ht="18.75" x14ac:dyDescent="0.3">
      <c r="A210" s="949" t="s">
        <v>847</v>
      </c>
      <c r="B210" s="999"/>
      <c r="C210" s="962">
        <v>14</v>
      </c>
      <c r="D210" s="962"/>
      <c r="E210" s="963">
        <f>SUM(E196:E209)</f>
        <v>745500</v>
      </c>
      <c r="F210" s="964">
        <v>0</v>
      </c>
      <c r="G210" s="963">
        <f t="shared" ref="G210:M210" si="51">SUM(G196:G209)</f>
        <v>745500</v>
      </c>
      <c r="H210" s="963">
        <f t="shared" si="51"/>
        <v>21395.850000000002</v>
      </c>
      <c r="I210" s="963">
        <f t="shared" si="51"/>
        <v>46688.820000000007</v>
      </c>
      <c r="J210" s="963">
        <f t="shared" si="51"/>
        <v>22663.200000000001</v>
      </c>
      <c r="K210" s="963">
        <f>SUM(K196:K209)</f>
        <v>9284.0400000000009</v>
      </c>
      <c r="L210" s="963">
        <f t="shared" si="51"/>
        <v>100031.91</v>
      </c>
      <c r="M210" s="963">
        <f t="shared" si="51"/>
        <v>645468.0900000002</v>
      </c>
    </row>
    <row r="211" spans="1:13" ht="18.75" x14ac:dyDescent="0.3">
      <c r="A211" s="949"/>
      <c r="B211" s="999"/>
      <c r="C211" s="962"/>
      <c r="D211" s="962"/>
      <c r="E211" s="963"/>
      <c r="G211" s="963"/>
      <c r="H211" s="963"/>
      <c r="I211" s="963"/>
      <c r="J211" s="963"/>
      <c r="K211" s="963"/>
      <c r="L211" s="963"/>
      <c r="M211" s="963"/>
    </row>
    <row r="212" spans="1:13" ht="18.75" x14ac:dyDescent="0.3">
      <c r="A212" s="961" t="s">
        <v>1774</v>
      </c>
      <c r="B212" s="950"/>
      <c r="C212" s="967"/>
      <c r="D212" s="967"/>
      <c r="E212" s="963"/>
      <c r="F212" s="964"/>
      <c r="G212" s="965"/>
      <c r="H212" s="963"/>
      <c r="I212" s="963"/>
      <c r="J212" s="963"/>
      <c r="K212" s="963"/>
      <c r="L212" s="963"/>
      <c r="M212" s="965"/>
    </row>
    <row r="213" spans="1:13" ht="18.75" x14ac:dyDescent="0.3">
      <c r="A213" s="1027" t="s">
        <v>1707</v>
      </c>
      <c r="B213" s="950" t="s">
        <v>806</v>
      </c>
      <c r="C213" s="1024" t="s">
        <v>1708</v>
      </c>
      <c r="D213" s="960" t="s">
        <v>1069</v>
      </c>
      <c r="E213" s="951">
        <v>120000</v>
      </c>
      <c r="F213" s="974">
        <v>0</v>
      </c>
      <c r="G213" s="1032">
        <v>120000</v>
      </c>
      <c r="H213" s="951">
        <v>3444</v>
      </c>
      <c r="I213" s="1032">
        <v>16809.87</v>
      </c>
      <c r="J213" s="951">
        <v>3648</v>
      </c>
      <c r="K213" s="951">
        <v>25</v>
      </c>
      <c r="L213" s="1032">
        <f>+H213+I213+J213+K213</f>
        <v>23926.87</v>
      </c>
      <c r="M213" s="1031">
        <f>+G213-L213</f>
        <v>96073.13</v>
      </c>
    </row>
    <row r="214" spans="1:13" ht="18.75" x14ac:dyDescent="0.3">
      <c r="A214" s="1027" t="s">
        <v>1709</v>
      </c>
      <c r="B214" s="950" t="s">
        <v>807</v>
      </c>
      <c r="C214" s="1024" t="s">
        <v>417</v>
      </c>
      <c r="D214" s="960" t="s">
        <v>1069</v>
      </c>
      <c r="E214" s="951">
        <v>80000</v>
      </c>
      <c r="F214" s="974">
        <v>0</v>
      </c>
      <c r="G214" s="951">
        <v>80000</v>
      </c>
      <c r="H214" s="951">
        <v>2296</v>
      </c>
      <c r="I214" s="1032">
        <v>6564.09</v>
      </c>
      <c r="J214" s="951">
        <v>2432</v>
      </c>
      <c r="K214" s="951">
        <v>4158.92</v>
      </c>
      <c r="L214" s="1032">
        <f>+H214+I214+J214+K214</f>
        <v>15451.01</v>
      </c>
      <c r="M214" s="1031">
        <f>+G214-L214</f>
        <v>64548.99</v>
      </c>
    </row>
    <row r="215" spans="1:13" ht="18.75" x14ac:dyDescent="0.3">
      <c r="A215" s="1027" t="s">
        <v>1713</v>
      </c>
      <c r="B215" s="950" t="s">
        <v>807</v>
      </c>
      <c r="C215" s="1024" t="s">
        <v>276</v>
      </c>
      <c r="D215" s="960" t="s">
        <v>307</v>
      </c>
      <c r="E215" s="951">
        <v>37500</v>
      </c>
      <c r="F215" s="974">
        <v>0</v>
      </c>
      <c r="G215" s="1032">
        <v>37500</v>
      </c>
      <c r="H215" s="951">
        <v>1076.25</v>
      </c>
      <c r="I215" s="1036">
        <v>89.81</v>
      </c>
      <c r="J215" s="951">
        <v>1140</v>
      </c>
      <c r="K215" s="951">
        <v>25</v>
      </c>
      <c r="L215" s="1032">
        <f>+H215+I215+J215+K215</f>
        <v>2331.06</v>
      </c>
      <c r="M215" s="1032">
        <f>+G215-L215</f>
        <v>35168.94</v>
      </c>
    </row>
    <row r="216" spans="1:13" ht="18.75" x14ac:dyDescent="0.3">
      <c r="A216" s="1027" t="s">
        <v>1329</v>
      </c>
      <c r="B216" s="950" t="s">
        <v>1330</v>
      </c>
      <c r="C216" s="1024" t="s">
        <v>1325</v>
      </c>
      <c r="D216" s="960" t="s">
        <v>307</v>
      </c>
      <c r="E216" s="951">
        <v>43500</v>
      </c>
      <c r="F216" s="974">
        <v>0</v>
      </c>
      <c r="G216" s="1032">
        <v>43500</v>
      </c>
      <c r="H216" s="951">
        <v>1248.45</v>
      </c>
      <c r="I216" s="1036">
        <v>936.62</v>
      </c>
      <c r="J216" s="951">
        <v>1322.4</v>
      </c>
      <c r="K216" s="951">
        <v>25</v>
      </c>
      <c r="L216" s="1032">
        <f>+H216+I216+J216+K216</f>
        <v>3532.4700000000003</v>
      </c>
      <c r="M216" s="1032">
        <f>+G216-L216</f>
        <v>39967.53</v>
      </c>
    </row>
    <row r="217" spans="1:13" ht="18" customHeight="1" x14ac:dyDescent="0.3">
      <c r="A217" s="1027" t="s">
        <v>1716</v>
      </c>
      <c r="B217" s="950" t="s">
        <v>806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1">
        <v>25</v>
      </c>
      <c r="L217" s="1032">
        <v>3532.4700000000003</v>
      </c>
      <c r="M217" s="1032">
        <v>39967.53</v>
      </c>
    </row>
    <row r="218" spans="1:13" ht="18.75" x14ac:dyDescent="0.3">
      <c r="A218" s="1027" t="s">
        <v>698</v>
      </c>
      <c r="B218" s="950" t="s">
        <v>807</v>
      </c>
      <c r="C218" s="1024" t="s">
        <v>105</v>
      </c>
      <c r="D218" s="960" t="s">
        <v>1067</v>
      </c>
      <c r="E218" s="951">
        <v>25000</v>
      </c>
      <c r="F218" s="974">
        <v>0</v>
      </c>
      <c r="G218" s="1032">
        <v>25000</v>
      </c>
      <c r="H218" s="951">
        <v>717.5</v>
      </c>
      <c r="I218" s="1036">
        <v>0</v>
      </c>
      <c r="J218" s="951">
        <v>760</v>
      </c>
      <c r="K218" s="951">
        <v>25</v>
      </c>
      <c r="L218" s="1032">
        <f>+H218+I218+J218+K218</f>
        <v>1502.5</v>
      </c>
      <c r="M218" s="1032">
        <f>+G218-L218</f>
        <v>23497.5</v>
      </c>
    </row>
    <row r="219" spans="1:13" ht="18.75" x14ac:dyDescent="0.3">
      <c r="A219" s="1027" t="s">
        <v>1725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2134</v>
      </c>
      <c r="L219" s="1032">
        <f>+H219+I219+J219+K219</f>
        <v>3907</v>
      </c>
      <c r="M219" s="1032">
        <f>+G219-L219</f>
        <v>26093</v>
      </c>
    </row>
    <row r="220" spans="1:13" ht="17.25" customHeight="1" x14ac:dyDescent="0.3">
      <c r="A220" s="1027" t="s">
        <v>1727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f>+H220+I220+J220+K220</f>
        <v>1798</v>
      </c>
      <c r="M220" s="1032">
        <f>+G220-L220</f>
        <v>28202</v>
      </c>
    </row>
    <row r="221" spans="1:13" ht="18.75" x14ac:dyDescent="0.3">
      <c r="A221" s="1027" t="s">
        <v>1730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>+G221-L221</f>
        <v>28202</v>
      </c>
    </row>
    <row r="222" spans="1:13" ht="18.75" x14ac:dyDescent="0.3">
      <c r="A222" s="961" t="s">
        <v>847</v>
      </c>
      <c r="B222" s="950"/>
      <c r="C222" s="962">
        <v>9</v>
      </c>
      <c r="D222" s="960"/>
      <c r="E222" s="963">
        <f>SUM(E213:E221)</f>
        <v>439500</v>
      </c>
      <c r="F222" s="964">
        <v>0</v>
      </c>
      <c r="G222" s="963">
        <f>SUM(G213:G221)</f>
        <v>439500</v>
      </c>
      <c r="H222" s="963">
        <f t="shared" ref="H222:M222" si="52">SUM(H213:H221)</f>
        <v>12613.65</v>
      </c>
      <c r="I222" s="963">
        <f t="shared" si="52"/>
        <v>25337.01</v>
      </c>
      <c r="J222" s="963">
        <f t="shared" si="52"/>
        <v>13360.8</v>
      </c>
      <c r="K222" s="963">
        <f>SUM(K213:K221)</f>
        <v>6467.92</v>
      </c>
      <c r="L222" s="963">
        <f t="shared" si="52"/>
        <v>57779.38</v>
      </c>
      <c r="M222" s="963">
        <f t="shared" si="52"/>
        <v>381720.62</v>
      </c>
    </row>
    <row r="223" spans="1:13" ht="18.75" x14ac:dyDescent="0.3">
      <c r="A223" s="961"/>
      <c r="B223" s="950"/>
      <c r="C223" s="962"/>
      <c r="D223" s="960"/>
      <c r="F223" s="974"/>
      <c r="G223" s="1032"/>
      <c r="H223" s="951"/>
      <c r="I223" s="1036"/>
      <c r="J223" s="951"/>
      <c r="K223" s="951"/>
      <c r="L223" s="1032"/>
      <c r="M223" s="1032"/>
    </row>
    <row r="224" spans="1:13" ht="18.75" x14ac:dyDescent="0.3">
      <c r="A224" s="961" t="s">
        <v>1775</v>
      </c>
      <c r="B224" s="950"/>
      <c r="C224" s="1026"/>
      <c r="D224" s="960"/>
      <c r="E224" s="951"/>
      <c r="F224" s="974"/>
      <c r="G224" s="1032"/>
      <c r="H224" s="951"/>
      <c r="I224" s="1036"/>
      <c r="J224" s="951"/>
      <c r="K224" s="951"/>
      <c r="L224" s="1032"/>
      <c r="M224" s="1032"/>
    </row>
    <row r="225" spans="1:13" ht="18.75" x14ac:dyDescent="0.3">
      <c r="A225" s="1027" t="s">
        <v>1712</v>
      </c>
      <c r="B225" s="950" t="s">
        <v>807</v>
      </c>
      <c r="C225" s="1024" t="s">
        <v>276</v>
      </c>
      <c r="D225" s="960" t="s">
        <v>307</v>
      </c>
      <c r="E225" s="951">
        <v>37500</v>
      </c>
      <c r="F225" s="974">
        <v>0</v>
      </c>
      <c r="G225" s="1032">
        <v>37500</v>
      </c>
      <c r="H225" s="951">
        <v>1076.25</v>
      </c>
      <c r="I225" s="1036">
        <v>89.81</v>
      </c>
      <c r="J225" s="951">
        <v>1140</v>
      </c>
      <c r="K225" s="951">
        <v>25</v>
      </c>
      <c r="L225" s="1032">
        <f>+H225+I225+J225+K225</f>
        <v>2331.06</v>
      </c>
      <c r="M225" s="1032">
        <f>+G225-L225</f>
        <v>35168.94</v>
      </c>
    </row>
    <row r="226" spans="1:13" ht="18.75" x14ac:dyDescent="0.3">
      <c r="A226" s="1027" t="s">
        <v>1715</v>
      </c>
      <c r="B226" s="950" t="s">
        <v>806</v>
      </c>
      <c r="C226" s="1024" t="s">
        <v>1325</v>
      </c>
      <c r="D226" s="960" t="s">
        <v>307</v>
      </c>
      <c r="E226" s="951">
        <v>43500</v>
      </c>
      <c r="F226" s="974">
        <v>0</v>
      </c>
      <c r="G226" s="1032">
        <v>43500</v>
      </c>
      <c r="H226" s="951">
        <v>1248.45</v>
      </c>
      <c r="I226" s="1036">
        <v>936.62</v>
      </c>
      <c r="J226" s="951">
        <v>1322.4</v>
      </c>
      <c r="K226" s="951">
        <v>25</v>
      </c>
      <c r="L226" s="1032">
        <f>+H226+I226+J226+K226</f>
        <v>3532.4700000000003</v>
      </c>
      <c r="M226" s="1032">
        <f>+G226-L226</f>
        <v>39967.53</v>
      </c>
    </row>
    <row r="227" spans="1:13" ht="18.75" x14ac:dyDescent="0.3">
      <c r="A227" s="1027" t="s">
        <v>1336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1">
        <v>25</v>
      </c>
      <c r="L227" s="1032">
        <v>3532.4700000000003</v>
      </c>
      <c r="M227" s="1032">
        <v>39967.53</v>
      </c>
    </row>
    <row r="228" spans="1:13" ht="18.75" x14ac:dyDescent="0.3">
      <c r="A228" s="1027" t="s">
        <v>1719</v>
      </c>
      <c r="B228" s="999" t="s">
        <v>807</v>
      </c>
      <c r="C228" s="1024" t="s">
        <v>105</v>
      </c>
      <c r="D228" s="960" t="s">
        <v>1067</v>
      </c>
      <c r="E228" s="951">
        <v>25000</v>
      </c>
      <c r="F228" s="974">
        <v>0</v>
      </c>
      <c r="G228" s="1032">
        <v>25000</v>
      </c>
      <c r="H228" s="951">
        <v>717.5</v>
      </c>
      <c r="I228" s="1036">
        <v>0</v>
      </c>
      <c r="J228" s="951">
        <v>760</v>
      </c>
      <c r="K228" s="951">
        <v>25</v>
      </c>
      <c r="L228" s="1032">
        <f>+H228+I228+J228+K228</f>
        <v>1502.5</v>
      </c>
      <c r="M228" s="1032">
        <f>+G228-L228</f>
        <v>23497.5</v>
      </c>
    </row>
    <row r="229" spans="1:13" ht="18.75" x14ac:dyDescent="0.3">
      <c r="A229" s="1027" t="s">
        <v>1726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036">
        <v>0</v>
      </c>
      <c r="J229" s="951">
        <v>912</v>
      </c>
      <c r="K229" s="951">
        <v>25</v>
      </c>
      <c r="L229" s="1032">
        <f>+H229+I229+J229+K229</f>
        <v>1798</v>
      </c>
      <c r="M229" s="1032">
        <f>+G229-L229</f>
        <v>28202</v>
      </c>
    </row>
    <row r="230" spans="1:13" ht="18.75" x14ac:dyDescent="0.3">
      <c r="A230" s="1027" t="s">
        <v>1728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1">
        <v>25</v>
      </c>
      <c r="L230" s="1032">
        <v>1798</v>
      </c>
      <c r="M230" s="1032">
        <f>+G230-L230</f>
        <v>28202</v>
      </c>
    </row>
    <row r="231" spans="1:13" ht="18.75" x14ac:dyDescent="0.3">
      <c r="A231" s="1027" t="s">
        <v>1731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1">
        <v>25</v>
      </c>
      <c r="L231" s="1032">
        <v>1798</v>
      </c>
      <c r="M231" s="1032">
        <f>+G231-L231</f>
        <v>28202</v>
      </c>
    </row>
    <row r="232" spans="1:13" ht="18.75" x14ac:dyDescent="0.3">
      <c r="A232" s="961" t="s">
        <v>847</v>
      </c>
      <c r="B232" s="950"/>
      <c r="C232" s="962">
        <v>7</v>
      </c>
      <c r="D232" s="960"/>
      <c r="E232" s="963">
        <f>SUM(E225:E231)</f>
        <v>239500</v>
      </c>
      <c r="F232" s="964">
        <v>0</v>
      </c>
      <c r="G232" s="963">
        <f t="shared" ref="G232:M232" si="53">SUM(G225:G231)</f>
        <v>239500</v>
      </c>
      <c r="H232" s="963">
        <f t="shared" si="53"/>
        <v>6873.65</v>
      </c>
      <c r="I232" s="963">
        <f t="shared" si="53"/>
        <v>1963.0500000000002</v>
      </c>
      <c r="J232" s="963">
        <f t="shared" si="53"/>
        <v>7280.8</v>
      </c>
      <c r="K232" s="963">
        <f>SUM(K225:K231)</f>
        <v>175</v>
      </c>
      <c r="L232" s="963">
        <f t="shared" si="53"/>
        <v>16292.5</v>
      </c>
      <c r="M232" s="963">
        <f t="shared" si="53"/>
        <v>223207.5</v>
      </c>
    </row>
    <row r="233" spans="1:13" ht="18.75" x14ac:dyDescent="0.3">
      <c r="A233" s="961"/>
      <c r="B233" s="950"/>
      <c r="C233" s="962"/>
      <c r="D233" s="960"/>
      <c r="E233" s="951"/>
      <c r="F233" s="974"/>
      <c r="G233" s="1032"/>
      <c r="H233" s="951"/>
      <c r="I233" s="1036"/>
      <c r="J233" s="951"/>
      <c r="K233" s="951"/>
      <c r="L233" s="1032"/>
      <c r="M233" s="1032"/>
    </row>
    <row r="234" spans="1:13" ht="18.75" x14ac:dyDescent="0.3">
      <c r="A234" s="961" t="s">
        <v>1776</v>
      </c>
      <c r="B234" s="950"/>
      <c r="C234" s="1026"/>
      <c r="D234" s="960"/>
      <c r="E234" s="951"/>
      <c r="F234" s="974"/>
      <c r="G234" s="1032"/>
      <c r="H234" s="951"/>
      <c r="I234" s="1036"/>
      <c r="J234" s="951"/>
      <c r="K234" s="951"/>
      <c r="L234" s="1032"/>
      <c r="M234" s="1032"/>
    </row>
    <row r="235" spans="1:13" ht="18.75" x14ac:dyDescent="0.3">
      <c r="A235" s="1027" t="s">
        <v>1711</v>
      </c>
      <c r="B235" s="950" t="s">
        <v>807</v>
      </c>
      <c r="C235" s="1024" t="s">
        <v>521</v>
      </c>
      <c r="D235" s="960" t="s">
        <v>307</v>
      </c>
      <c r="E235" s="951">
        <v>37500</v>
      </c>
      <c r="F235" s="974">
        <v>0</v>
      </c>
      <c r="G235" s="1032">
        <v>37500</v>
      </c>
      <c r="H235" s="951">
        <v>1076.25</v>
      </c>
      <c r="I235" s="1036">
        <v>89.81</v>
      </c>
      <c r="J235" s="951">
        <v>1140</v>
      </c>
      <c r="K235" s="951">
        <v>25</v>
      </c>
      <c r="L235" s="1032">
        <f>+H235+I235+J235+K235</f>
        <v>2331.06</v>
      </c>
      <c r="M235" s="1032">
        <f t="shared" ref="M235:M240" si="54">+G235-L235</f>
        <v>35168.94</v>
      </c>
    </row>
    <row r="236" spans="1:13" ht="18.75" x14ac:dyDescent="0.3">
      <c r="A236" s="1027" t="s">
        <v>1714</v>
      </c>
      <c r="B236" s="950" t="s">
        <v>807</v>
      </c>
      <c r="C236" s="1024" t="s">
        <v>276</v>
      </c>
      <c r="D236" s="960" t="s">
        <v>307</v>
      </c>
      <c r="E236" s="951">
        <v>43500</v>
      </c>
      <c r="F236" s="974">
        <v>0</v>
      </c>
      <c r="G236" s="1032">
        <v>43500</v>
      </c>
      <c r="H236" s="951">
        <v>1248.45</v>
      </c>
      <c r="I236" s="1036">
        <v>936.62</v>
      </c>
      <c r="J236" s="951">
        <v>1322.4</v>
      </c>
      <c r="K236" s="951">
        <v>25</v>
      </c>
      <c r="L236" s="1032">
        <f>+H236+I236+J236+K236</f>
        <v>3532.4700000000003</v>
      </c>
      <c r="M236" s="1032">
        <f t="shared" si="54"/>
        <v>39967.53</v>
      </c>
    </row>
    <row r="237" spans="1:13" ht="18.75" x14ac:dyDescent="0.3">
      <c r="A237" s="1027" t="s">
        <v>1440</v>
      </c>
      <c r="B237" s="950" t="s">
        <v>807</v>
      </c>
      <c r="C237" s="1024" t="s">
        <v>276</v>
      </c>
      <c r="D237" s="960" t="s">
        <v>307</v>
      </c>
      <c r="E237" s="951">
        <v>37500</v>
      </c>
      <c r="F237" s="974">
        <v>0</v>
      </c>
      <c r="G237" s="1032">
        <v>37500</v>
      </c>
      <c r="H237" s="951">
        <v>1076.25</v>
      </c>
      <c r="I237" s="1036">
        <v>89.81</v>
      </c>
      <c r="J237" s="951">
        <v>1140</v>
      </c>
      <c r="K237" s="951">
        <v>25</v>
      </c>
      <c r="L237" s="1032">
        <v>2331.06</v>
      </c>
      <c r="M237" s="1032">
        <f t="shared" si="54"/>
        <v>35168.94</v>
      </c>
    </row>
    <row r="238" spans="1:13" ht="18.75" x14ac:dyDescent="0.3">
      <c r="A238" s="1027" t="s">
        <v>1720</v>
      </c>
      <c r="B238" s="999" t="s">
        <v>807</v>
      </c>
      <c r="C238" s="1024" t="s">
        <v>105</v>
      </c>
      <c r="D238" s="960" t="s">
        <v>1067</v>
      </c>
      <c r="E238" s="951">
        <v>25000</v>
      </c>
      <c r="F238" s="974">
        <v>0</v>
      </c>
      <c r="G238" s="1032">
        <v>25000</v>
      </c>
      <c r="H238" s="951">
        <v>717.5</v>
      </c>
      <c r="I238" s="1036">
        <v>0</v>
      </c>
      <c r="J238" s="951">
        <v>760</v>
      </c>
      <c r="K238" s="951">
        <v>25</v>
      </c>
      <c r="L238" s="1032">
        <f>+H238+I238+J238+K238</f>
        <v>1502.5</v>
      </c>
      <c r="M238" s="1032">
        <f t="shared" si="54"/>
        <v>23497.5</v>
      </c>
    </row>
    <row r="239" spans="1:13" ht="18.75" x14ac:dyDescent="0.3">
      <c r="A239" s="1024" t="s">
        <v>1056</v>
      </c>
      <c r="B239" s="950" t="s">
        <v>806</v>
      </c>
      <c r="C239" s="1026" t="s">
        <v>92</v>
      </c>
      <c r="D239" s="960" t="s">
        <v>1067</v>
      </c>
      <c r="E239" s="978">
        <v>30000</v>
      </c>
      <c r="F239" s="979">
        <v>0</v>
      </c>
      <c r="G239" s="1032">
        <v>30000</v>
      </c>
      <c r="H239" s="951">
        <v>861</v>
      </c>
      <c r="I239" s="1036">
        <v>0</v>
      </c>
      <c r="J239" s="951">
        <v>912</v>
      </c>
      <c r="K239" s="951">
        <v>25</v>
      </c>
      <c r="L239" s="1032">
        <f>+H239+I239+J239+K239</f>
        <v>1798</v>
      </c>
      <c r="M239" s="1032">
        <f t="shared" si="54"/>
        <v>28202</v>
      </c>
    </row>
    <row r="240" spans="1:13" ht="18.75" x14ac:dyDescent="0.3">
      <c r="A240" s="1027" t="s">
        <v>1724</v>
      </c>
      <c r="B240" s="950" t="s">
        <v>1296</v>
      </c>
      <c r="C240" s="1026" t="s">
        <v>92</v>
      </c>
      <c r="D240" s="960" t="s">
        <v>1067</v>
      </c>
      <c r="E240" s="951">
        <v>30000</v>
      </c>
      <c r="F240" s="974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1">
        <v>25</v>
      </c>
      <c r="L240" s="1032">
        <f>+H240+I240+J240+K240</f>
        <v>1798</v>
      </c>
      <c r="M240" s="1032">
        <f t="shared" si="54"/>
        <v>28202</v>
      </c>
    </row>
    <row r="241" spans="1:13" ht="18.75" x14ac:dyDescent="0.3">
      <c r="A241" s="961" t="s">
        <v>847</v>
      </c>
      <c r="B241" s="950"/>
      <c r="C241" s="962">
        <v>6</v>
      </c>
      <c r="D241" s="960"/>
      <c r="E241" s="963">
        <f>SUM(E235:E240)</f>
        <v>203500</v>
      </c>
      <c r="F241" s="1071">
        <v>0</v>
      </c>
      <c r="G241" s="963">
        <f t="shared" ref="G241:M241" si="55">SUM(G235:G240)</f>
        <v>203500</v>
      </c>
      <c r="H241" s="963">
        <f t="shared" si="55"/>
        <v>5840.45</v>
      </c>
      <c r="I241" s="963">
        <f t="shared" si="55"/>
        <v>1116.24</v>
      </c>
      <c r="J241" s="963">
        <f t="shared" si="55"/>
        <v>6186.4</v>
      </c>
      <c r="K241" s="963">
        <f>SUM(K235:K240)</f>
        <v>150</v>
      </c>
      <c r="L241" s="963">
        <f t="shared" si="55"/>
        <v>13293.09</v>
      </c>
      <c r="M241" s="963">
        <f t="shared" si="55"/>
        <v>190206.91</v>
      </c>
    </row>
    <row r="242" spans="1:13" ht="18.75" x14ac:dyDescent="0.3">
      <c r="A242" s="961"/>
      <c r="B242" s="950"/>
      <c r="C242" s="962"/>
      <c r="D242" s="960"/>
      <c r="E242" s="963">
        <f>+E210+E222+E232+E241</f>
        <v>1628000</v>
      </c>
      <c r="F242" s="964">
        <v>0</v>
      </c>
      <c r="G242" s="963">
        <f t="shared" ref="G242:M242" si="56">+G210+G222+G232+G241</f>
        <v>1628000</v>
      </c>
      <c r="H242" s="963">
        <f>+H210+H222+H232+H241</f>
        <v>46723.6</v>
      </c>
      <c r="I242" s="963">
        <f>+I210+I222+I232+I241</f>
        <v>75105.12000000001</v>
      </c>
      <c r="J242" s="963">
        <f t="shared" si="56"/>
        <v>49491.200000000004</v>
      </c>
      <c r="K242" s="963">
        <f>+K210+K222+K232+K241</f>
        <v>16076.960000000001</v>
      </c>
      <c r="L242" s="963">
        <f t="shared" si="56"/>
        <v>187396.88</v>
      </c>
      <c r="M242" s="963">
        <f t="shared" si="56"/>
        <v>1440603.12</v>
      </c>
    </row>
    <row r="243" spans="1:13" ht="18.75" x14ac:dyDescent="0.3">
      <c r="A243" s="961"/>
      <c r="B243" s="958"/>
      <c r="C243" s="962"/>
      <c r="D243" s="962"/>
      <c r="E243" s="963"/>
      <c r="F243" s="964"/>
      <c r="G243" s="965"/>
      <c r="H243" s="963"/>
      <c r="I243" s="963"/>
      <c r="J243" s="963"/>
      <c r="K243" s="963"/>
      <c r="L243" s="963"/>
      <c r="M243" s="965"/>
    </row>
    <row r="244" spans="1:13" ht="27.75" customHeight="1" x14ac:dyDescent="0.3">
      <c r="A244" s="1058" t="s">
        <v>865</v>
      </c>
      <c r="B244" s="1059"/>
      <c r="C244" s="1058">
        <f>+C222+C192+C184+C172+C167+C163+C157+C153+C148+C141+C134+C126+C118+C114+C103++C94+C81+C63+C57+C48+C43+C39+C25+C98+C108+C32+C130+C241+C232+C210+C176</f>
        <v>130</v>
      </c>
      <c r="D244" s="1058"/>
      <c r="E244" s="1076">
        <f>+E25+E32+E39+E43+E48+E57+E63+E81+E94+E98+E103+E108+E114+E118+E126+E130+E134+E141+E148+E153+E157+E163+E167+E172+E176+E184+E192+E210+E222+E232+E241</f>
        <v>6964000</v>
      </c>
      <c r="F244" s="1072">
        <v>0</v>
      </c>
      <c r="G244" s="1076">
        <f t="shared" ref="G244:M244" si="57">+G25+G32+G39+G43+G48+G57+G63+G81+G94+G98+G103+G108+G114+G118+G126+G130+G134+G141+G148+G153+G157+G163+G167+G172+G176+G184+G192+G210+G222+G232+G241</f>
        <v>6964000</v>
      </c>
      <c r="H244" s="1076">
        <f t="shared" si="57"/>
        <v>199866.8</v>
      </c>
      <c r="I244" s="1076">
        <f>+I25+I32+I39+I43+I48+I57+I63+I81+I94+I98+I103+I108+I114+I118+I126+I130+I134+I141+I148+I153+I157+I163+I167+I172+I176+I184+I192+I210+I222+I232+I241</f>
        <v>466841.41999999987</v>
      </c>
      <c r="J244" s="1076">
        <f t="shared" si="57"/>
        <v>210390.73999999993</v>
      </c>
      <c r="K244" s="1076">
        <f>+K241+K232+K222+K210++K192+K184++K176+K172+K167+K163+K157+K153+K148+K141+K134+K130+K126+K118+K114+K108+K103+K98+K94+K81+K63+K57+K48+K43+K39+K32+K25</f>
        <v>133168.59</v>
      </c>
      <c r="L244" s="1076">
        <f t="shared" si="57"/>
        <v>1010267.5499999999</v>
      </c>
      <c r="M244" s="1076">
        <f t="shared" si="57"/>
        <v>5953732.4499999993</v>
      </c>
    </row>
    <row r="245" spans="1:13" ht="15.75" x14ac:dyDescent="0.25">
      <c r="A245" s="853"/>
      <c r="B245" s="871"/>
      <c r="C245" s="853"/>
      <c r="D245" s="853"/>
      <c r="E245" s="213"/>
      <c r="F245" s="853"/>
      <c r="G245" s="271"/>
      <c r="H245" s="1324"/>
      <c r="I245" s="1324"/>
      <c r="J245" s="213"/>
      <c r="K245" s="1324"/>
      <c r="L245" s="213"/>
      <c r="M245" s="271"/>
    </row>
    <row r="246" spans="1:13" ht="14.25" customHeight="1" x14ac:dyDescent="0.25">
      <c r="A246" s="853"/>
      <c r="B246" s="871"/>
      <c r="C246" s="853"/>
      <c r="D246" s="853"/>
      <c r="E246" s="213"/>
      <c r="F246" s="853"/>
      <c r="G246" s="1022"/>
      <c r="H246" s="1093"/>
      <c r="I246" s="1093"/>
      <c r="J246" s="1022"/>
      <c r="K246" s="1093"/>
      <c r="L246" s="1022"/>
      <c r="M246" s="1022"/>
    </row>
    <row r="247" spans="1:13" ht="15.75" x14ac:dyDescent="0.25">
      <c r="A247" s="853"/>
      <c r="B247" s="871"/>
      <c r="C247" s="853"/>
      <c r="D247" s="853"/>
      <c r="E247" s="1093"/>
      <c r="F247" s="853"/>
      <c r="G247" s="853"/>
      <c r="H247" s="869"/>
      <c r="I247" s="1092"/>
      <c r="J247" s="1093"/>
      <c r="K247" s="1093"/>
      <c r="L247" s="1093"/>
      <c r="M247" s="1022"/>
    </row>
    <row r="248" spans="1:13" ht="15.75" x14ac:dyDescent="0.25">
      <c r="A248" s="853"/>
      <c r="B248" s="871"/>
      <c r="C248" s="1022"/>
      <c r="D248" s="1244"/>
      <c r="E248" s="869"/>
      <c r="F248" s="853"/>
      <c r="G248" s="853"/>
      <c r="H248" s="869"/>
      <c r="I248" s="1092"/>
      <c r="J248" s="1093"/>
      <c r="K248" s="1093"/>
      <c r="L248" s="1093"/>
      <c r="M248" s="1022"/>
    </row>
    <row r="249" spans="1:13" ht="68.25" customHeight="1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93"/>
      <c r="L249" s="1093"/>
      <c r="M249" s="1022"/>
    </row>
    <row r="250" spans="1:13" ht="15.75" x14ac:dyDescent="0.25">
      <c r="A250" s="853"/>
      <c r="B250" s="871"/>
      <c r="C250" s="1022"/>
      <c r="E250" s="869"/>
      <c r="F250" s="853"/>
      <c r="G250" s="853"/>
      <c r="H250" s="869"/>
      <c r="I250" s="1093"/>
      <c r="J250" s="1093"/>
      <c r="K250" s="1093"/>
      <c r="L250" s="1093"/>
      <c r="M250" s="1022"/>
    </row>
    <row r="251" spans="1:13" ht="15.75" x14ac:dyDescent="0.25">
      <c r="A251" s="853"/>
      <c r="B251" s="871"/>
      <c r="C251" s="853"/>
      <c r="D251" s="853"/>
      <c r="E251" s="852"/>
      <c r="F251" s="853"/>
      <c r="G251" s="853"/>
      <c r="H251" s="869"/>
      <c r="I251" s="869"/>
      <c r="J251" s="869"/>
      <c r="K251" s="869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69"/>
      <c r="L252" s="869"/>
      <c r="M252" s="853"/>
    </row>
    <row r="253" spans="1:13" ht="32.25" customHeight="1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69"/>
      <c r="L253" s="869"/>
      <c r="M253" s="853"/>
    </row>
    <row r="254" spans="1:13" ht="17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69"/>
      <c r="L259" s="869"/>
      <c r="M259" s="853"/>
    </row>
    <row r="260" spans="1:14" ht="15.75" x14ac:dyDescent="0.25">
      <c r="A260" s="873"/>
      <c r="B260" s="874"/>
      <c r="C260" s="873"/>
      <c r="D260" s="873"/>
      <c r="E260" s="875"/>
      <c r="F260" s="873"/>
      <c r="G260" s="873"/>
      <c r="H260" s="1094"/>
      <c r="I260" s="1094"/>
      <c r="J260" s="1094"/>
      <c r="K260" s="1094"/>
      <c r="L260" s="1094"/>
      <c r="M260" s="873"/>
    </row>
    <row r="261" spans="1:14" ht="15.75" x14ac:dyDescent="0.25">
      <c r="A261" s="873"/>
      <c r="B261" s="871"/>
      <c r="C261" s="873"/>
      <c r="D261" s="873"/>
      <c r="E261" s="875"/>
      <c r="F261" s="873"/>
      <c r="G261" s="873"/>
      <c r="H261" s="1094"/>
      <c r="I261" s="1094"/>
      <c r="J261" s="1094"/>
      <c r="K261" s="1094"/>
      <c r="L261" s="1094"/>
      <c r="M261" s="873"/>
    </row>
    <row r="262" spans="1:14" ht="15.75" x14ac:dyDescent="0.25">
      <c r="A262" s="871"/>
      <c r="B262" s="871"/>
      <c r="C262" s="871"/>
      <c r="D262" s="871"/>
      <c r="E262" s="876"/>
      <c r="F262" s="877"/>
      <c r="G262" s="878"/>
      <c r="H262" s="1380"/>
      <c r="I262" s="1095"/>
      <c r="J262" s="1095"/>
      <c r="K262" s="1095"/>
      <c r="L262" s="1095"/>
      <c r="M262" s="880"/>
    </row>
    <row r="263" spans="1:14" ht="15.75" x14ac:dyDescent="0.25">
      <c r="A263" s="1703" t="s">
        <v>1271</v>
      </c>
      <c r="B263" s="1703"/>
      <c r="C263" s="874"/>
      <c r="D263" s="874"/>
      <c r="E263" s="875"/>
      <c r="F263" s="873"/>
      <c r="G263" s="873"/>
      <c r="H263" s="1683" t="s">
        <v>852</v>
      </c>
      <c r="I263" s="1683"/>
      <c r="J263" s="1683"/>
      <c r="K263" s="1683"/>
      <c r="L263" s="1683"/>
      <c r="M263" s="1683"/>
    </row>
    <row r="264" spans="1:14" ht="15.75" x14ac:dyDescent="0.25">
      <c r="A264" s="930" t="s">
        <v>1376</v>
      </c>
      <c r="B264" s="871"/>
      <c r="C264" s="871"/>
      <c r="D264" s="871"/>
      <c r="E264" s="875"/>
      <c r="F264" s="873"/>
      <c r="H264" s="520"/>
      <c r="I264" s="1684" t="s">
        <v>1504</v>
      </c>
      <c r="J264" s="1684"/>
      <c r="K264" s="1684"/>
      <c r="L264" s="1684"/>
      <c r="M264" s="622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519"/>
      <c r="I265" s="519"/>
      <c r="J265" s="519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519"/>
      <c r="I266" s="519"/>
      <c r="J266" s="519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519"/>
      <c r="L267" s="519"/>
      <c r="M267" s="928"/>
      <c r="N267" s="537"/>
    </row>
    <row r="268" spans="1:14" ht="289.5" customHeight="1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519"/>
      <c r="L268" s="519"/>
      <c r="M268" s="928"/>
      <c r="N268" s="537"/>
    </row>
    <row r="269" spans="1:14" ht="6.7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519"/>
      <c r="L277" s="519"/>
      <c r="M277" s="928"/>
      <c r="N277" s="537"/>
    </row>
    <row r="278" spans="1:14" ht="15.75" x14ac:dyDescent="0.25">
      <c r="A278" s="874"/>
      <c r="B278" s="851"/>
      <c r="C278" s="874"/>
      <c r="D278" s="874"/>
      <c r="E278" s="883"/>
      <c r="F278" s="874"/>
      <c r="G278" s="884"/>
      <c r="H278" s="1381"/>
      <c r="I278" s="1094"/>
      <c r="J278" s="1096"/>
      <c r="K278" s="1096"/>
      <c r="L278" s="1096"/>
      <c r="M278" s="885"/>
    </row>
  </sheetData>
  <mergeCells count="20">
    <mergeCell ref="M17:M18"/>
    <mergeCell ref="A263:B263"/>
    <mergeCell ref="H263:M263"/>
    <mergeCell ref="I264:L264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  <mergeCell ref="A11:M11"/>
    <mergeCell ref="A12:N12"/>
    <mergeCell ref="A13:M13"/>
    <mergeCell ref="A14:M14"/>
    <mergeCell ref="A15:M15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8" max="12" man="1"/>
    <brk id="233" max="12" man="1"/>
  </rowBreaks>
  <drawing r:id="rId2"/>
</worksheet>
</file>

<file path=xl/worksheets/sheet3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C0442-F5EF-4A88-B8A8-9F5CC9235FF9}">
  <dimension ref="A1:Q197"/>
  <sheetViews>
    <sheetView topLeftCell="C1" zoomScaleNormal="100" zoomScaleSheetLayoutView="89" workbookViewId="0">
      <pane ySplit="12" topLeftCell="A47" activePane="bottomLeft" state="frozen"/>
      <selection pane="bottomLeft" activeCell="P55" sqref="P55"/>
    </sheetView>
  </sheetViews>
  <sheetFormatPr baseColWidth="10" defaultRowHeight="15" x14ac:dyDescent="0.25"/>
  <cols>
    <col min="1" max="1" width="4.140625" style="259" hidden="1" customWidth="1"/>
    <col min="2" max="2" width="57" customWidth="1"/>
    <col min="3" max="3" width="9.7109375" style="1229" customWidth="1"/>
    <col min="4" max="4" width="41.8554687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556" t="s">
        <v>1502</v>
      </c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  <c r="P5" s="1556"/>
    </row>
    <row r="6" spans="1:16" x14ac:dyDescent="0.25">
      <c r="B6" s="1556" t="s">
        <v>1</v>
      </c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  <c r="P6" s="1556"/>
    </row>
    <row r="7" spans="1:16" x14ac:dyDescent="0.25">
      <c r="B7" s="1556" t="s">
        <v>3</v>
      </c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  <c r="P7" s="1556"/>
    </row>
    <row r="8" spans="1:16" x14ac:dyDescent="0.25">
      <c r="B8" s="1556" t="s">
        <v>1814</v>
      </c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  <c r="P8" s="1556"/>
    </row>
    <row r="9" spans="1:16" x14ac:dyDescent="0.25">
      <c r="B9" s="1634" t="s">
        <v>441</v>
      </c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  <c r="P9" s="1634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709" t="s">
        <v>7</v>
      </c>
      <c r="C11" s="1709" t="s">
        <v>937</v>
      </c>
      <c r="D11" s="1712" t="s">
        <v>10</v>
      </c>
      <c r="E11" s="1709" t="s">
        <v>832</v>
      </c>
      <c r="F11" s="1709" t="s">
        <v>834</v>
      </c>
      <c r="G11" s="1709" t="s">
        <v>209</v>
      </c>
      <c r="H11" s="1051" t="s">
        <v>12</v>
      </c>
      <c r="I11" s="1711" t="s">
        <v>13</v>
      </c>
      <c r="J11" s="1710" t="s">
        <v>14</v>
      </c>
      <c r="K11" s="1710" t="s">
        <v>15</v>
      </c>
      <c r="L11" s="1710" t="s">
        <v>16</v>
      </c>
      <c r="M11" s="1722" t="s">
        <v>17</v>
      </c>
      <c r="N11" s="1722" t="s">
        <v>18</v>
      </c>
      <c r="O11" s="1722" t="s">
        <v>19</v>
      </c>
      <c r="P11" s="1710" t="s">
        <v>20</v>
      </c>
    </row>
    <row r="12" spans="1:16" x14ac:dyDescent="0.25">
      <c r="A12" s="1378"/>
      <c r="B12" s="1709"/>
      <c r="C12" s="1709"/>
      <c r="D12" s="1712"/>
      <c r="E12" s="1709"/>
      <c r="F12" s="1709"/>
      <c r="G12" s="1709"/>
      <c r="H12" s="1051" t="s">
        <v>21</v>
      </c>
      <c r="I12" s="1711"/>
      <c r="J12" s="1710"/>
      <c r="K12" s="1710"/>
      <c r="L12" s="1710"/>
      <c r="M12" s="1722"/>
      <c r="N12" s="1722"/>
      <c r="O12" s="1722"/>
      <c r="P12" s="1710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636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636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1134" t="s">
        <v>807</v>
      </c>
      <c r="D23" s="749" t="s">
        <v>925</v>
      </c>
      <c r="E23" s="281" t="s">
        <v>1281</v>
      </c>
      <c r="F23" s="855">
        <v>45901</v>
      </c>
      <c r="G23" s="855">
        <v>45689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636"/>
      <c r="D24" s="707">
        <v>1</v>
      </c>
      <c r="E24" s="465"/>
      <c r="F24" s="465"/>
      <c r="G24" s="855">
        <v>45689</v>
      </c>
      <c r="H24" s="1149">
        <v>80000</v>
      </c>
      <c r="I24" s="1169">
        <v>0</v>
      </c>
      <c r="J24" s="1149">
        <v>80000</v>
      </c>
      <c r="K24" s="1149">
        <v>2296</v>
      </c>
      <c r="L24" s="1149">
        <v>7400.87</v>
      </c>
      <c r="M24" s="1149">
        <v>2432</v>
      </c>
      <c r="N24" s="1149">
        <v>25</v>
      </c>
      <c r="O24" s="1149">
        <f>SUM(K24:N24)</f>
        <v>12153.869999999999</v>
      </c>
      <c r="P24" s="1149">
        <f>+J24-O24</f>
        <v>67846.13</v>
      </c>
    </row>
    <row r="25" spans="1:16" ht="21" customHeight="1" x14ac:dyDescent="0.25">
      <c r="B25" s="490" t="s">
        <v>837</v>
      </c>
      <c r="C25" s="1222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45748</v>
      </c>
      <c r="G27" s="855">
        <v>45901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8" spans="2:16" ht="21" customHeight="1" x14ac:dyDescent="0.25">
      <c r="B38" s="460" t="s">
        <v>1785</v>
      </c>
      <c r="C38" s="685" t="s">
        <v>807</v>
      </c>
      <c r="D38" s="1246" t="s">
        <v>1784</v>
      </c>
      <c r="E38" s="1247" t="s">
        <v>1063</v>
      </c>
      <c r="F38" s="855">
        <v>45839</v>
      </c>
      <c r="G38" s="855">
        <v>45992</v>
      </c>
      <c r="H38" s="626">
        <v>70000</v>
      </c>
      <c r="I38" s="1169">
        <v>0</v>
      </c>
      <c r="J38" s="626">
        <v>70000</v>
      </c>
      <c r="K38" s="626">
        <v>2009</v>
      </c>
      <c r="L38" s="626">
        <v>5025.38</v>
      </c>
      <c r="M38" s="1149">
        <v>2128</v>
      </c>
      <c r="N38" s="626">
        <v>1740.46</v>
      </c>
      <c r="O38" s="626">
        <f>SUM(K38:N38)</f>
        <v>10902.84</v>
      </c>
      <c r="P38" s="626">
        <f>+H38-O38</f>
        <v>59097.16</v>
      </c>
    </row>
    <row r="39" spans="2:16" ht="21" customHeight="1" x14ac:dyDescent="0.25">
      <c r="B39" s="466" t="s">
        <v>813</v>
      </c>
      <c r="C39" s="569"/>
      <c r="D39" s="492">
        <v>3</v>
      </c>
      <c r="E39" s="465"/>
      <c r="F39" s="500"/>
      <c r="G39" s="855"/>
      <c r="H39" s="695">
        <f>SUM(H36:H38)</f>
        <v>140000</v>
      </c>
      <c r="I39" s="1253">
        <v>0</v>
      </c>
      <c r="J39" s="695">
        <f t="shared" ref="J39:P39" si="3">SUM(J36:J38)</f>
        <v>140000</v>
      </c>
      <c r="K39" s="695">
        <f t="shared" si="3"/>
        <v>4018</v>
      </c>
      <c r="L39" s="695">
        <f t="shared" si="3"/>
        <v>10393.86</v>
      </c>
      <c r="M39" s="695">
        <f t="shared" si="3"/>
        <v>4256</v>
      </c>
      <c r="N39" s="695">
        <f t="shared" si="3"/>
        <v>1765.46</v>
      </c>
      <c r="O39" s="695">
        <f t="shared" si="3"/>
        <v>20433.32</v>
      </c>
      <c r="P39" s="695">
        <f t="shared" si="3"/>
        <v>119566.68000000001</v>
      </c>
    </row>
    <row r="40" spans="2:16" ht="21" customHeight="1" x14ac:dyDescent="0.25">
      <c r="B40" s="466"/>
      <c r="C40" s="569"/>
      <c r="D40" s="492"/>
      <c r="E40" s="465"/>
      <c r="F40" s="500"/>
      <c r="G40" s="855"/>
      <c r="H40" s="695"/>
      <c r="I40" s="695"/>
      <c r="J40" s="695"/>
      <c r="K40" s="695"/>
      <c r="L40" s="695"/>
      <c r="M40" s="695"/>
      <c r="N40" s="695"/>
      <c r="O40" s="695"/>
      <c r="P40" s="695"/>
    </row>
    <row r="41" spans="2:16" ht="21" customHeight="1" x14ac:dyDescent="0.25">
      <c r="B41" s="466" t="s">
        <v>1126</v>
      </c>
      <c r="C41" s="569"/>
      <c r="D41" s="492"/>
      <c r="E41" s="465"/>
      <c r="F41" s="695"/>
      <c r="G41" s="696"/>
      <c r="H41" s="695"/>
      <c r="I41" s="1145"/>
      <c r="J41" s="695"/>
      <c r="K41" s="695"/>
      <c r="L41" s="695"/>
      <c r="M41" s="1145"/>
      <c r="N41" s="695"/>
      <c r="O41" s="153"/>
      <c r="P41" s="153"/>
    </row>
    <row r="42" spans="2:16" s="259" customFormat="1" ht="21" customHeight="1" x14ac:dyDescent="0.25">
      <c r="B42" s="1251" t="s">
        <v>917</v>
      </c>
      <c r="C42" s="1252" t="s">
        <v>807</v>
      </c>
      <c r="D42" s="1246" t="s">
        <v>607</v>
      </c>
      <c r="E42" s="1247" t="s">
        <v>1063</v>
      </c>
      <c r="F42" s="855">
        <v>45931</v>
      </c>
      <c r="G42" s="855">
        <v>46082</v>
      </c>
      <c r="H42" s="1100">
        <v>80000</v>
      </c>
      <c r="I42" s="1249">
        <v>0</v>
      </c>
      <c r="J42" s="1100">
        <v>80000</v>
      </c>
      <c r="K42" s="1100">
        <v>2296</v>
      </c>
      <c r="L42" s="1103">
        <v>7400.87</v>
      </c>
      <c r="M42" s="1250">
        <v>2432</v>
      </c>
      <c r="N42" s="626">
        <v>8903.93</v>
      </c>
      <c r="O42" s="468">
        <f>SUM(K42:N42)</f>
        <v>21032.799999999999</v>
      </c>
      <c r="P42" s="675">
        <f>+J42-O42</f>
        <v>58967.199999999997</v>
      </c>
    </row>
    <row r="43" spans="2:16" s="259" customFormat="1" ht="21" customHeight="1" x14ac:dyDescent="0.25">
      <c r="B43" s="1251" t="s">
        <v>1674</v>
      </c>
      <c r="C43" s="1252" t="s">
        <v>807</v>
      </c>
      <c r="D43" s="1246" t="s">
        <v>607</v>
      </c>
      <c r="E43" s="1247" t="s">
        <v>1063</v>
      </c>
      <c r="F43" s="855">
        <v>45839</v>
      </c>
      <c r="G43" s="855">
        <v>45992</v>
      </c>
      <c r="H43" s="1100">
        <v>70000</v>
      </c>
      <c r="I43" s="1249">
        <v>0</v>
      </c>
      <c r="J43" s="1100">
        <v>70000</v>
      </c>
      <c r="K43" s="1100">
        <v>2009</v>
      </c>
      <c r="L43" s="1103">
        <v>5025.38</v>
      </c>
      <c r="M43" s="1250">
        <v>2128</v>
      </c>
      <c r="N43" s="626">
        <v>1740.46</v>
      </c>
      <c r="O43" s="468">
        <f>SUM(K43:N43)</f>
        <v>10902.84</v>
      </c>
      <c r="P43" s="675">
        <f>+H43-O43</f>
        <v>59097.16</v>
      </c>
    </row>
    <row r="44" spans="2:16" ht="21" customHeight="1" x14ac:dyDescent="0.25">
      <c r="B44" s="466" t="s">
        <v>813</v>
      </c>
      <c r="C44" s="569"/>
      <c r="D44" s="492">
        <v>2</v>
      </c>
      <c r="E44" s="465"/>
      <c r="F44" s="695"/>
      <c r="G44" s="696"/>
      <c r="H44" s="1099">
        <f>SUM(H42:H43)</f>
        <v>150000</v>
      </c>
      <c r="I44" s="1253">
        <v>0</v>
      </c>
      <c r="J44" s="1099">
        <f t="shared" ref="J44:P44" si="4">SUM(J42:J43)</f>
        <v>150000</v>
      </c>
      <c r="K44" s="1099">
        <f t="shared" si="4"/>
        <v>4305</v>
      </c>
      <c r="L44" s="1099">
        <f t="shared" si="4"/>
        <v>12426.25</v>
      </c>
      <c r="M44" s="1099">
        <f t="shared" si="4"/>
        <v>4560</v>
      </c>
      <c r="N44" s="695">
        <f t="shared" si="4"/>
        <v>10644.39</v>
      </c>
      <c r="O44" s="695">
        <f t="shared" si="4"/>
        <v>31935.64</v>
      </c>
      <c r="P44" s="1099">
        <f t="shared" si="4"/>
        <v>118064.36</v>
      </c>
    </row>
    <row r="45" spans="2:16" ht="21" customHeight="1" x14ac:dyDescent="0.25">
      <c r="B45" s="466"/>
      <c r="C45" s="569"/>
      <c r="D45" s="492"/>
      <c r="E45" s="465"/>
      <c r="F45" s="695"/>
      <c r="G45" s="696"/>
      <c r="H45" s="1099"/>
      <c r="I45" s="1253"/>
      <c r="J45" s="1099"/>
      <c r="K45" s="1099"/>
      <c r="L45" s="1099"/>
      <c r="M45" s="1099"/>
      <c r="N45" s="695"/>
      <c r="O45" s="695"/>
      <c r="P45" s="1099"/>
    </row>
    <row r="46" spans="2:16" ht="21" customHeight="1" x14ac:dyDescent="0.25">
      <c r="B46" s="466" t="s">
        <v>1443</v>
      </c>
      <c r="C46" s="569"/>
      <c r="D46" s="492"/>
      <c r="E46" s="465"/>
      <c r="F46" s="500"/>
      <c r="G46" s="855"/>
      <c r="H46" s="695"/>
      <c r="I46" s="1144"/>
      <c r="J46" s="695"/>
      <c r="K46" s="695"/>
      <c r="L46" s="695"/>
      <c r="M46" s="1145"/>
      <c r="N46" s="695"/>
      <c r="O46" s="695"/>
      <c r="P46" s="695"/>
    </row>
    <row r="47" spans="2:16" s="259" customFormat="1" ht="21" customHeight="1" x14ac:dyDescent="0.25">
      <c r="B47" s="1251" t="s">
        <v>382</v>
      </c>
      <c r="C47" s="1252" t="s">
        <v>807</v>
      </c>
      <c r="D47" s="1246" t="s">
        <v>1749</v>
      </c>
      <c r="E47" s="1247" t="s">
        <v>1063</v>
      </c>
      <c r="F47" s="1248">
        <v>45809</v>
      </c>
      <c r="G47" s="1248">
        <v>45992</v>
      </c>
      <c r="H47" s="1100">
        <v>70000</v>
      </c>
      <c r="I47" s="1249">
        <v>0</v>
      </c>
      <c r="J47" s="1100">
        <v>70000</v>
      </c>
      <c r="K47" s="1100">
        <v>2009</v>
      </c>
      <c r="L47" s="1103">
        <v>5368.48</v>
      </c>
      <c r="M47" s="1250">
        <v>2128</v>
      </c>
      <c r="N47" s="626">
        <v>25</v>
      </c>
      <c r="O47" s="468">
        <f>+K47+L47+M47+N47</f>
        <v>9530.48</v>
      </c>
      <c r="P47" s="675">
        <f>+J47-O47</f>
        <v>60469.520000000004</v>
      </c>
    </row>
    <row r="48" spans="2:16" s="259" customFormat="1" ht="21" customHeight="1" x14ac:dyDescent="0.25">
      <c r="B48" s="466" t="s">
        <v>813</v>
      </c>
      <c r="C48" s="1252"/>
      <c r="D48" s="1325">
        <v>1</v>
      </c>
      <c r="E48" s="1247"/>
      <c r="F48" s="1248"/>
      <c r="G48" s="1248"/>
      <c r="H48" s="1099">
        <v>70000</v>
      </c>
      <c r="I48" s="1253">
        <v>0</v>
      </c>
      <c r="J48" s="1099">
        <v>70000</v>
      </c>
      <c r="K48" s="1099">
        <v>2009</v>
      </c>
      <c r="L48" s="1099">
        <v>5368.48</v>
      </c>
      <c r="M48" s="1099">
        <v>2128</v>
      </c>
      <c r="N48" s="695">
        <v>25</v>
      </c>
      <c r="O48" s="695">
        <f>SUM(K48:N48)</f>
        <v>9530.48</v>
      </c>
      <c r="P48" s="1099">
        <f>+H48-O48</f>
        <v>60469.520000000004</v>
      </c>
    </row>
    <row r="49" spans="2:16" ht="23.25" customHeight="1" x14ac:dyDescent="0.25">
      <c r="B49" s="466"/>
      <c r="C49" s="569"/>
      <c r="D49" s="492"/>
      <c r="E49" s="1247"/>
      <c r="F49" s="500"/>
      <c r="G49" s="855"/>
      <c r="H49" s="1099"/>
      <c r="I49" s="1253"/>
      <c r="J49" s="1099"/>
      <c r="K49" s="1099"/>
      <c r="L49" s="1099"/>
      <c r="M49" s="1099"/>
      <c r="N49" s="695"/>
      <c r="O49" s="695"/>
      <c r="P49" s="1099"/>
    </row>
    <row r="50" spans="2:16" ht="21" customHeight="1" x14ac:dyDescent="0.25">
      <c r="B50" s="466" t="s">
        <v>839</v>
      </c>
      <c r="C50" s="569"/>
      <c r="D50" s="492"/>
      <c r="E50" s="465"/>
      <c r="F50" s="500"/>
      <c r="G50" s="855"/>
      <c r="H50" s="695"/>
      <c r="I50" s="1144"/>
      <c r="J50" s="695"/>
      <c r="K50" s="695"/>
      <c r="L50" s="695"/>
      <c r="M50" s="1145"/>
      <c r="N50" s="695"/>
      <c r="O50" s="695"/>
      <c r="P50" s="695"/>
    </row>
    <row r="51" spans="2:16" ht="27.75" customHeight="1" x14ac:dyDescent="0.25">
      <c r="B51" s="286" t="s">
        <v>1581</v>
      </c>
      <c r="C51" s="685" t="s">
        <v>807</v>
      </c>
      <c r="D51" s="282" t="s">
        <v>1570</v>
      </c>
      <c r="E51" s="281" t="s">
        <v>1063</v>
      </c>
      <c r="F51" s="855">
        <v>45931</v>
      </c>
      <c r="G51" s="855">
        <v>46082</v>
      </c>
      <c r="H51" s="626">
        <v>150000</v>
      </c>
      <c r="I51" s="1169">
        <v>0</v>
      </c>
      <c r="J51" s="626">
        <v>150000</v>
      </c>
      <c r="K51" s="626">
        <v>4305</v>
      </c>
      <c r="L51" s="626">
        <v>23437.75</v>
      </c>
      <c r="M51" s="1149">
        <v>4560</v>
      </c>
      <c r="N51" s="626">
        <v>3912.66</v>
      </c>
      <c r="O51" s="626">
        <v>36215.410000000003</v>
      </c>
      <c r="P51" s="626">
        <v>113784.59</v>
      </c>
    </row>
    <row r="52" spans="2:16" ht="21" customHeight="1" x14ac:dyDescent="0.25">
      <c r="B52" s="453" t="s">
        <v>813</v>
      </c>
      <c r="C52" s="569"/>
      <c r="D52" s="492">
        <v>1</v>
      </c>
      <c r="E52" s="465"/>
      <c r="F52" s="500"/>
      <c r="G52" s="855"/>
      <c r="H52" s="695">
        <v>150000</v>
      </c>
      <c r="I52" s="1144">
        <v>0</v>
      </c>
      <c r="J52" s="695">
        <v>150000</v>
      </c>
      <c r="K52" s="695">
        <v>4305</v>
      </c>
      <c r="L52" s="695">
        <v>23437.75</v>
      </c>
      <c r="M52" s="1145">
        <v>4560</v>
      </c>
      <c r="N52" s="695">
        <v>3912.66</v>
      </c>
      <c r="O52" s="695">
        <v>36215.410000000003</v>
      </c>
      <c r="P52" s="695">
        <v>113784.59</v>
      </c>
    </row>
    <row r="53" spans="2:16" ht="21" customHeight="1" x14ac:dyDescent="0.25">
      <c r="B53" s="453"/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30" customHeight="1" x14ac:dyDescent="0.25">
      <c r="B54" s="492" t="s">
        <v>1822</v>
      </c>
      <c r="C54" s="569"/>
      <c r="D54" s="492"/>
      <c r="E54" s="465"/>
      <c r="F54" s="500"/>
      <c r="G54" s="855"/>
      <c r="H54" s="695"/>
      <c r="I54" s="1144"/>
      <c r="J54" s="695"/>
      <c r="K54" s="695"/>
      <c r="L54" s="695"/>
      <c r="M54" s="1145"/>
      <c r="N54" s="695"/>
      <c r="O54" s="695"/>
      <c r="P54" s="695"/>
    </row>
    <row r="55" spans="2:16" ht="21" customHeight="1" x14ac:dyDescent="0.25">
      <c r="B55" s="280" t="s">
        <v>1823</v>
      </c>
      <c r="C55" s="685" t="s">
        <v>807</v>
      </c>
      <c r="D55" s="282" t="s">
        <v>1824</v>
      </c>
      <c r="E55" s="281" t="s">
        <v>1063</v>
      </c>
      <c r="F55" s="855">
        <v>45931</v>
      </c>
      <c r="G55" s="855">
        <v>46082</v>
      </c>
      <c r="H55" s="1100">
        <v>70000</v>
      </c>
      <c r="I55" s="1249">
        <v>0</v>
      </c>
      <c r="J55" s="1100">
        <v>70000</v>
      </c>
      <c r="K55" s="1100">
        <v>2009</v>
      </c>
      <c r="L55" s="1103">
        <v>5025.38</v>
      </c>
      <c r="M55" s="1250">
        <v>2128</v>
      </c>
      <c r="N55" s="626">
        <v>1740.46</v>
      </c>
      <c r="O55" s="468">
        <f>SUM(K55:N55)</f>
        <v>10902.84</v>
      </c>
      <c r="P55" s="675">
        <f>+H55-O55</f>
        <v>59097.16</v>
      </c>
    </row>
    <row r="56" spans="2:16" ht="21" customHeight="1" x14ac:dyDescent="0.25">
      <c r="B56" s="496"/>
      <c r="C56" s="684"/>
      <c r="D56" s="282">
        <v>1</v>
      </c>
      <c r="E56" s="281"/>
      <c r="F56" s="858"/>
      <c r="G56" s="855"/>
      <c r="H56" s="1099">
        <v>70000</v>
      </c>
      <c r="I56" s="1253">
        <v>0</v>
      </c>
      <c r="J56" s="1099">
        <v>70000</v>
      </c>
      <c r="K56" s="1099">
        <v>2009</v>
      </c>
      <c r="L56" s="1254">
        <v>5025.38</v>
      </c>
      <c r="M56" s="1146">
        <v>2128</v>
      </c>
      <c r="N56" s="695">
        <v>1740.46</v>
      </c>
      <c r="O56" s="697">
        <f>SUM(K56:N56)</f>
        <v>10902.84</v>
      </c>
      <c r="P56" s="676">
        <f>+H56-O56</f>
        <v>59097.16</v>
      </c>
    </row>
    <row r="57" spans="2:16" ht="21" customHeight="1" x14ac:dyDescent="0.25">
      <c r="B57" s="453" t="s">
        <v>1128</v>
      </c>
      <c r="C57" s="1224"/>
      <c r="D57" s="280"/>
      <c r="E57" s="280"/>
      <c r="F57" s="858"/>
      <c r="G57" s="855"/>
      <c r="H57" s="280"/>
      <c r="I57" s="1113"/>
      <c r="J57" s="487"/>
      <c r="K57" s="457"/>
      <c r="L57" s="457"/>
      <c r="M57" s="1149"/>
      <c r="N57" s="468"/>
      <c r="O57" s="468"/>
      <c r="P57" s="457"/>
    </row>
    <row r="58" spans="2:16" ht="29.25" customHeight="1" x14ac:dyDescent="0.25">
      <c r="B58" s="280" t="s">
        <v>461</v>
      </c>
      <c r="C58" s="685" t="s">
        <v>807</v>
      </c>
      <c r="D58" s="282" t="s">
        <v>1574</v>
      </c>
      <c r="E58" s="281" t="s">
        <v>1063</v>
      </c>
      <c r="F58" s="855">
        <v>45931</v>
      </c>
      <c r="G58" s="855">
        <v>46082</v>
      </c>
      <c r="H58" s="468">
        <v>115000</v>
      </c>
      <c r="I58" s="1111">
        <v>0</v>
      </c>
      <c r="J58" s="489">
        <v>115000</v>
      </c>
      <c r="K58" s="489">
        <v>3300.5</v>
      </c>
      <c r="L58" s="489">
        <v>15633.74</v>
      </c>
      <c r="M58" s="1149">
        <v>3496</v>
      </c>
      <c r="N58" s="861">
        <v>1431</v>
      </c>
      <c r="O58" s="468">
        <f>+K58+L58+M58+N58</f>
        <v>23861.239999999998</v>
      </c>
      <c r="P58" s="457">
        <f>+J58-O58</f>
        <v>91138.760000000009</v>
      </c>
    </row>
    <row r="59" spans="2:16" ht="21" customHeight="1" x14ac:dyDescent="0.25">
      <c r="B59" s="280" t="s">
        <v>1283</v>
      </c>
      <c r="C59" s="685" t="s">
        <v>807</v>
      </c>
      <c r="D59" s="282" t="s">
        <v>1495</v>
      </c>
      <c r="E59" s="281" t="s">
        <v>1281</v>
      </c>
      <c r="F59" s="855">
        <v>45931</v>
      </c>
      <c r="G59" s="855">
        <v>46082</v>
      </c>
      <c r="H59" s="468">
        <v>60000</v>
      </c>
      <c r="I59" s="1169">
        <v>0</v>
      </c>
      <c r="J59" s="628">
        <v>60000</v>
      </c>
      <c r="K59" s="628">
        <v>1722</v>
      </c>
      <c r="L59" s="628">
        <v>3486.68</v>
      </c>
      <c r="M59" s="1149">
        <v>1824</v>
      </c>
      <c r="N59" s="861">
        <v>728</v>
      </c>
      <c r="O59" s="468">
        <f>+K59+L59+M59+N59</f>
        <v>7760.68</v>
      </c>
      <c r="P59" s="468">
        <f>+J59-O59</f>
        <v>52239.32</v>
      </c>
    </row>
    <row r="60" spans="2:16" ht="21" customHeight="1" x14ac:dyDescent="0.25">
      <c r="B60" s="453" t="s">
        <v>813</v>
      </c>
      <c r="C60" s="1224"/>
      <c r="D60" s="453">
        <v>2</v>
      </c>
      <c r="E60" s="525"/>
      <c r="F60" s="500"/>
      <c r="G60" s="855"/>
      <c r="H60" s="695">
        <f>SUM(H58:H59)</f>
        <v>175000</v>
      </c>
      <c r="I60" s="1144">
        <f t="shared" ref="I60" si="5">SUM(I59)</f>
        <v>0</v>
      </c>
      <c r="J60" s="695">
        <f t="shared" ref="J60:P60" si="6">SUM(J58:J59)</f>
        <v>175000</v>
      </c>
      <c r="K60" s="695">
        <f t="shared" si="6"/>
        <v>5022.5</v>
      </c>
      <c r="L60" s="695">
        <f t="shared" si="6"/>
        <v>19120.419999999998</v>
      </c>
      <c r="M60" s="1145">
        <f t="shared" si="6"/>
        <v>5320</v>
      </c>
      <c r="N60" s="695">
        <f>SUM(N58:N59)</f>
        <v>2159</v>
      </c>
      <c r="O60" s="695">
        <f t="shared" si="6"/>
        <v>31621.919999999998</v>
      </c>
      <c r="P60" s="695">
        <f t="shared" si="6"/>
        <v>143378.08000000002</v>
      </c>
    </row>
    <row r="61" spans="2:16" ht="21" customHeight="1" x14ac:dyDescent="0.25">
      <c r="B61" s="461"/>
      <c r="C61" s="1225"/>
      <c r="D61" s="453"/>
      <c r="E61" s="525"/>
      <c r="F61" s="858"/>
      <c r="G61" s="855"/>
      <c r="H61" s="697"/>
      <c r="I61" s="1112"/>
      <c r="J61" s="522"/>
      <c r="K61" s="522"/>
      <c r="L61" s="522"/>
      <c r="M61" s="1145"/>
      <c r="N61" s="1173"/>
      <c r="O61" s="697"/>
      <c r="P61" s="463"/>
    </row>
    <row r="62" spans="2:16" ht="21" customHeight="1" x14ac:dyDescent="0.25">
      <c r="B62" s="1014" t="s">
        <v>1575</v>
      </c>
      <c r="C62" s="569"/>
      <c r="D62" s="492"/>
      <c r="E62" s="465"/>
      <c r="F62" s="500"/>
      <c r="G62" s="855"/>
      <c r="H62" s="695"/>
      <c r="I62" s="1144"/>
      <c r="J62" s="695"/>
      <c r="K62" s="695"/>
      <c r="L62" s="695"/>
      <c r="M62" s="1145"/>
      <c r="N62" s="695"/>
      <c r="O62" s="695"/>
      <c r="P62" s="695"/>
    </row>
    <row r="63" spans="2:16" s="259" customFormat="1" ht="30.75" customHeight="1" x14ac:dyDescent="0.25">
      <c r="B63" s="1251" t="s">
        <v>1582</v>
      </c>
      <c r="C63" s="1252" t="s">
        <v>807</v>
      </c>
      <c r="D63" s="1246" t="s">
        <v>1571</v>
      </c>
      <c r="E63" s="1247" t="s">
        <v>1063</v>
      </c>
      <c r="F63" s="1084">
        <v>45870</v>
      </c>
      <c r="G63" s="1084">
        <v>46023</v>
      </c>
      <c r="H63" s="1100">
        <v>95000</v>
      </c>
      <c r="I63" s="1249">
        <v>0</v>
      </c>
      <c r="J63" s="1100">
        <v>95000</v>
      </c>
      <c r="K63" s="1100">
        <v>2726.5</v>
      </c>
      <c r="L63" s="1103">
        <v>10929.24</v>
      </c>
      <c r="M63" s="1250">
        <v>2888</v>
      </c>
      <c r="N63" s="626">
        <v>18566.330000000002</v>
      </c>
      <c r="O63" s="468">
        <f>+K63+L63+M63+N63</f>
        <v>35110.07</v>
      </c>
      <c r="P63" s="675">
        <f>+J63-O63</f>
        <v>59889.93</v>
      </c>
    </row>
    <row r="64" spans="2:16" ht="21" customHeight="1" x14ac:dyDescent="0.25">
      <c r="B64" s="453" t="s">
        <v>813</v>
      </c>
      <c r="C64" s="685"/>
      <c r="D64" s="453">
        <v>1</v>
      </c>
      <c r="E64" s="281"/>
      <c r="F64" s="1019"/>
      <c r="G64" s="857"/>
      <c r="H64" s="697">
        <f>SUM(H63)</f>
        <v>95000</v>
      </c>
      <c r="I64" s="1144">
        <f>SUM(I63)</f>
        <v>0</v>
      </c>
      <c r="J64" s="697">
        <f t="shared" ref="J64:P64" si="7">SUM(J63)</f>
        <v>95000</v>
      </c>
      <c r="K64" s="697">
        <f t="shared" si="7"/>
        <v>2726.5</v>
      </c>
      <c r="L64" s="697">
        <f t="shared" si="7"/>
        <v>10929.24</v>
      </c>
      <c r="M64" s="1145">
        <f t="shared" si="7"/>
        <v>2888</v>
      </c>
      <c r="N64" s="697">
        <f>SUM(N63)</f>
        <v>18566.330000000002</v>
      </c>
      <c r="O64" s="697">
        <f t="shared" si="7"/>
        <v>35110.07</v>
      </c>
      <c r="P64" s="697">
        <f t="shared" si="7"/>
        <v>59889.93</v>
      </c>
    </row>
    <row r="65" spans="2:16" ht="21" customHeight="1" x14ac:dyDescent="0.25">
      <c r="B65" s="496"/>
      <c r="C65" s="684"/>
      <c r="D65" s="282"/>
      <c r="E65" s="281"/>
      <c r="F65" s="856"/>
      <c r="G65" s="857"/>
      <c r="H65" s="626"/>
      <c r="I65" s="1111"/>
      <c r="J65" s="457"/>
      <c r="K65" s="457"/>
      <c r="L65" s="457"/>
      <c r="M65" s="1149"/>
      <c r="N65" s="468"/>
      <c r="O65" s="468"/>
      <c r="P65" s="457"/>
    </row>
    <row r="66" spans="2:16" ht="32.25" customHeight="1" x14ac:dyDescent="0.25">
      <c r="B66" s="1014" t="s">
        <v>1136</v>
      </c>
      <c r="C66" s="570"/>
      <c r="D66" s="492"/>
      <c r="E66" s="465"/>
      <c r="F66" s="1019"/>
      <c r="G66" s="857"/>
      <c r="H66" s="695"/>
      <c r="I66" s="1144"/>
      <c r="J66" s="697"/>
      <c r="K66" s="697"/>
      <c r="L66" s="697"/>
      <c r="M66" s="1145"/>
      <c r="N66" s="697"/>
      <c r="O66" s="697"/>
      <c r="P66" s="697"/>
    </row>
    <row r="67" spans="2:16" ht="31.5" customHeight="1" x14ac:dyDescent="0.25">
      <c r="B67" s="153" t="s">
        <v>1583</v>
      </c>
      <c r="C67" s="685" t="s">
        <v>806</v>
      </c>
      <c r="D67" s="749" t="s">
        <v>1572</v>
      </c>
      <c r="E67" s="281" t="s">
        <v>1063</v>
      </c>
      <c r="F67" s="855">
        <v>45839</v>
      </c>
      <c r="G67" s="855">
        <v>45992</v>
      </c>
      <c r="H67" s="626">
        <v>120000</v>
      </c>
      <c r="I67" s="1169">
        <v>0</v>
      </c>
      <c r="J67" s="468">
        <v>120000</v>
      </c>
      <c r="K67" s="468">
        <v>3444</v>
      </c>
      <c r="L67" s="468">
        <v>16809.87</v>
      </c>
      <c r="M67" s="1149">
        <v>3648</v>
      </c>
      <c r="N67" s="468">
        <v>2568.4</v>
      </c>
      <c r="O67" s="468">
        <f>+K67+L67+M67+N67</f>
        <v>26470.27</v>
      </c>
      <c r="P67" s="626">
        <f>+J67-O67</f>
        <v>93529.73</v>
      </c>
    </row>
    <row r="68" spans="2:16" s="259" customFormat="1" ht="21" customHeight="1" x14ac:dyDescent="0.25">
      <c r="B68" s="1251" t="s">
        <v>1750</v>
      </c>
      <c r="C68" s="1252" t="s">
        <v>807</v>
      </c>
      <c r="D68" s="1246" t="s">
        <v>1751</v>
      </c>
      <c r="E68" s="1247" t="s">
        <v>1063</v>
      </c>
      <c r="F68" s="1248">
        <v>45809</v>
      </c>
      <c r="G68" s="1248">
        <v>45992</v>
      </c>
      <c r="H68" s="1100">
        <v>50000</v>
      </c>
      <c r="I68" s="1249">
        <v>0</v>
      </c>
      <c r="J68" s="1100">
        <v>50000</v>
      </c>
      <c r="K68" s="1100">
        <v>1435</v>
      </c>
      <c r="L68" s="1103">
        <v>1854</v>
      </c>
      <c r="M68" s="1250">
        <v>1520</v>
      </c>
      <c r="N68" s="626">
        <v>25</v>
      </c>
      <c r="O68" s="468">
        <f>+K68+L68+M68+N68</f>
        <v>4834</v>
      </c>
      <c r="P68" s="675">
        <f>+J68-O68</f>
        <v>45166</v>
      </c>
    </row>
    <row r="69" spans="2:16" ht="21" customHeight="1" x14ac:dyDescent="0.25">
      <c r="B69" s="496" t="s">
        <v>1352</v>
      </c>
      <c r="C69" s="684" t="s">
        <v>806</v>
      </c>
      <c r="D69" s="286" t="s">
        <v>1635</v>
      </c>
      <c r="E69" s="281" t="s">
        <v>1063</v>
      </c>
      <c r="F69" s="855">
        <v>45931</v>
      </c>
      <c r="G69" s="855">
        <v>46082</v>
      </c>
      <c r="H69" s="626">
        <v>55000</v>
      </c>
      <c r="I69" s="1111">
        <v>0</v>
      </c>
      <c r="J69" s="457">
        <v>55000</v>
      </c>
      <c r="K69" s="457">
        <v>1578.5</v>
      </c>
      <c r="L69" s="457">
        <v>2559.6799999999998</v>
      </c>
      <c r="M69" s="1149">
        <v>1672</v>
      </c>
      <c r="N69" s="468">
        <v>25</v>
      </c>
      <c r="O69" s="468">
        <v>5835.18</v>
      </c>
      <c r="P69" s="498">
        <f>+J69-O69</f>
        <v>49164.82</v>
      </c>
    </row>
    <row r="70" spans="2:16" ht="21" customHeight="1" x14ac:dyDescent="0.25">
      <c r="B70" s="275" t="s">
        <v>875</v>
      </c>
      <c r="C70" s="1245" t="s">
        <v>807</v>
      </c>
      <c r="D70" s="1246" t="s">
        <v>1784</v>
      </c>
      <c r="E70" s="1247" t="s">
        <v>1063</v>
      </c>
      <c r="F70" s="855">
        <v>45839</v>
      </c>
      <c r="G70" s="855">
        <v>45992</v>
      </c>
      <c r="H70" s="626">
        <v>70000</v>
      </c>
      <c r="I70" s="1169">
        <v>0</v>
      </c>
      <c r="J70" s="626">
        <v>70000</v>
      </c>
      <c r="K70" s="626">
        <v>2009</v>
      </c>
      <c r="L70" s="626">
        <v>5368.48</v>
      </c>
      <c r="M70" s="1149">
        <v>2128</v>
      </c>
      <c r="N70" s="626">
        <v>2517.7399999999998</v>
      </c>
      <c r="O70" s="626">
        <f>SUM(K70:N70)</f>
        <v>12023.22</v>
      </c>
      <c r="P70" s="626">
        <f>+H70-O70</f>
        <v>57976.78</v>
      </c>
    </row>
    <row r="71" spans="2:16" ht="21" customHeight="1" x14ac:dyDescent="0.25">
      <c r="B71" s="466" t="s">
        <v>813</v>
      </c>
      <c r="C71" s="569"/>
      <c r="D71" s="492">
        <v>4</v>
      </c>
      <c r="E71" s="465"/>
      <c r="F71" s="500"/>
      <c r="G71" s="855"/>
      <c r="H71" s="697">
        <f>SUM(H67:H69)</f>
        <v>225000</v>
      </c>
      <c r="I71" s="1144">
        <f t="shared" ref="I71" si="8">SUM(I69)</f>
        <v>0</v>
      </c>
      <c r="J71" s="697">
        <f t="shared" ref="J71:P71" si="9">SUM(J67:J69)</f>
        <v>225000</v>
      </c>
      <c r="K71" s="697">
        <f>SUM(K67:K69)</f>
        <v>6457.5</v>
      </c>
      <c r="L71" s="697">
        <f t="shared" si="9"/>
        <v>21223.55</v>
      </c>
      <c r="M71" s="1145">
        <f t="shared" si="9"/>
        <v>6840</v>
      </c>
      <c r="N71" s="697">
        <f>SUM(N67:N69)</f>
        <v>2618.4</v>
      </c>
      <c r="O71" s="697">
        <f t="shared" si="9"/>
        <v>37139.449999999997</v>
      </c>
      <c r="P71" s="697">
        <f t="shared" si="9"/>
        <v>187860.55</v>
      </c>
    </row>
    <row r="72" spans="2:16" ht="21" customHeight="1" x14ac:dyDescent="0.25">
      <c r="B72" s="466"/>
      <c r="C72" s="569"/>
      <c r="D72" s="492"/>
      <c r="E72" s="465"/>
      <c r="F72" s="500"/>
      <c r="G72" s="855"/>
      <c r="H72" s="697"/>
      <c r="I72" s="1144"/>
      <c r="J72" s="697"/>
      <c r="K72" s="697"/>
      <c r="L72" s="697"/>
      <c r="M72" s="1145"/>
      <c r="N72" s="697"/>
      <c r="O72" s="697"/>
      <c r="P72" s="697"/>
    </row>
    <row r="73" spans="2:16" ht="21" customHeight="1" x14ac:dyDescent="0.25">
      <c r="B73" s="466" t="s">
        <v>1791</v>
      </c>
      <c r="C73" s="569"/>
      <c r="D73" s="492"/>
      <c r="E73" s="465"/>
      <c r="F73" s="500"/>
      <c r="G73" s="855"/>
      <c r="H73" s="697"/>
      <c r="I73" s="1144"/>
      <c r="J73" s="697"/>
      <c r="K73" s="697"/>
      <c r="L73" s="697"/>
      <c r="M73" s="1145"/>
      <c r="N73" s="697"/>
      <c r="O73" s="697"/>
      <c r="P73" s="697"/>
    </row>
    <row r="74" spans="2:16" ht="21" customHeight="1" x14ac:dyDescent="0.25">
      <c r="B74" s="286" t="s">
        <v>1793</v>
      </c>
      <c r="C74" s="685" t="s">
        <v>807</v>
      </c>
      <c r="D74" s="282" t="s">
        <v>1794</v>
      </c>
      <c r="E74" s="281" t="s">
        <v>1063</v>
      </c>
      <c r="F74" s="855">
        <v>45839</v>
      </c>
      <c r="G74" s="855">
        <v>45992</v>
      </c>
      <c r="H74" s="626">
        <v>120000</v>
      </c>
      <c r="I74" s="1169">
        <v>0</v>
      </c>
      <c r="J74" s="468">
        <v>120000</v>
      </c>
      <c r="K74" s="468">
        <v>3444</v>
      </c>
      <c r="L74" s="468">
        <v>16809.87</v>
      </c>
      <c r="M74" s="1149">
        <v>3648</v>
      </c>
      <c r="N74" s="468">
        <v>25</v>
      </c>
      <c r="O74" s="468">
        <f>SUM(K74:N74)</f>
        <v>23926.87</v>
      </c>
      <c r="P74" s="468">
        <f>+H74-O74</f>
        <v>96073.13</v>
      </c>
    </row>
    <row r="75" spans="2:16" ht="21" customHeight="1" x14ac:dyDescent="0.25">
      <c r="B75" s="466" t="s">
        <v>813</v>
      </c>
      <c r="C75" s="569"/>
      <c r="D75" s="492">
        <v>1</v>
      </c>
      <c r="E75" s="465"/>
      <c r="F75" s="500"/>
      <c r="G75" s="855"/>
      <c r="H75" s="695">
        <v>120000</v>
      </c>
      <c r="I75" s="1144">
        <v>0</v>
      </c>
      <c r="J75" s="697">
        <v>120000</v>
      </c>
      <c r="K75" s="697">
        <v>3444</v>
      </c>
      <c r="L75" s="697">
        <v>16809.87</v>
      </c>
      <c r="M75" s="1145">
        <v>3648</v>
      </c>
      <c r="N75" s="697">
        <v>25</v>
      </c>
      <c r="O75" s="697">
        <f>SUM(K75:N75)</f>
        <v>23926.87</v>
      </c>
      <c r="P75" s="697">
        <f>+H75-O75</f>
        <v>96073.13</v>
      </c>
    </row>
    <row r="76" spans="2:16" ht="21" customHeight="1" x14ac:dyDescent="0.25">
      <c r="B76" s="466"/>
      <c r="C76" s="569"/>
      <c r="D76" s="492"/>
      <c r="E76" s="465"/>
      <c r="F76" s="500"/>
      <c r="G76" s="855"/>
      <c r="H76" s="697"/>
      <c r="I76" s="1144"/>
      <c r="J76" s="697"/>
      <c r="K76" s="697"/>
      <c r="L76" s="697"/>
      <c r="M76" s="1145"/>
      <c r="N76" s="697"/>
      <c r="O76" s="697"/>
      <c r="P76" s="697"/>
    </row>
    <row r="77" spans="2:16" ht="21" customHeight="1" x14ac:dyDescent="0.25">
      <c r="B77" s="453" t="s">
        <v>1515</v>
      </c>
      <c r="C77" s="569"/>
      <c r="D77" s="492"/>
      <c r="E77" s="465"/>
      <c r="F77" s="1019"/>
      <c r="G77" s="857"/>
      <c r="H77" s="695"/>
      <c r="I77" s="1144"/>
      <c r="J77" s="697"/>
      <c r="K77" s="697"/>
      <c r="L77" s="697"/>
      <c r="M77" s="1145"/>
      <c r="N77" s="697"/>
      <c r="O77" s="697"/>
      <c r="P77" s="697"/>
    </row>
    <row r="78" spans="2:16" ht="32.25" customHeight="1" x14ac:dyDescent="0.25">
      <c r="B78" s="280" t="s">
        <v>1584</v>
      </c>
      <c r="C78" s="685" t="s">
        <v>806</v>
      </c>
      <c r="D78" s="282" t="s">
        <v>1357</v>
      </c>
      <c r="E78" s="281" t="s">
        <v>1063</v>
      </c>
      <c r="F78" s="855">
        <v>45778</v>
      </c>
      <c r="G78" s="855">
        <v>45931</v>
      </c>
      <c r="H78" s="626">
        <v>125000</v>
      </c>
      <c r="I78" s="1111">
        <v>0</v>
      </c>
      <c r="J78" s="1038">
        <v>125000</v>
      </c>
      <c r="K78" s="1038">
        <v>3587.5</v>
      </c>
      <c r="L78" s="1037">
        <v>17985.990000000002</v>
      </c>
      <c r="M78" s="1150">
        <v>3800</v>
      </c>
      <c r="N78" s="1038">
        <v>25</v>
      </c>
      <c r="O78" s="468">
        <f t="shared" ref="O78:O83" si="10">+K78+L78+M78+N78</f>
        <v>25398.49</v>
      </c>
      <c r="P78" s="498">
        <f t="shared" ref="P78:P83" si="11">+J78-O78</f>
        <v>99601.51</v>
      </c>
    </row>
    <row r="79" spans="2:16" ht="32.25" customHeight="1" x14ac:dyDescent="0.25">
      <c r="B79" s="280" t="s">
        <v>1585</v>
      </c>
      <c r="C79" s="685" t="s">
        <v>806</v>
      </c>
      <c r="D79" s="282" t="s">
        <v>1357</v>
      </c>
      <c r="E79" s="281" t="s">
        <v>1063</v>
      </c>
      <c r="F79" s="855">
        <v>45778</v>
      </c>
      <c r="G79" s="855">
        <v>45931</v>
      </c>
      <c r="H79" s="626">
        <v>125000</v>
      </c>
      <c r="I79" s="1111">
        <v>0</v>
      </c>
      <c r="J79" s="1038">
        <v>125000</v>
      </c>
      <c r="K79" s="1038">
        <v>3587.5</v>
      </c>
      <c r="L79" s="1037">
        <v>17985.990000000002</v>
      </c>
      <c r="M79" s="1150">
        <v>3800</v>
      </c>
      <c r="N79" s="1038">
        <v>25</v>
      </c>
      <c r="O79" s="468">
        <f t="shared" si="10"/>
        <v>25398.49</v>
      </c>
      <c r="P79" s="498">
        <f t="shared" si="11"/>
        <v>99601.51</v>
      </c>
    </row>
    <row r="80" spans="2:16" ht="32.25" customHeight="1" x14ac:dyDescent="0.25">
      <c r="B80" s="280" t="s">
        <v>1586</v>
      </c>
      <c r="C80" s="685" t="s">
        <v>806</v>
      </c>
      <c r="D80" s="282" t="s">
        <v>1355</v>
      </c>
      <c r="E80" s="281" t="s">
        <v>1063</v>
      </c>
      <c r="F80" s="855">
        <v>45931</v>
      </c>
      <c r="G80" s="855">
        <v>46082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si="10"/>
        <v>25398.49</v>
      </c>
      <c r="P80" s="498">
        <f t="shared" si="11"/>
        <v>99601.51</v>
      </c>
    </row>
    <row r="81" spans="2:16" ht="32.25" customHeight="1" x14ac:dyDescent="0.25">
      <c r="B81" s="153" t="s">
        <v>1587</v>
      </c>
      <c r="C81" s="685" t="s">
        <v>806</v>
      </c>
      <c r="D81" s="282" t="s">
        <v>1357</v>
      </c>
      <c r="E81" s="281" t="s">
        <v>1063</v>
      </c>
      <c r="F81" s="855">
        <v>45931</v>
      </c>
      <c r="G81" s="855">
        <v>46082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10"/>
        <v>25398.49</v>
      </c>
      <c r="P81" s="498">
        <f t="shared" si="11"/>
        <v>99601.51</v>
      </c>
    </row>
    <row r="82" spans="2:16" ht="32.25" customHeight="1" x14ac:dyDescent="0.25">
      <c r="B82" s="280" t="s">
        <v>1588</v>
      </c>
      <c r="C82" s="685" t="s">
        <v>806</v>
      </c>
      <c r="D82" s="282" t="s">
        <v>1357</v>
      </c>
      <c r="E82" s="281" t="s">
        <v>1063</v>
      </c>
      <c r="F82" s="855">
        <v>45931</v>
      </c>
      <c r="G82" s="855">
        <v>46082</v>
      </c>
      <c r="H82" s="626">
        <v>125000</v>
      </c>
      <c r="I82" s="1169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10"/>
        <v>25398.49</v>
      </c>
      <c r="P82" s="626">
        <f t="shared" si="11"/>
        <v>99601.51</v>
      </c>
    </row>
    <row r="83" spans="2:16" ht="32.25" customHeight="1" x14ac:dyDescent="0.25">
      <c r="B83" s="280" t="s">
        <v>1589</v>
      </c>
      <c r="C83" s="685" t="s">
        <v>807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135000</v>
      </c>
      <c r="I83" s="1169">
        <v>0</v>
      </c>
      <c r="J83" s="1038">
        <v>135000</v>
      </c>
      <c r="K83" s="1038">
        <v>3874.5</v>
      </c>
      <c r="L83" s="1038">
        <v>19909.38</v>
      </c>
      <c r="M83" s="1150">
        <v>4104</v>
      </c>
      <c r="N83" s="1038">
        <v>1740.46</v>
      </c>
      <c r="O83" s="468">
        <f t="shared" si="10"/>
        <v>29628.34</v>
      </c>
      <c r="P83" s="626">
        <f t="shared" si="11"/>
        <v>105371.66</v>
      </c>
    </row>
    <row r="84" spans="2:16" ht="33" customHeight="1" x14ac:dyDescent="0.25">
      <c r="B84" s="153" t="s">
        <v>1590</v>
      </c>
      <c r="C84" s="685" t="s">
        <v>807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11">
        <v>0</v>
      </c>
      <c r="J84" s="1038">
        <v>125000</v>
      </c>
      <c r="K84" s="1038">
        <v>3587.5</v>
      </c>
      <c r="L84" s="1038">
        <v>17985.990000000002</v>
      </c>
      <c r="M84" s="1150">
        <v>3800</v>
      </c>
      <c r="N84" s="1038">
        <v>25</v>
      </c>
      <c r="O84" s="468">
        <v>25398.49</v>
      </c>
      <c r="P84" s="498">
        <v>99601.51</v>
      </c>
    </row>
    <row r="85" spans="2:16" ht="21" customHeight="1" x14ac:dyDescent="0.25">
      <c r="B85" s="466" t="s">
        <v>813</v>
      </c>
      <c r="C85" s="569"/>
      <c r="D85" s="492">
        <v>7</v>
      </c>
      <c r="E85" s="465"/>
      <c r="F85" s="500"/>
      <c r="G85" s="855"/>
      <c r="H85" s="697">
        <f>SUM(H78:H84)</f>
        <v>885000</v>
      </c>
      <c r="I85" s="1112">
        <v>0</v>
      </c>
      <c r="J85" s="697">
        <f t="shared" ref="J85:P85" si="12">SUM(J78:J84)</f>
        <v>885000</v>
      </c>
      <c r="K85" s="697">
        <f t="shared" si="12"/>
        <v>25399.5</v>
      </c>
      <c r="L85" s="697">
        <f t="shared" si="12"/>
        <v>127825.32000000002</v>
      </c>
      <c r="M85" s="1145">
        <f t="shared" si="12"/>
        <v>26904</v>
      </c>
      <c r="N85" s="697">
        <f t="shared" si="12"/>
        <v>1890.46</v>
      </c>
      <c r="O85" s="697">
        <f t="shared" si="12"/>
        <v>182019.28</v>
      </c>
      <c r="P85" s="697">
        <f t="shared" si="12"/>
        <v>702980.72</v>
      </c>
    </row>
    <row r="86" spans="2:16" ht="21" customHeight="1" x14ac:dyDescent="0.25">
      <c r="B86" s="466"/>
      <c r="C86" s="569"/>
      <c r="D86" s="492"/>
      <c r="E86" s="465"/>
      <c r="F86" s="500"/>
      <c r="G86" s="855"/>
      <c r="H86" s="697"/>
      <c r="I86" s="1145"/>
      <c r="J86" s="697"/>
      <c r="K86" s="697"/>
      <c r="L86" s="697"/>
      <c r="M86" s="1145"/>
      <c r="N86" s="697"/>
      <c r="O86" s="697"/>
      <c r="P86" s="697"/>
    </row>
    <row r="87" spans="2:16" ht="21" customHeight="1" x14ac:dyDescent="0.25">
      <c r="B87" s="466" t="s">
        <v>821</v>
      </c>
      <c r="C87" s="569"/>
      <c r="D87" s="492"/>
      <c r="E87" s="465"/>
      <c r="F87" s="500"/>
      <c r="G87" s="855"/>
      <c r="H87" s="695"/>
      <c r="I87" s="1144"/>
      <c r="J87" s="697"/>
      <c r="K87" s="697"/>
      <c r="L87" s="697"/>
      <c r="M87" s="1145"/>
      <c r="N87" s="697"/>
      <c r="O87" s="697"/>
      <c r="P87" s="697"/>
    </row>
    <row r="88" spans="2:16" ht="30.75" customHeight="1" x14ac:dyDescent="0.25">
      <c r="B88" s="286" t="s">
        <v>593</v>
      </c>
      <c r="C88" s="685" t="s">
        <v>806</v>
      </c>
      <c r="D88" s="282" t="s">
        <v>1541</v>
      </c>
      <c r="E88" s="281" t="s">
        <v>1063</v>
      </c>
      <c r="F88" s="855">
        <v>45931</v>
      </c>
      <c r="G88" s="855">
        <v>46082</v>
      </c>
      <c r="H88" s="626">
        <v>150000</v>
      </c>
      <c r="I88" s="1169">
        <v>0</v>
      </c>
      <c r="J88" s="468">
        <v>150000</v>
      </c>
      <c r="K88" s="468">
        <v>4305</v>
      </c>
      <c r="L88" s="468">
        <v>23866.62</v>
      </c>
      <c r="M88" s="1149">
        <v>4560</v>
      </c>
      <c r="N88" s="468">
        <v>2568.4</v>
      </c>
      <c r="O88" s="468">
        <v>35300.019999999997</v>
      </c>
      <c r="P88" s="468">
        <f t="shared" ref="P88:P93" si="13">+J88-O88</f>
        <v>114699.98000000001</v>
      </c>
    </row>
    <row r="89" spans="2:16" ht="24.75" customHeight="1" x14ac:dyDescent="0.25">
      <c r="B89" s="286" t="s">
        <v>1591</v>
      </c>
      <c r="C89" s="684" t="s">
        <v>806</v>
      </c>
      <c r="D89" s="282" t="s">
        <v>489</v>
      </c>
      <c r="E89" s="281" t="s">
        <v>1063</v>
      </c>
      <c r="F89" s="855">
        <v>45931</v>
      </c>
      <c r="G89" s="855">
        <v>46082</v>
      </c>
      <c r="H89" s="626">
        <v>70000</v>
      </c>
      <c r="I89" s="1111">
        <v>0</v>
      </c>
      <c r="J89" s="457">
        <v>70000</v>
      </c>
      <c r="K89" s="457">
        <v>2009</v>
      </c>
      <c r="L89" s="457">
        <v>5368.48</v>
      </c>
      <c r="M89" s="1149">
        <v>2128</v>
      </c>
      <c r="N89" s="468">
        <v>25</v>
      </c>
      <c r="O89" s="468">
        <f>+K89+L89+M89+N89</f>
        <v>9530.48</v>
      </c>
      <c r="P89" s="457">
        <f t="shared" si="13"/>
        <v>60469.520000000004</v>
      </c>
    </row>
    <row r="90" spans="2:16" ht="24.75" customHeight="1" x14ac:dyDescent="0.25">
      <c r="B90" s="286" t="s">
        <v>1288</v>
      </c>
      <c r="C90" s="685" t="s">
        <v>807</v>
      </c>
      <c r="D90" s="282" t="s">
        <v>417</v>
      </c>
      <c r="E90" s="281" t="s">
        <v>1063</v>
      </c>
      <c r="F90" s="855">
        <v>45931</v>
      </c>
      <c r="G90" s="855">
        <v>46082</v>
      </c>
      <c r="H90" s="626">
        <v>70000</v>
      </c>
      <c r="I90" s="1169">
        <v>0</v>
      </c>
      <c r="J90" s="468">
        <v>70000</v>
      </c>
      <c r="K90" s="468">
        <v>2009</v>
      </c>
      <c r="L90" s="468">
        <v>5368.48</v>
      </c>
      <c r="M90" s="1149">
        <v>2128</v>
      </c>
      <c r="N90" s="468">
        <v>25</v>
      </c>
      <c r="O90" s="468">
        <f>+K90+L90+M90+N90</f>
        <v>9530.48</v>
      </c>
      <c r="P90" s="468">
        <f t="shared" si="13"/>
        <v>60469.520000000004</v>
      </c>
    </row>
    <row r="91" spans="2:16" ht="24.75" customHeight="1" x14ac:dyDescent="0.25">
      <c r="B91" s="286" t="s">
        <v>1496</v>
      </c>
      <c r="C91" s="685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69">
        <v>0</v>
      </c>
      <c r="J91" s="468">
        <v>70000</v>
      </c>
      <c r="K91" s="468">
        <v>2009</v>
      </c>
      <c r="L91" s="468">
        <v>5368.48</v>
      </c>
      <c r="M91" s="1149">
        <v>2128</v>
      </c>
      <c r="N91" s="468">
        <v>25</v>
      </c>
      <c r="O91" s="468">
        <f>+K91+L91+M91+N91</f>
        <v>9530.48</v>
      </c>
      <c r="P91" s="468">
        <f t="shared" si="13"/>
        <v>60469.520000000004</v>
      </c>
    </row>
    <row r="92" spans="2:16" ht="21" customHeight="1" x14ac:dyDescent="0.25">
      <c r="B92" s="153" t="s">
        <v>1599</v>
      </c>
      <c r="C92" s="684" t="s">
        <v>806</v>
      </c>
      <c r="D92" s="282" t="s">
        <v>417</v>
      </c>
      <c r="E92" s="286" t="s">
        <v>1063</v>
      </c>
      <c r="F92" s="855">
        <v>45931</v>
      </c>
      <c r="G92" s="855">
        <v>46082</v>
      </c>
      <c r="H92" s="626">
        <v>70000</v>
      </c>
      <c r="I92" s="1111">
        <v>0</v>
      </c>
      <c r="J92" s="457">
        <v>70000</v>
      </c>
      <c r="K92" s="457">
        <v>2009</v>
      </c>
      <c r="L92" s="457">
        <v>5368.48</v>
      </c>
      <c r="M92" s="1149">
        <v>2128</v>
      </c>
      <c r="N92" s="468">
        <v>25</v>
      </c>
      <c r="O92" s="468">
        <f>+K92+L92+M92+N92</f>
        <v>9530.48</v>
      </c>
      <c r="P92" s="457">
        <f t="shared" si="13"/>
        <v>60469.520000000004</v>
      </c>
    </row>
    <row r="93" spans="2:16" ht="21" customHeight="1" x14ac:dyDescent="0.25">
      <c r="B93" s="153" t="s">
        <v>1786</v>
      </c>
      <c r="C93" s="684" t="s">
        <v>806</v>
      </c>
      <c r="D93" s="282" t="s">
        <v>417</v>
      </c>
      <c r="E93" s="286" t="s">
        <v>1063</v>
      </c>
      <c r="F93" s="855">
        <v>45839</v>
      </c>
      <c r="G93" s="855">
        <v>45992</v>
      </c>
      <c r="H93" s="626">
        <v>60000</v>
      </c>
      <c r="I93" s="1111">
        <v>0</v>
      </c>
      <c r="J93" s="457">
        <v>60000</v>
      </c>
      <c r="K93" s="457">
        <v>1722</v>
      </c>
      <c r="L93" s="457">
        <v>3486.68</v>
      </c>
      <c r="M93" s="1149">
        <v>1824</v>
      </c>
      <c r="N93" s="468">
        <v>25</v>
      </c>
      <c r="O93" s="468">
        <f>+K93+L93+M93+N93</f>
        <v>7057.68</v>
      </c>
      <c r="P93" s="457">
        <f t="shared" si="13"/>
        <v>52942.32</v>
      </c>
    </row>
    <row r="94" spans="2:16" ht="21" customHeight="1" x14ac:dyDescent="0.25">
      <c r="B94" s="466" t="s">
        <v>813</v>
      </c>
      <c r="C94" s="569"/>
      <c r="D94" s="492">
        <v>6</v>
      </c>
      <c r="E94" s="465"/>
      <c r="F94" s="500"/>
      <c r="G94" s="855"/>
      <c r="H94" s="695">
        <f>SUM(H88:H93)</f>
        <v>490000</v>
      </c>
      <c r="I94" s="1112">
        <v>0</v>
      </c>
      <c r="J94" s="695">
        <f t="shared" ref="J94:P94" si="14">SUM(J88:J93)</f>
        <v>490000</v>
      </c>
      <c r="K94" s="695">
        <f t="shared" si="14"/>
        <v>14063</v>
      </c>
      <c r="L94" s="695">
        <f t="shared" si="14"/>
        <v>48827.219999999994</v>
      </c>
      <c r="M94" s="695">
        <f t="shared" si="14"/>
        <v>14896</v>
      </c>
      <c r="N94" s="695">
        <f t="shared" si="14"/>
        <v>2693.4</v>
      </c>
      <c r="O94" s="695">
        <f t="shared" si="14"/>
        <v>80479.62</v>
      </c>
      <c r="P94" s="695">
        <f t="shared" si="14"/>
        <v>409520.38000000006</v>
      </c>
    </row>
    <row r="95" spans="2:16" ht="21" customHeight="1" x14ac:dyDescent="0.25">
      <c r="B95" s="490"/>
      <c r="C95" s="1223"/>
      <c r="D95" s="492"/>
      <c r="E95" s="465"/>
      <c r="F95" s="856"/>
      <c r="G95" s="857"/>
      <c r="H95" s="695"/>
      <c r="I95" s="1112"/>
      <c r="J95" s="494"/>
      <c r="K95" s="494"/>
      <c r="L95" s="494"/>
      <c r="M95" s="1145"/>
      <c r="N95" s="695"/>
      <c r="O95" s="695"/>
      <c r="P95" s="494"/>
    </row>
    <row r="96" spans="2:16" ht="21" customHeight="1" x14ac:dyDescent="0.25">
      <c r="B96" s="490" t="s">
        <v>1542</v>
      </c>
      <c r="C96" s="1223"/>
      <c r="D96" s="492"/>
      <c r="E96" s="492"/>
      <c r="F96" s="856"/>
      <c r="G96" s="857"/>
      <c r="H96" s="695"/>
      <c r="I96" s="1112"/>
      <c r="J96" s="463"/>
      <c r="K96" s="463"/>
      <c r="L96" s="463"/>
      <c r="M96" s="1145"/>
      <c r="N96" s="697"/>
      <c r="O96" s="697"/>
      <c r="P96" s="463"/>
    </row>
    <row r="97" spans="2:16" ht="21" customHeight="1" x14ac:dyDescent="0.25">
      <c r="B97" s="496" t="s">
        <v>1592</v>
      </c>
      <c r="C97" s="684" t="s">
        <v>807</v>
      </c>
      <c r="D97" s="282" t="s">
        <v>1427</v>
      </c>
      <c r="E97" s="281" t="s">
        <v>1063</v>
      </c>
      <c r="F97" s="855">
        <v>45931</v>
      </c>
      <c r="G97" s="855">
        <v>46082</v>
      </c>
      <c r="H97" s="626">
        <v>185000</v>
      </c>
      <c r="I97" s="1111">
        <v>0</v>
      </c>
      <c r="J97" s="457">
        <v>185000</v>
      </c>
      <c r="K97" s="457">
        <v>5309.5</v>
      </c>
      <c r="L97" s="457">
        <v>32099.49</v>
      </c>
      <c r="M97" s="1149">
        <v>5624</v>
      </c>
      <c r="N97" s="468">
        <v>5010.4799999999996</v>
      </c>
      <c r="O97" s="468">
        <f>+K97+L97+M97+N97</f>
        <v>48043.47</v>
      </c>
      <c r="P97" s="457">
        <f>+J97-O97</f>
        <v>136956.53</v>
      </c>
    </row>
    <row r="98" spans="2:16" ht="21" customHeight="1" x14ac:dyDescent="0.25">
      <c r="B98" s="466" t="s">
        <v>813</v>
      </c>
      <c r="C98" s="569"/>
      <c r="D98" s="492">
        <v>1</v>
      </c>
      <c r="E98" s="492"/>
      <c r="F98" s="1016"/>
      <c r="G98" s="855"/>
      <c r="H98" s="695">
        <f>+H97</f>
        <v>185000</v>
      </c>
      <c r="I98" s="1144">
        <f t="shared" ref="I98:P98" si="15">SUM(I97)</f>
        <v>0</v>
      </c>
      <c r="J98" s="695">
        <f t="shared" si="15"/>
        <v>185000</v>
      </c>
      <c r="K98" s="695">
        <f t="shared" si="15"/>
        <v>5309.5</v>
      </c>
      <c r="L98" s="695">
        <f t="shared" si="15"/>
        <v>32099.49</v>
      </c>
      <c r="M98" s="1145">
        <f t="shared" si="15"/>
        <v>5624</v>
      </c>
      <c r="N98" s="695">
        <f>SUM(N97)</f>
        <v>5010.4799999999996</v>
      </c>
      <c r="O98" s="695">
        <f t="shared" si="15"/>
        <v>48043.47</v>
      </c>
      <c r="P98" s="695">
        <f t="shared" si="15"/>
        <v>136956.53</v>
      </c>
    </row>
    <row r="99" spans="2:16" ht="21" customHeight="1" x14ac:dyDescent="0.25">
      <c r="B99" s="490"/>
      <c r="C99" s="1223"/>
      <c r="D99" s="492"/>
      <c r="E99" s="492"/>
      <c r="F99" s="856"/>
      <c r="G99" s="857"/>
      <c r="H99" s="695"/>
      <c r="I99" s="1112"/>
      <c r="J99" s="494"/>
      <c r="K99" s="494"/>
      <c r="L99" s="494"/>
      <c r="M99" s="1145"/>
      <c r="N99" s="695"/>
      <c r="O99" s="695"/>
      <c r="P99" s="494"/>
    </row>
    <row r="100" spans="2:16" ht="30" customHeight="1" x14ac:dyDescent="0.25">
      <c r="B100" s="469" t="s">
        <v>1565</v>
      </c>
      <c r="C100" s="1223"/>
      <c r="D100" s="625"/>
      <c r="E100" s="281"/>
      <c r="F100" s="856"/>
      <c r="G100" s="857"/>
      <c r="H100" s="695"/>
      <c r="I100" s="1112"/>
      <c r="J100" s="494"/>
      <c r="K100" s="494"/>
      <c r="L100" s="494"/>
      <c r="M100" s="1145"/>
      <c r="N100" s="695"/>
      <c r="O100" s="695"/>
      <c r="P100" s="494"/>
    </row>
    <row r="101" spans="2:16" s="259" customFormat="1" ht="21" customHeight="1" x14ac:dyDescent="0.25">
      <c r="B101" s="1251" t="s">
        <v>946</v>
      </c>
      <c r="C101" s="1252" t="s">
        <v>806</v>
      </c>
      <c r="D101" s="1246" t="s">
        <v>945</v>
      </c>
      <c r="E101" s="1247" t="s">
        <v>1063</v>
      </c>
      <c r="F101" s="855">
        <v>45931</v>
      </c>
      <c r="G101" s="855">
        <v>46082</v>
      </c>
      <c r="H101" s="1100">
        <v>65000</v>
      </c>
      <c r="I101" s="1249">
        <v>0</v>
      </c>
      <c r="J101" s="1100">
        <v>65000</v>
      </c>
      <c r="K101" s="1100">
        <v>1865.5</v>
      </c>
      <c r="L101" s="1103">
        <v>4427.58</v>
      </c>
      <c r="M101" s="1250">
        <v>1976</v>
      </c>
      <c r="N101" s="626">
        <v>8313.7999999999993</v>
      </c>
      <c r="O101" s="468">
        <f>SUM(K101:N101)</f>
        <v>16582.879999999997</v>
      </c>
      <c r="P101" s="675">
        <f>+J101-O101</f>
        <v>48417.120000000003</v>
      </c>
    </row>
    <row r="102" spans="2:16" ht="21" customHeight="1" x14ac:dyDescent="0.25">
      <c r="B102" s="1384" t="s">
        <v>1697</v>
      </c>
      <c r="C102" s="1322" t="s">
        <v>806</v>
      </c>
      <c r="D102" s="1246" t="s">
        <v>945</v>
      </c>
      <c r="E102" s="1247" t="s">
        <v>1063</v>
      </c>
      <c r="F102" s="855">
        <v>45839</v>
      </c>
      <c r="G102" s="855">
        <v>45992</v>
      </c>
      <c r="H102" s="626">
        <v>70000</v>
      </c>
      <c r="I102" s="1249">
        <v>0</v>
      </c>
      <c r="J102" s="1323">
        <v>70000</v>
      </c>
      <c r="K102" s="1323">
        <v>2009</v>
      </c>
      <c r="L102" s="1323">
        <v>5368.48</v>
      </c>
      <c r="M102" s="1150">
        <v>2128</v>
      </c>
      <c r="N102" s="1323">
        <v>25</v>
      </c>
      <c r="O102" s="1038">
        <f>SUM(K102:N102)</f>
        <v>9530.48</v>
      </c>
      <c r="P102" s="1038">
        <f>+H102-O102</f>
        <v>60469.520000000004</v>
      </c>
    </row>
    <row r="103" spans="2:16" ht="21" customHeight="1" x14ac:dyDescent="0.25">
      <c r="B103" s="460" t="s">
        <v>1593</v>
      </c>
      <c r="C103" s="1226" t="s">
        <v>806</v>
      </c>
      <c r="D103" s="625" t="s">
        <v>1773</v>
      </c>
      <c r="E103" s="281" t="s">
        <v>1063</v>
      </c>
      <c r="F103" s="855">
        <v>45931</v>
      </c>
      <c r="G103" s="855">
        <v>46082</v>
      </c>
      <c r="H103" s="626">
        <v>65000</v>
      </c>
      <c r="I103" s="1169">
        <v>0</v>
      </c>
      <c r="J103" s="626">
        <v>65000</v>
      </c>
      <c r="K103" s="626">
        <v>1865.5</v>
      </c>
      <c r="L103" s="626">
        <v>4427.58</v>
      </c>
      <c r="M103" s="1149">
        <v>1976</v>
      </c>
      <c r="N103" s="626">
        <v>25</v>
      </c>
      <c r="O103" s="468">
        <f>+K103+L103+M103+N103</f>
        <v>8294.08</v>
      </c>
      <c r="P103" s="468">
        <f>+J103-O103</f>
        <v>56705.919999999998</v>
      </c>
    </row>
    <row r="104" spans="2:16" ht="21" customHeight="1" x14ac:dyDescent="0.25">
      <c r="B104" s="466" t="s">
        <v>813</v>
      </c>
      <c r="C104" s="569"/>
      <c r="D104" s="492">
        <v>3</v>
      </c>
      <c r="E104" s="492"/>
      <c r="F104" s="1016"/>
      <c r="G104" s="860"/>
      <c r="H104" s="695">
        <f>SUM(H101:H103)</f>
        <v>200000</v>
      </c>
      <c r="I104" s="1144">
        <f>SUM(I103)</f>
        <v>0</v>
      </c>
      <c r="J104" s="695">
        <f t="shared" ref="J104:P104" si="16">SUM(J101:J103)</f>
        <v>200000</v>
      </c>
      <c r="K104" s="695">
        <f t="shared" si="16"/>
        <v>5740</v>
      </c>
      <c r="L104" s="695">
        <f t="shared" si="16"/>
        <v>14223.64</v>
      </c>
      <c r="M104" s="1145">
        <f t="shared" si="16"/>
        <v>6080</v>
      </c>
      <c r="N104" s="695">
        <f t="shared" si="16"/>
        <v>8363.7999999999993</v>
      </c>
      <c r="O104" s="695">
        <f t="shared" si="16"/>
        <v>34407.439999999995</v>
      </c>
      <c r="P104" s="695">
        <f t="shared" si="16"/>
        <v>165592.56</v>
      </c>
    </row>
    <row r="105" spans="2:16" ht="21" customHeight="1" x14ac:dyDescent="0.25">
      <c r="B105" s="490"/>
      <c r="C105" s="1223"/>
      <c r="D105" s="492"/>
      <c r="E105" s="492"/>
      <c r="F105" s="859"/>
      <c r="G105" s="860"/>
      <c r="H105" s="695"/>
      <c r="I105" s="1112"/>
      <c r="J105" s="494"/>
      <c r="K105" s="494"/>
      <c r="L105" s="494"/>
      <c r="M105" s="1145"/>
      <c r="N105" s="695"/>
      <c r="O105" s="695"/>
      <c r="P105" s="494"/>
    </row>
    <row r="106" spans="2:16" ht="21" customHeight="1" x14ac:dyDescent="0.25">
      <c r="B106" s="490" t="s">
        <v>1421</v>
      </c>
      <c r="C106" s="1223"/>
      <c r="D106" s="492"/>
      <c r="E106" s="492"/>
      <c r="F106" s="859"/>
      <c r="G106" s="860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30.75" customHeight="1" x14ac:dyDescent="0.25">
      <c r="B107" s="153" t="s">
        <v>1594</v>
      </c>
      <c r="C107" s="685" t="s">
        <v>807</v>
      </c>
      <c r="D107" s="282" t="s">
        <v>1422</v>
      </c>
      <c r="E107" s="281" t="s">
        <v>1063</v>
      </c>
      <c r="F107" s="855">
        <v>45931</v>
      </c>
      <c r="G107" s="855">
        <v>46082</v>
      </c>
      <c r="H107" s="626">
        <v>100000</v>
      </c>
      <c r="I107" s="1111">
        <v>0</v>
      </c>
      <c r="J107" s="498">
        <v>100000</v>
      </c>
      <c r="K107" s="498">
        <v>2870</v>
      </c>
      <c r="L107" s="498">
        <v>11676.5</v>
      </c>
      <c r="M107" s="1149">
        <v>3040</v>
      </c>
      <c r="N107" s="626">
        <v>5354.6</v>
      </c>
      <c r="O107" s="468">
        <f>+K107+L107+M107+N107</f>
        <v>22941.1</v>
      </c>
      <c r="P107" s="468">
        <f>+J107-O107</f>
        <v>77058.899999999994</v>
      </c>
    </row>
    <row r="108" spans="2:16" ht="21" customHeight="1" x14ac:dyDescent="0.25">
      <c r="B108" s="466" t="s">
        <v>813</v>
      </c>
      <c r="C108" s="685"/>
      <c r="D108" s="492">
        <v>1</v>
      </c>
      <c r="E108" s="281"/>
      <c r="F108" s="859"/>
      <c r="G108" s="860"/>
      <c r="H108" s="695">
        <v>100000</v>
      </c>
      <c r="I108" s="1112">
        <v>0</v>
      </c>
      <c r="J108" s="494">
        <v>100000</v>
      </c>
      <c r="K108" s="494">
        <v>2870</v>
      </c>
      <c r="L108" s="494">
        <v>11676.5</v>
      </c>
      <c r="M108" s="1145">
        <v>3040</v>
      </c>
      <c r="N108" s="695">
        <f>SUM(N107)</f>
        <v>5354.6</v>
      </c>
      <c r="O108" s="697">
        <f>SUM(O107)</f>
        <v>22941.1</v>
      </c>
      <c r="P108" s="494">
        <f>SUM(P107)</f>
        <v>77058.899999999994</v>
      </c>
    </row>
    <row r="109" spans="2:16" ht="21" customHeight="1" x14ac:dyDescent="0.25">
      <c r="B109" s="286"/>
      <c r="C109" s="685"/>
      <c r="D109" s="282"/>
      <c r="E109" s="492"/>
      <c r="F109" s="859"/>
      <c r="G109" s="860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ht="28.5" customHeight="1" x14ac:dyDescent="0.25">
      <c r="B110" s="1014" t="s">
        <v>1477</v>
      </c>
      <c r="C110" s="570"/>
      <c r="D110" s="492"/>
      <c r="E110" s="465"/>
      <c r="F110" s="1016"/>
      <c r="G110" s="860"/>
      <c r="H110" s="695"/>
      <c r="I110" s="1144"/>
      <c r="J110" s="697"/>
      <c r="K110" s="697"/>
      <c r="L110" s="697"/>
      <c r="M110" s="1145"/>
      <c r="N110" s="697"/>
      <c r="O110" s="697"/>
      <c r="P110" s="697"/>
    </row>
    <row r="111" spans="2:16" s="259" customFormat="1" ht="33" customHeight="1" x14ac:dyDescent="0.25">
      <c r="B111" s="1251" t="s">
        <v>1752</v>
      </c>
      <c r="C111" s="1252" t="s">
        <v>807</v>
      </c>
      <c r="D111" s="1246" t="s">
        <v>1753</v>
      </c>
      <c r="E111" s="1247" t="s">
        <v>1063</v>
      </c>
      <c r="F111" s="855">
        <v>45839</v>
      </c>
      <c r="G111" s="855">
        <v>45992</v>
      </c>
      <c r="H111" s="1100">
        <v>120000</v>
      </c>
      <c r="I111" s="1249">
        <v>0</v>
      </c>
      <c r="J111" s="1100">
        <v>120000</v>
      </c>
      <c r="K111" s="1100">
        <v>3444</v>
      </c>
      <c r="L111" s="1103">
        <v>16809.87</v>
      </c>
      <c r="M111" s="1250">
        <v>3648</v>
      </c>
      <c r="N111" s="626">
        <v>1296.7</v>
      </c>
      <c r="O111" s="468">
        <f t="shared" ref="O111:O117" si="17">+K111+L111+M111+N111</f>
        <v>25198.57</v>
      </c>
      <c r="P111" s="675">
        <f>+J111-O111</f>
        <v>94801.43</v>
      </c>
    </row>
    <row r="112" spans="2:16" ht="21" customHeight="1" x14ac:dyDescent="0.25">
      <c r="B112" s="1017" t="s">
        <v>1595</v>
      </c>
      <c r="C112" s="1227" t="s">
        <v>806</v>
      </c>
      <c r="D112" s="282" t="s">
        <v>414</v>
      </c>
      <c r="E112" s="281" t="s">
        <v>1063</v>
      </c>
      <c r="F112" s="855">
        <v>45931</v>
      </c>
      <c r="G112" s="855">
        <v>46082</v>
      </c>
      <c r="H112" s="626">
        <v>70000</v>
      </c>
      <c r="I112" s="1169">
        <v>0</v>
      </c>
      <c r="J112" s="468">
        <v>70000</v>
      </c>
      <c r="K112" s="468">
        <v>2009</v>
      </c>
      <c r="L112" s="468">
        <v>5368.48</v>
      </c>
      <c r="M112" s="1149">
        <v>2128</v>
      </c>
      <c r="N112" s="468">
        <v>25</v>
      </c>
      <c r="O112" s="468">
        <f t="shared" si="17"/>
        <v>9530.48</v>
      </c>
      <c r="P112" s="468">
        <f>+J112-O112</f>
        <v>60469.520000000004</v>
      </c>
    </row>
    <row r="113" spans="2:16" ht="21" customHeight="1" x14ac:dyDescent="0.25">
      <c r="B113" s="153" t="s">
        <v>1596</v>
      </c>
      <c r="C113" s="685" t="s">
        <v>807</v>
      </c>
      <c r="D113" s="282" t="s">
        <v>414</v>
      </c>
      <c r="E113" s="281" t="s">
        <v>1063</v>
      </c>
      <c r="F113" s="855">
        <v>45931</v>
      </c>
      <c r="G113" s="855">
        <v>46082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5368.48</v>
      </c>
      <c r="M113" s="1149">
        <v>2128</v>
      </c>
      <c r="N113" s="468">
        <v>25</v>
      </c>
      <c r="O113" s="468">
        <f t="shared" si="17"/>
        <v>9530.48</v>
      </c>
      <c r="P113" s="468">
        <f t="shared" ref="P113:P117" si="18">+J113-O113</f>
        <v>60469.520000000004</v>
      </c>
    </row>
    <row r="114" spans="2:16" ht="21" customHeight="1" x14ac:dyDescent="0.25">
      <c r="B114" s="286" t="s">
        <v>610</v>
      </c>
      <c r="C114" s="685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7"/>
        <v>9530.48</v>
      </c>
      <c r="P114" s="468">
        <f t="shared" si="18"/>
        <v>60469.520000000004</v>
      </c>
    </row>
    <row r="115" spans="2:16" ht="21" customHeight="1" x14ac:dyDescent="0.25">
      <c r="B115" s="153" t="s">
        <v>1792</v>
      </c>
      <c r="C115" s="685" t="s">
        <v>806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5368.48</v>
      </c>
      <c r="M115" s="1149">
        <v>2128</v>
      </c>
      <c r="N115" s="468">
        <v>25</v>
      </c>
      <c r="O115" s="468">
        <f t="shared" si="17"/>
        <v>9530.48</v>
      </c>
      <c r="P115" s="468">
        <f t="shared" si="18"/>
        <v>60469.520000000004</v>
      </c>
    </row>
    <row r="116" spans="2:16" ht="21" customHeight="1" x14ac:dyDescent="0.25">
      <c r="B116" s="286" t="s">
        <v>1295</v>
      </c>
      <c r="C116" s="685" t="s">
        <v>1296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5025.38</v>
      </c>
      <c r="M116" s="1149">
        <v>2128</v>
      </c>
      <c r="N116" s="468">
        <v>1740.46</v>
      </c>
      <c r="O116" s="468">
        <f t="shared" si="17"/>
        <v>10902.84</v>
      </c>
      <c r="P116" s="468">
        <f t="shared" si="18"/>
        <v>59097.16</v>
      </c>
    </row>
    <row r="117" spans="2:16" ht="21" customHeight="1" x14ac:dyDescent="0.25">
      <c r="B117" s="286" t="s">
        <v>1293</v>
      </c>
      <c r="C117" s="685" t="s">
        <v>807</v>
      </c>
      <c r="D117" s="282" t="s">
        <v>1294</v>
      </c>
      <c r="E117" s="281" t="s">
        <v>1063</v>
      </c>
      <c r="F117" s="1084">
        <v>45870</v>
      </c>
      <c r="G117" s="1084">
        <v>46023</v>
      </c>
      <c r="H117" s="626">
        <v>55000</v>
      </c>
      <c r="I117" s="1169">
        <v>0</v>
      </c>
      <c r="J117" s="468">
        <v>55000</v>
      </c>
      <c r="K117" s="468">
        <v>1578.5</v>
      </c>
      <c r="L117" s="468">
        <v>2559.6799999999998</v>
      </c>
      <c r="M117" s="1149">
        <v>1672</v>
      </c>
      <c r="N117" s="468">
        <v>25</v>
      </c>
      <c r="O117" s="468">
        <f t="shared" si="17"/>
        <v>5835.18</v>
      </c>
      <c r="P117" s="468">
        <f t="shared" si="18"/>
        <v>49164.82</v>
      </c>
    </row>
    <row r="118" spans="2:16" ht="21" customHeight="1" x14ac:dyDescent="0.25">
      <c r="B118" s="466" t="s">
        <v>813</v>
      </c>
      <c r="C118" s="569"/>
      <c r="D118" s="492">
        <v>7</v>
      </c>
      <c r="E118" s="465"/>
      <c r="F118" s="1016"/>
      <c r="G118" s="860"/>
      <c r="H118" s="695">
        <f>SUM(H111:H117)</f>
        <v>525000</v>
      </c>
      <c r="I118" s="1144">
        <f t="shared" ref="I118" si="19">SUM(I117)</f>
        <v>0</v>
      </c>
      <c r="J118" s="695">
        <f>SUM(J111:J117)</f>
        <v>525000</v>
      </c>
      <c r="K118" s="695">
        <f t="shared" ref="K118:P118" si="20">SUM(K111:K117)</f>
        <v>15067.5</v>
      </c>
      <c r="L118" s="695">
        <f t="shared" si="20"/>
        <v>45868.849999999991</v>
      </c>
      <c r="M118" s="695">
        <f t="shared" si="20"/>
        <v>15960</v>
      </c>
      <c r="N118" s="695">
        <f t="shared" si="20"/>
        <v>3162.16</v>
      </c>
      <c r="O118" s="695">
        <f t="shared" si="20"/>
        <v>80058.50999999998</v>
      </c>
      <c r="P118" s="695">
        <f t="shared" si="20"/>
        <v>444941.49000000005</v>
      </c>
    </row>
    <row r="119" spans="2:16" ht="21" customHeight="1" x14ac:dyDescent="0.25">
      <c r="B119" s="490"/>
      <c r="C119" s="1223"/>
      <c r="D119" s="492"/>
      <c r="E119" s="465"/>
      <c r="F119" s="856"/>
      <c r="G119" s="857"/>
      <c r="H119" s="695"/>
      <c r="I119" s="1112"/>
      <c r="J119" s="463"/>
      <c r="K119" s="463"/>
      <c r="L119" s="463"/>
      <c r="M119" s="1145"/>
      <c r="N119" s="697"/>
      <c r="O119" s="697"/>
      <c r="P119" s="463"/>
    </row>
    <row r="120" spans="2:16" ht="30" customHeight="1" x14ac:dyDescent="0.25">
      <c r="B120" s="1014" t="s">
        <v>1476</v>
      </c>
      <c r="C120" s="570"/>
      <c r="D120" s="492"/>
      <c r="E120" s="465"/>
      <c r="F120" s="1019"/>
      <c r="G120" s="857"/>
      <c r="H120" s="695"/>
      <c r="I120" s="1144"/>
      <c r="J120" s="697"/>
      <c r="K120" s="697"/>
      <c r="L120" s="697"/>
      <c r="M120" s="1145"/>
      <c r="N120" s="697"/>
      <c r="O120" s="697"/>
      <c r="P120" s="697"/>
    </row>
    <row r="121" spans="2:16" ht="28.5" customHeight="1" x14ac:dyDescent="0.25">
      <c r="B121" s="153" t="s">
        <v>1754</v>
      </c>
      <c r="C121" s="684" t="s">
        <v>807</v>
      </c>
      <c r="D121" s="749" t="s">
        <v>1755</v>
      </c>
      <c r="E121" s="282" t="s">
        <v>1281</v>
      </c>
      <c r="F121" s="855">
        <v>45809</v>
      </c>
      <c r="G121" s="855">
        <v>45992</v>
      </c>
      <c r="H121" s="626">
        <v>120000</v>
      </c>
      <c r="I121" s="1111">
        <v>0</v>
      </c>
      <c r="J121" s="498">
        <v>120000</v>
      </c>
      <c r="K121" s="498">
        <v>3444</v>
      </c>
      <c r="L121" s="498">
        <v>16809.87</v>
      </c>
      <c r="M121" s="1149">
        <v>3648</v>
      </c>
      <c r="N121" s="626">
        <v>2568.4</v>
      </c>
      <c r="O121" s="468">
        <f>+K121+L121+M121+N121</f>
        <v>26470.27</v>
      </c>
      <c r="P121" s="457">
        <f>+J121-O121</f>
        <v>93529.73</v>
      </c>
    </row>
    <row r="122" spans="2:16" ht="28.5" customHeight="1" x14ac:dyDescent="0.25">
      <c r="B122" s="466" t="s">
        <v>813</v>
      </c>
      <c r="C122" s="684"/>
      <c r="D122" s="492">
        <v>1</v>
      </c>
      <c r="E122" s="282"/>
      <c r="F122" s="855"/>
      <c r="G122" s="855"/>
      <c r="H122" s="695">
        <f>SUM(H120:H121)</f>
        <v>120000</v>
      </c>
      <c r="I122" s="1112">
        <v>0</v>
      </c>
      <c r="J122" s="695">
        <f t="shared" ref="J122:O122" si="21">SUM(J120:J121)</f>
        <v>120000</v>
      </c>
      <c r="K122" s="695">
        <f t="shared" si="21"/>
        <v>3444</v>
      </c>
      <c r="L122" s="695">
        <f t="shared" si="21"/>
        <v>16809.87</v>
      </c>
      <c r="M122" s="695">
        <f t="shared" si="21"/>
        <v>3648</v>
      </c>
      <c r="N122" s="695">
        <f>SUM(N120:N121)</f>
        <v>2568.4</v>
      </c>
      <c r="O122" s="695">
        <f t="shared" si="21"/>
        <v>26470.27</v>
      </c>
      <c r="P122" s="695">
        <f>SUM(P120:P121)</f>
        <v>93529.73</v>
      </c>
    </row>
    <row r="123" spans="2:16" ht="21" customHeight="1" x14ac:dyDescent="0.25">
      <c r="B123" s="490"/>
      <c r="C123" s="1223"/>
      <c r="D123" s="492"/>
      <c r="E123" s="465"/>
      <c r="F123" s="859"/>
      <c r="G123" s="860"/>
      <c r="H123" s="695"/>
      <c r="I123" s="1112"/>
      <c r="J123" s="494"/>
      <c r="K123" s="494"/>
      <c r="L123" s="494"/>
      <c r="M123" s="1145"/>
      <c r="N123" s="695"/>
      <c r="O123" s="695"/>
      <c r="P123" s="494"/>
    </row>
    <row r="124" spans="2:16" ht="21" customHeight="1" x14ac:dyDescent="0.25">
      <c r="B124" s="466" t="s">
        <v>827</v>
      </c>
      <c r="C124" s="569"/>
      <c r="D124" s="49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697"/>
    </row>
    <row r="125" spans="2:16" ht="21" customHeight="1" x14ac:dyDescent="0.25">
      <c r="B125" s="490" t="s">
        <v>1788</v>
      </c>
      <c r="C125" s="1223"/>
      <c r="D125" s="492"/>
      <c r="E125" s="465"/>
      <c r="F125" s="710"/>
      <c r="G125" s="711"/>
      <c r="H125" s="695"/>
      <c r="I125" s="1112"/>
      <c r="J125" s="463"/>
      <c r="K125" s="463"/>
      <c r="L125" s="463"/>
      <c r="M125" s="1145"/>
      <c r="N125" s="697"/>
      <c r="O125" s="697"/>
      <c r="P125" s="463"/>
    </row>
    <row r="126" spans="2:16" ht="30" customHeight="1" x14ac:dyDescent="0.25">
      <c r="B126" s="153" t="s">
        <v>1602</v>
      </c>
      <c r="C126" s="281" t="s">
        <v>807</v>
      </c>
      <c r="D126" s="282" t="s">
        <v>1032</v>
      </c>
      <c r="E126" s="281" t="s">
        <v>1063</v>
      </c>
      <c r="F126" s="855">
        <v>45931</v>
      </c>
      <c r="G126" s="855">
        <v>46082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5368.48</v>
      </c>
      <c r="M126" s="1149">
        <v>2128</v>
      </c>
      <c r="N126" s="468">
        <v>25</v>
      </c>
      <c r="O126" s="468">
        <f>+K126+L126+M126+N126</f>
        <v>9530.48</v>
      </c>
      <c r="P126" s="468">
        <f>+J126-O126</f>
        <v>60469.520000000004</v>
      </c>
    </row>
    <row r="127" spans="2:16" ht="30" customHeight="1" x14ac:dyDescent="0.25">
      <c r="B127" s="153" t="s">
        <v>1613</v>
      </c>
      <c r="C127" s="281" t="s">
        <v>807</v>
      </c>
      <c r="D127" s="282" t="s">
        <v>417</v>
      </c>
      <c r="E127" s="281" t="s">
        <v>1063</v>
      </c>
      <c r="F127" s="855">
        <v>45931</v>
      </c>
      <c r="G127" s="855">
        <v>46082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4682.29</v>
      </c>
      <c r="M127" s="1149">
        <v>2128</v>
      </c>
      <c r="N127" s="468">
        <v>3455.92</v>
      </c>
      <c r="O127" s="468">
        <f>+K127+L127+M127+N127</f>
        <v>12275.210000000001</v>
      </c>
      <c r="P127" s="468">
        <f>+J127-O127</f>
        <v>57724.79</v>
      </c>
    </row>
    <row r="128" spans="2:16" ht="30" customHeight="1" x14ac:dyDescent="0.25">
      <c r="B128" s="153" t="s">
        <v>1606</v>
      </c>
      <c r="C128" s="281" t="s">
        <v>807</v>
      </c>
      <c r="D128" s="282" t="s">
        <v>414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861">
        <v>5025.38</v>
      </c>
      <c r="M128" s="1149">
        <v>2128</v>
      </c>
      <c r="N128" s="468">
        <v>1740.46</v>
      </c>
      <c r="O128" s="468">
        <f t="shared" ref="O128:O133" si="22">+K128+L128+M128+N128</f>
        <v>10902.84</v>
      </c>
      <c r="P128" s="468">
        <f t="shared" ref="P128:P135" si="23">+J128-O128</f>
        <v>59097.16</v>
      </c>
    </row>
    <row r="129" spans="2:16" ht="30" customHeight="1" x14ac:dyDescent="0.25">
      <c r="B129" s="286" t="s">
        <v>725</v>
      </c>
      <c r="C129" s="281" t="s">
        <v>806</v>
      </c>
      <c r="D129" s="282" t="s">
        <v>823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5368.48</v>
      </c>
      <c r="M129" s="1149">
        <v>2128</v>
      </c>
      <c r="N129" s="468">
        <v>25</v>
      </c>
      <c r="O129" s="468">
        <f t="shared" si="22"/>
        <v>9530.48</v>
      </c>
      <c r="P129" s="468">
        <f t="shared" si="23"/>
        <v>60469.520000000004</v>
      </c>
    </row>
    <row r="130" spans="2:16" ht="30" customHeight="1" x14ac:dyDescent="0.25">
      <c r="B130" s="153" t="s">
        <v>1735</v>
      </c>
      <c r="C130" s="281" t="s">
        <v>806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22"/>
        <v>9530.48</v>
      </c>
      <c r="P130" s="468">
        <f t="shared" si="23"/>
        <v>60469.520000000004</v>
      </c>
    </row>
    <row r="131" spans="2:16" ht="30" customHeight="1" x14ac:dyDescent="0.25">
      <c r="B131" s="153" t="s">
        <v>1609</v>
      </c>
      <c r="C131" s="281" t="s">
        <v>807</v>
      </c>
      <c r="D131" s="282" t="s">
        <v>414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2"/>
        <v>9530.48</v>
      </c>
      <c r="P131" s="468">
        <f t="shared" si="23"/>
        <v>60469.520000000004</v>
      </c>
    </row>
    <row r="132" spans="2:16" ht="30" customHeight="1" x14ac:dyDescent="0.25">
      <c r="B132" s="286" t="s">
        <v>1409</v>
      </c>
      <c r="C132" s="281" t="s">
        <v>807</v>
      </c>
      <c r="D132" s="282" t="s">
        <v>414</v>
      </c>
      <c r="E132" s="281" t="s">
        <v>1063</v>
      </c>
      <c r="F132" s="855">
        <v>45839</v>
      </c>
      <c r="G132" s="855">
        <v>45992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2"/>
        <v>9530.48</v>
      </c>
      <c r="P132" s="468">
        <f t="shared" si="23"/>
        <v>60469.520000000004</v>
      </c>
    </row>
    <row r="133" spans="2:16" ht="30" customHeight="1" x14ac:dyDescent="0.25">
      <c r="B133" s="286" t="s">
        <v>1787</v>
      </c>
      <c r="C133" s="281" t="s">
        <v>806</v>
      </c>
      <c r="D133" s="282" t="s">
        <v>823</v>
      </c>
      <c r="E133" s="281" t="s">
        <v>1063</v>
      </c>
      <c r="F133" s="855">
        <v>45839</v>
      </c>
      <c r="G133" s="855">
        <v>45992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22"/>
        <v>9530.48</v>
      </c>
      <c r="P133" s="468">
        <f t="shared" si="23"/>
        <v>60469.520000000004</v>
      </c>
    </row>
    <row r="134" spans="2:16" ht="30" customHeight="1" x14ac:dyDescent="0.25">
      <c r="B134" s="153" t="s">
        <v>1622</v>
      </c>
      <c r="C134" s="281" t="s">
        <v>806</v>
      </c>
      <c r="D134" s="282" t="s">
        <v>1357</v>
      </c>
      <c r="E134" s="281" t="s">
        <v>1063</v>
      </c>
      <c r="F134" s="855">
        <v>45748</v>
      </c>
      <c r="G134" s="855">
        <v>45901</v>
      </c>
      <c r="H134" s="626">
        <v>125000</v>
      </c>
      <c r="I134" s="1169">
        <v>0</v>
      </c>
      <c r="J134" s="468">
        <v>125000</v>
      </c>
      <c r="K134" s="1038">
        <v>3587.5</v>
      </c>
      <c r="L134" s="1037">
        <v>17985.990000000002</v>
      </c>
      <c r="M134" s="1150">
        <v>3800</v>
      </c>
      <c r="N134" s="1038">
        <v>25</v>
      </c>
      <c r="O134" s="468">
        <f>+K134+L134+M134+N134</f>
        <v>25398.49</v>
      </c>
      <c r="P134" s="468">
        <f t="shared" si="23"/>
        <v>99601.51</v>
      </c>
    </row>
    <row r="135" spans="2:16" ht="30" customHeight="1" x14ac:dyDescent="0.25">
      <c r="B135" s="153" t="s">
        <v>1624</v>
      </c>
      <c r="C135" s="281" t="s">
        <v>806</v>
      </c>
      <c r="D135" s="282" t="s">
        <v>1683</v>
      </c>
      <c r="E135" s="281" t="s">
        <v>1063</v>
      </c>
      <c r="F135" s="855">
        <v>45931</v>
      </c>
      <c r="G135" s="855">
        <v>46082</v>
      </c>
      <c r="H135" s="626">
        <v>55000</v>
      </c>
      <c r="I135" s="1169">
        <v>0</v>
      </c>
      <c r="J135" s="468">
        <v>55000</v>
      </c>
      <c r="K135" s="468">
        <v>1578.5</v>
      </c>
      <c r="L135" s="468">
        <v>2302.36</v>
      </c>
      <c r="M135" s="1149">
        <v>1672</v>
      </c>
      <c r="N135" s="468">
        <v>1740.46</v>
      </c>
      <c r="O135" s="468">
        <f t="shared" ref="O135" si="24">+K135+L135+M135+N135</f>
        <v>7293.3200000000006</v>
      </c>
      <c r="P135" s="468">
        <f t="shared" si="23"/>
        <v>47706.68</v>
      </c>
    </row>
    <row r="136" spans="2:16" ht="21" customHeight="1" x14ac:dyDescent="0.25">
      <c r="B136" s="466" t="s">
        <v>813</v>
      </c>
      <c r="C136" s="569"/>
      <c r="D136" s="492">
        <v>10</v>
      </c>
      <c r="E136" s="465"/>
      <c r="F136" s="1016"/>
      <c r="G136" s="860"/>
      <c r="H136" s="695">
        <f>SUM(H126:H135)</f>
        <v>740000</v>
      </c>
      <c r="I136" s="1144">
        <v>0</v>
      </c>
      <c r="J136" s="695">
        <f t="shared" ref="J136:P136" si="25">SUM(J126:J135)</f>
        <v>740000</v>
      </c>
      <c r="K136" s="695">
        <f t="shared" si="25"/>
        <v>21238</v>
      </c>
      <c r="L136" s="695">
        <f t="shared" si="25"/>
        <v>62206.900000000009</v>
      </c>
      <c r="M136" s="695">
        <f t="shared" si="25"/>
        <v>22496</v>
      </c>
      <c r="N136" s="695">
        <f t="shared" si="25"/>
        <v>7111.84</v>
      </c>
      <c r="O136" s="695">
        <f t="shared" si="25"/>
        <v>113052.74</v>
      </c>
      <c r="P136" s="695">
        <f t="shared" si="25"/>
        <v>626947.26000000013</v>
      </c>
    </row>
    <row r="137" spans="2:16" ht="28.5" customHeight="1" x14ac:dyDescent="0.25">
      <c r="B137" s="286"/>
      <c r="C137" s="569"/>
      <c r="D137" s="282"/>
      <c r="E137" s="465"/>
      <c r="F137" s="1272"/>
      <c r="G137" s="711"/>
      <c r="H137" s="695"/>
      <c r="I137" s="1144"/>
      <c r="J137" s="697"/>
      <c r="K137" s="697"/>
      <c r="L137" s="697"/>
      <c r="M137" s="1145"/>
      <c r="N137" s="697"/>
      <c r="O137" s="697"/>
      <c r="P137" s="697"/>
    </row>
    <row r="138" spans="2:16" ht="28.5" customHeight="1" x14ac:dyDescent="0.25">
      <c r="B138" s="1014" t="s">
        <v>1804</v>
      </c>
      <c r="C138" s="569"/>
      <c r="D138" s="282"/>
      <c r="E138" s="465"/>
      <c r="F138" s="1272"/>
      <c r="G138" s="711"/>
      <c r="H138" s="695"/>
      <c r="I138" s="1144"/>
      <c r="J138" s="697"/>
      <c r="K138" s="697"/>
      <c r="L138" s="697"/>
      <c r="M138" s="1145"/>
      <c r="N138" s="697"/>
      <c r="O138" s="697"/>
      <c r="P138" s="697"/>
    </row>
    <row r="139" spans="2:16" ht="28.5" customHeight="1" x14ac:dyDescent="0.25">
      <c r="B139" s="153" t="s">
        <v>1087</v>
      </c>
      <c r="C139" s="680" t="s">
        <v>807</v>
      </c>
      <c r="D139" s="282" t="s">
        <v>414</v>
      </c>
      <c r="E139" s="281" t="s">
        <v>1063</v>
      </c>
      <c r="F139" s="855">
        <v>45931</v>
      </c>
      <c r="G139" s="855">
        <v>46082</v>
      </c>
      <c r="H139" s="626">
        <v>70000</v>
      </c>
      <c r="I139" s="1169">
        <v>0</v>
      </c>
      <c r="J139" s="628">
        <v>70000</v>
      </c>
      <c r="K139" s="628">
        <v>2009</v>
      </c>
      <c r="L139" s="628">
        <v>5368.48</v>
      </c>
      <c r="M139" s="1149">
        <v>2128</v>
      </c>
      <c r="N139" s="628">
        <v>25</v>
      </c>
      <c r="O139" s="628">
        <f t="shared" ref="O139:O145" si="26">+K139+L139+M139+N139</f>
        <v>9530.48</v>
      </c>
      <c r="P139" s="628">
        <f t="shared" ref="P139:P143" si="27">+J139-O139</f>
        <v>60469.520000000004</v>
      </c>
    </row>
    <row r="140" spans="2:16" ht="28.5" customHeight="1" x14ac:dyDescent="0.25">
      <c r="B140" s="153" t="s">
        <v>1603</v>
      </c>
      <c r="C140" s="281" t="s">
        <v>806</v>
      </c>
      <c r="D140" s="282" t="s">
        <v>489</v>
      </c>
      <c r="E140" s="281" t="s">
        <v>1063</v>
      </c>
      <c r="F140" s="855">
        <v>45931</v>
      </c>
      <c r="G140" s="855">
        <v>46082</v>
      </c>
      <c r="H140" s="626">
        <v>70000</v>
      </c>
      <c r="I140" s="1169">
        <v>0</v>
      </c>
      <c r="J140" s="628">
        <v>70000</v>
      </c>
      <c r="K140" s="628">
        <v>2009</v>
      </c>
      <c r="L140" s="628">
        <v>5368.48</v>
      </c>
      <c r="M140" s="1149">
        <v>2128</v>
      </c>
      <c r="N140" s="628">
        <v>25</v>
      </c>
      <c r="O140" s="628">
        <f t="shared" si="26"/>
        <v>9530.48</v>
      </c>
      <c r="P140" s="628">
        <f t="shared" si="27"/>
        <v>60469.520000000004</v>
      </c>
    </row>
    <row r="141" spans="2:16" ht="28.5" customHeight="1" x14ac:dyDescent="0.25">
      <c r="B141" s="153" t="s">
        <v>1618</v>
      </c>
      <c r="C141" s="281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si="26"/>
        <v>9530.48</v>
      </c>
      <c r="P141" s="628">
        <f t="shared" si="27"/>
        <v>60469.520000000004</v>
      </c>
    </row>
    <row r="142" spans="2:16" ht="28.5" customHeight="1" x14ac:dyDescent="0.25">
      <c r="B142" s="153" t="s">
        <v>1612</v>
      </c>
      <c r="C142" s="281" t="s">
        <v>1296</v>
      </c>
      <c r="D142" s="282" t="s">
        <v>417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6"/>
        <v>9530.48</v>
      </c>
      <c r="P142" s="628">
        <f t="shared" si="27"/>
        <v>60469.520000000004</v>
      </c>
    </row>
    <row r="143" spans="2:16" ht="28.5" customHeight="1" x14ac:dyDescent="0.25">
      <c r="B143" s="153" t="s">
        <v>1619</v>
      </c>
      <c r="C143" s="281" t="s">
        <v>806</v>
      </c>
      <c r="D143" s="282" t="s">
        <v>823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5025.38</v>
      </c>
      <c r="M143" s="1149">
        <v>2128</v>
      </c>
      <c r="N143" s="628">
        <v>1740.46</v>
      </c>
      <c r="O143" s="628">
        <f t="shared" si="26"/>
        <v>10902.84</v>
      </c>
      <c r="P143" s="628">
        <f t="shared" si="27"/>
        <v>59097.16</v>
      </c>
    </row>
    <row r="144" spans="2:16" ht="28.5" customHeight="1" x14ac:dyDescent="0.25">
      <c r="B144" s="153" t="s">
        <v>1626</v>
      </c>
      <c r="C144" s="281" t="s">
        <v>1296</v>
      </c>
      <c r="D144" s="282" t="s">
        <v>1637</v>
      </c>
      <c r="E144" s="281" t="s">
        <v>1063</v>
      </c>
      <c r="F144" s="855">
        <v>45931</v>
      </c>
      <c r="G144" s="855">
        <v>46082</v>
      </c>
      <c r="H144" s="626">
        <v>43500</v>
      </c>
      <c r="I144" s="1169">
        <v>0</v>
      </c>
      <c r="J144" s="628">
        <v>43500</v>
      </c>
      <c r="K144" s="628">
        <v>1248.45</v>
      </c>
      <c r="L144" s="628">
        <v>936.62</v>
      </c>
      <c r="M144" s="1149">
        <v>1322.4</v>
      </c>
      <c r="N144" s="628">
        <v>25</v>
      </c>
      <c r="O144" s="628">
        <f>+K144+L144+M144+N144</f>
        <v>3532.4700000000003</v>
      </c>
      <c r="P144" s="628">
        <f>+J144-O144</f>
        <v>39967.53</v>
      </c>
    </row>
    <row r="145" spans="2:16" ht="28.5" customHeight="1" x14ac:dyDescent="0.25">
      <c r="B145" s="153" t="s">
        <v>1627</v>
      </c>
      <c r="C145" s="281" t="s">
        <v>806</v>
      </c>
      <c r="D145" s="282" t="s">
        <v>105</v>
      </c>
      <c r="E145" s="281" t="s">
        <v>1063</v>
      </c>
      <c r="F145" s="855">
        <v>45839</v>
      </c>
      <c r="G145" s="855">
        <v>45992</v>
      </c>
      <c r="H145" s="626">
        <v>25000</v>
      </c>
      <c r="I145" s="1169">
        <v>0</v>
      </c>
      <c r="J145" s="628">
        <v>25000</v>
      </c>
      <c r="K145" s="628">
        <v>717.5</v>
      </c>
      <c r="L145" s="627">
        <v>0</v>
      </c>
      <c r="M145" s="1149">
        <v>760</v>
      </c>
      <c r="N145" s="628">
        <v>25</v>
      </c>
      <c r="O145" s="628">
        <f t="shared" si="26"/>
        <v>1502.5</v>
      </c>
      <c r="P145" s="628">
        <f>+J145-O145</f>
        <v>23497.5</v>
      </c>
    </row>
    <row r="146" spans="2:16" ht="21" customHeight="1" x14ac:dyDescent="0.25">
      <c r="B146" s="466" t="s">
        <v>813</v>
      </c>
      <c r="C146" s="569"/>
      <c r="D146" s="492">
        <v>7</v>
      </c>
      <c r="E146" s="465"/>
      <c r="F146" s="1016"/>
      <c r="G146" s="860"/>
      <c r="H146" s="695">
        <f>SUM(H139:H145)</f>
        <v>418500</v>
      </c>
      <c r="I146" s="1144">
        <v>0</v>
      </c>
      <c r="J146" s="695">
        <f t="shared" ref="J146:P146" si="28">SUM(J139:J145)</f>
        <v>418500</v>
      </c>
      <c r="K146" s="695">
        <f t="shared" si="28"/>
        <v>12010.95</v>
      </c>
      <c r="L146" s="695">
        <f t="shared" si="28"/>
        <v>27435.919999999998</v>
      </c>
      <c r="M146" s="695">
        <f t="shared" si="28"/>
        <v>12722.4</v>
      </c>
      <c r="N146" s="695">
        <f t="shared" si="28"/>
        <v>1890.46</v>
      </c>
      <c r="O146" s="695">
        <f t="shared" si="28"/>
        <v>54059.729999999996</v>
      </c>
      <c r="P146" s="695">
        <f t="shared" si="28"/>
        <v>364440.27</v>
      </c>
    </row>
    <row r="147" spans="2:16" ht="25.5" customHeight="1" x14ac:dyDescent="0.25">
      <c r="B147" s="466"/>
      <c r="C147" s="569"/>
      <c r="D147" s="49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466" t="s">
        <v>1789</v>
      </c>
      <c r="C148" s="569"/>
      <c r="D148" s="492"/>
      <c r="E148" s="465"/>
      <c r="F148" s="1272"/>
      <c r="G148" s="711"/>
      <c r="H148" s="695"/>
      <c r="I148" s="1144"/>
      <c r="J148" s="697"/>
      <c r="K148" s="697"/>
      <c r="L148" s="697"/>
      <c r="M148" s="1145"/>
      <c r="N148" s="697"/>
      <c r="O148" s="697"/>
      <c r="P148" s="697"/>
    </row>
    <row r="149" spans="2:16" ht="28.5" customHeight="1" x14ac:dyDescent="0.25">
      <c r="B149" s="153" t="s">
        <v>1601</v>
      </c>
      <c r="C149" s="497" t="s">
        <v>806</v>
      </c>
      <c r="D149" s="749" t="s">
        <v>1782</v>
      </c>
      <c r="E149" s="282" t="s">
        <v>1063</v>
      </c>
      <c r="F149" s="855">
        <v>45931</v>
      </c>
      <c r="G149" s="855">
        <v>46082</v>
      </c>
      <c r="H149" s="626">
        <v>120000</v>
      </c>
      <c r="I149" s="1111">
        <v>0</v>
      </c>
      <c r="J149" s="498">
        <v>120000</v>
      </c>
      <c r="K149" s="498">
        <v>3444</v>
      </c>
      <c r="L149" s="498">
        <v>16381</v>
      </c>
      <c r="M149" s="1149">
        <v>3648</v>
      </c>
      <c r="N149" s="626">
        <v>1740.46</v>
      </c>
      <c r="O149" s="468">
        <f>+K149+L149+M149+N149</f>
        <v>25213.46</v>
      </c>
      <c r="P149" s="457">
        <f>+J149-O149</f>
        <v>94786.540000000008</v>
      </c>
    </row>
    <row r="150" spans="2:16" ht="28.5" customHeight="1" x14ac:dyDescent="0.25">
      <c r="B150" s="153" t="s">
        <v>1607</v>
      </c>
      <c r="C150" s="281" t="s">
        <v>807</v>
      </c>
      <c r="D150" s="282" t="s">
        <v>414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5368.48</v>
      </c>
      <c r="M150" s="1149">
        <v>2128</v>
      </c>
      <c r="N150" s="468">
        <v>25</v>
      </c>
      <c r="O150" s="468">
        <f t="shared" ref="O150:O155" si="29">+K150+L150+M150+N150</f>
        <v>9530.48</v>
      </c>
      <c r="P150" s="468">
        <f t="shared" ref="P150:P155" si="30">+J150-O150</f>
        <v>60469.520000000004</v>
      </c>
    </row>
    <row r="151" spans="2:16" ht="28.5" customHeight="1" x14ac:dyDescent="0.25">
      <c r="B151" s="153" t="s">
        <v>1608</v>
      </c>
      <c r="C151" s="281" t="s">
        <v>807</v>
      </c>
      <c r="D151" s="282" t="s">
        <v>417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468">
        <v>70000</v>
      </c>
      <c r="K151" s="468">
        <v>2009</v>
      </c>
      <c r="L151" s="468">
        <v>5368.48</v>
      </c>
      <c r="M151" s="1149">
        <v>2128</v>
      </c>
      <c r="N151" s="468">
        <v>25</v>
      </c>
      <c r="O151" s="468">
        <f t="shared" si="29"/>
        <v>9530.48</v>
      </c>
      <c r="P151" s="468">
        <f t="shared" si="30"/>
        <v>60469.520000000004</v>
      </c>
    </row>
    <row r="152" spans="2:16" ht="28.5" customHeight="1" x14ac:dyDescent="0.25">
      <c r="B152" s="153" t="s">
        <v>1614</v>
      </c>
      <c r="C152" s="281" t="s">
        <v>806</v>
      </c>
      <c r="D152" s="282" t="s">
        <v>417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si="29"/>
        <v>9530.48</v>
      </c>
      <c r="P152" s="468">
        <f t="shared" si="30"/>
        <v>60469.520000000004</v>
      </c>
    </row>
    <row r="153" spans="2:16" ht="28.5" customHeight="1" x14ac:dyDescent="0.25">
      <c r="B153" s="153" t="s">
        <v>1617</v>
      </c>
      <c r="C153" s="281" t="s">
        <v>807</v>
      </c>
      <c r="D153" s="282" t="s">
        <v>414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9"/>
        <v>9530.48</v>
      </c>
      <c r="P153" s="468">
        <f t="shared" si="30"/>
        <v>60469.520000000004</v>
      </c>
    </row>
    <row r="154" spans="2:16" ht="28.5" customHeight="1" x14ac:dyDescent="0.25">
      <c r="B154" s="153" t="s">
        <v>1363</v>
      </c>
      <c r="C154" s="281" t="s">
        <v>806</v>
      </c>
      <c r="D154" s="282" t="s">
        <v>414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9"/>
        <v>9530.48</v>
      </c>
      <c r="P154" s="468">
        <f t="shared" si="30"/>
        <v>60469.520000000004</v>
      </c>
    </row>
    <row r="155" spans="2:16" ht="28.5" customHeight="1" x14ac:dyDescent="0.25">
      <c r="B155" s="153" t="s">
        <v>1620</v>
      </c>
      <c r="C155" s="281" t="s">
        <v>807</v>
      </c>
      <c r="D155" s="280" t="s">
        <v>417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9"/>
        <v>9530.48</v>
      </c>
      <c r="P155" s="468">
        <f t="shared" si="30"/>
        <v>60469.520000000004</v>
      </c>
    </row>
    <row r="156" spans="2:16" ht="28.5" customHeight="1" x14ac:dyDescent="0.25">
      <c r="B156" s="286" t="s">
        <v>1299</v>
      </c>
      <c r="C156" s="281" t="s">
        <v>1296</v>
      </c>
      <c r="D156" s="282" t="s">
        <v>1636</v>
      </c>
      <c r="E156" s="281" t="s">
        <v>1063</v>
      </c>
      <c r="F156" s="855">
        <v>45931</v>
      </c>
      <c r="G156" s="855">
        <v>46082</v>
      </c>
      <c r="H156" s="626">
        <v>43500</v>
      </c>
      <c r="I156" s="1169">
        <v>0</v>
      </c>
      <c r="J156" s="468">
        <v>43500</v>
      </c>
      <c r="K156" s="468">
        <v>1248.45</v>
      </c>
      <c r="L156" s="468">
        <v>936.62</v>
      </c>
      <c r="M156" s="1149">
        <v>1322.4</v>
      </c>
      <c r="N156" s="468">
        <v>25</v>
      </c>
      <c r="O156" s="468">
        <f>+K156+L156+M156+N156</f>
        <v>3532.4700000000003</v>
      </c>
      <c r="P156" s="468">
        <f>+J156-O156</f>
        <v>39967.53</v>
      </c>
    </row>
    <row r="157" spans="2:16" ht="28.5" customHeight="1" x14ac:dyDescent="0.25">
      <c r="B157" s="153" t="s">
        <v>1623</v>
      </c>
      <c r="C157" s="281" t="s">
        <v>806</v>
      </c>
      <c r="D157" s="282" t="s">
        <v>529</v>
      </c>
      <c r="E157" s="281" t="s">
        <v>1063</v>
      </c>
      <c r="F157" s="855">
        <v>45931</v>
      </c>
      <c r="G157" s="855">
        <v>46082</v>
      </c>
      <c r="H157" s="626">
        <v>55000</v>
      </c>
      <c r="I157" s="1169">
        <v>0</v>
      </c>
      <c r="J157" s="468">
        <v>55000</v>
      </c>
      <c r="K157" s="468">
        <v>1578.5</v>
      </c>
      <c r="L157" s="468">
        <v>2559.6799999999998</v>
      </c>
      <c r="M157" s="1149">
        <v>1672</v>
      </c>
      <c r="N157" s="468">
        <v>25</v>
      </c>
      <c r="O157" s="468">
        <f>+K157+L157+M157+N157</f>
        <v>5835.18</v>
      </c>
      <c r="P157" s="468">
        <f>+J157-O157</f>
        <v>49164.82</v>
      </c>
    </row>
    <row r="158" spans="2:16" ht="21" customHeight="1" x14ac:dyDescent="0.25">
      <c r="B158" s="466" t="s">
        <v>813</v>
      </c>
      <c r="C158" s="569"/>
      <c r="D158" s="492">
        <v>9</v>
      </c>
      <c r="E158" s="465"/>
      <c r="F158" s="1016"/>
      <c r="G158" s="860"/>
      <c r="H158" s="695">
        <f>SUM(H149:H157)</f>
        <v>638500</v>
      </c>
      <c r="I158" s="1144">
        <v>0</v>
      </c>
      <c r="J158" s="695">
        <f t="shared" ref="J158:P158" si="31">SUM(J149:J157)</f>
        <v>638500</v>
      </c>
      <c r="K158" s="695">
        <f t="shared" si="31"/>
        <v>18324.95</v>
      </c>
      <c r="L158" s="695">
        <f t="shared" si="31"/>
        <v>52088.179999999993</v>
      </c>
      <c r="M158" s="695">
        <f t="shared" si="31"/>
        <v>19410.400000000001</v>
      </c>
      <c r="N158" s="695">
        <f t="shared" si="31"/>
        <v>1940.46</v>
      </c>
      <c r="O158" s="695">
        <f t="shared" si="31"/>
        <v>91763.989999999991</v>
      </c>
      <c r="P158" s="695">
        <f t="shared" si="31"/>
        <v>546736.01</v>
      </c>
    </row>
    <row r="159" spans="2:16" ht="23.25" customHeight="1" x14ac:dyDescent="0.25">
      <c r="B159" s="466"/>
      <c r="C159" s="569"/>
      <c r="D159" s="492"/>
      <c r="E159" s="465"/>
      <c r="F159" s="1272"/>
      <c r="G159" s="711"/>
      <c r="H159" s="695"/>
      <c r="I159" s="1144"/>
      <c r="J159" s="697"/>
      <c r="K159" s="697"/>
      <c r="L159" s="697"/>
      <c r="M159" s="1145"/>
      <c r="N159" s="697"/>
      <c r="O159" s="697"/>
      <c r="P159" s="697"/>
    </row>
    <row r="160" spans="2:16" ht="28.5" customHeight="1" x14ac:dyDescent="0.25">
      <c r="B160" s="466" t="s">
        <v>1790</v>
      </c>
      <c r="C160" s="569"/>
      <c r="D160" s="492"/>
      <c r="E160" s="465"/>
      <c r="F160" s="1272"/>
      <c r="G160" s="711"/>
      <c r="H160" s="695"/>
      <c r="I160" s="1144"/>
      <c r="J160" s="697"/>
      <c r="K160" s="697"/>
      <c r="L160" s="697"/>
      <c r="M160" s="1145"/>
      <c r="N160" s="697"/>
      <c r="O160" s="697"/>
      <c r="P160" s="697"/>
    </row>
    <row r="161" spans="2:17" ht="24" customHeight="1" x14ac:dyDescent="0.25">
      <c r="B161" s="153" t="s">
        <v>1600</v>
      </c>
      <c r="C161" s="281" t="s">
        <v>806</v>
      </c>
      <c r="D161" s="282" t="s">
        <v>1463</v>
      </c>
      <c r="E161" s="281" t="s">
        <v>1063</v>
      </c>
      <c r="F161" s="855">
        <v>45931</v>
      </c>
      <c r="G161" s="855">
        <v>46082</v>
      </c>
      <c r="H161" s="626">
        <v>120000</v>
      </c>
      <c r="I161" s="1169">
        <v>0</v>
      </c>
      <c r="J161" s="468">
        <v>120000</v>
      </c>
      <c r="K161" s="468">
        <v>3444</v>
      </c>
      <c r="L161" s="468">
        <v>16809.87</v>
      </c>
      <c r="M161" s="1149">
        <v>3648</v>
      </c>
      <c r="N161" s="468">
        <v>25</v>
      </c>
      <c r="O161" s="468">
        <f t="shared" ref="O161:O167" si="32">+K161+L161+M161+N161</f>
        <v>23926.87</v>
      </c>
      <c r="P161" s="468">
        <f t="shared" ref="P161:P167" si="33">+J161-O161</f>
        <v>96073.13</v>
      </c>
    </row>
    <row r="162" spans="2:17" ht="24" customHeight="1" x14ac:dyDescent="0.25">
      <c r="B162" s="153" t="s">
        <v>1604</v>
      </c>
      <c r="C162" s="685" t="s">
        <v>806</v>
      </c>
      <c r="D162" s="282" t="s">
        <v>417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5025.38</v>
      </c>
      <c r="M162" s="1149">
        <v>2128</v>
      </c>
      <c r="N162" s="468">
        <v>1740.46</v>
      </c>
      <c r="O162" s="468">
        <f t="shared" si="32"/>
        <v>10902.84</v>
      </c>
      <c r="P162" s="468">
        <f t="shared" si="33"/>
        <v>59097.16</v>
      </c>
    </row>
    <row r="163" spans="2:17" ht="24" customHeight="1" x14ac:dyDescent="0.25">
      <c r="B163" s="153" t="s">
        <v>1605</v>
      </c>
      <c r="C163" s="685" t="s">
        <v>806</v>
      </c>
      <c r="D163" s="282" t="s">
        <v>1773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4682.29</v>
      </c>
      <c r="M163" s="1149">
        <v>2128</v>
      </c>
      <c r="N163" s="468">
        <v>3455.92</v>
      </c>
      <c r="O163" s="468">
        <f t="shared" si="32"/>
        <v>12275.210000000001</v>
      </c>
      <c r="P163" s="468">
        <f t="shared" si="33"/>
        <v>57724.79</v>
      </c>
    </row>
    <row r="164" spans="2:17" ht="24" customHeight="1" x14ac:dyDescent="0.25">
      <c r="B164" s="153" t="s">
        <v>1611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32"/>
        <v>10902.84</v>
      </c>
      <c r="P164" s="468">
        <f t="shared" si="33"/>
        <v>59097.16</v>
      </c>
    </row>
    <row r="165" spans="2:17" ht="24" customHeight="1" x14ac:dyDescent="0.25">
      <c r="B165" s="153" t="s">
        <v>1610</v>
      </c>
      <c r="C165" s="685" t="s">
        <v>806</v>
      </c>
      <c r="D165" s="282" t="s">
        <v>417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5025.38</v>
      </c>
      <c r="M165" s="1149">
        <v>2128</v>
      </c>
      <c r="N165" s="468">
        <v>1740.46</v>
      </c>
      <c r="O165" s="468">
        <f t="shared" si="32"/>
        <v>10902.84</v>
      </c>
      <c r="P165" s="468">
        <f t="shared" si="33"/>
        <v>59097.16</v>
      </c>
    </row>
    <row r="166" spans="2:17" ht="24" customHeight="1" x14ac:dyDescent="0.25">
      <c r="B166" s="153" t="s">
        <v>1616</v>
      </c>
      <c r="C166" s="685" t="s">
        <v>806</v>
      </c>
      <c r="D166" s="282" t="s">
        <v>414</v>
      </c>
      <c r="E166" s="281" t="s">
        <v>1063</v>
      </c>
      <c r="F166" s="1084">
        <v>45870</v>
      </c>
      <c r="G166" s="1084">
        <v>46023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si="32"/>
        <v>9530.48</v>
      </c>
      <c r="P166" s="468">
        <f t="shared" si="33"/>
        <v>60469.520000000004</v>
      </c>
    </row>
    <row r="167" spans="2:17" ht="24" customHeight="1" x14ac:dyDescent="0.25">
      <c r="B167" s="153" t="s">
        <v>1615</v>
      </c>
      <c r="C167" s="685" t="s">
        <v>1296</v>
      </c>
      <c r="D167" s="282" t="s">
        <v>414</v>
      </c>
      <c r="E167" s="281" t="s">
        <v>1063</v>
      </c>
      <c r="F167" s="1084">
        <v>45870</v>
      </c>
      <c r="G167" s="1084">
        <v>46023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5368.48</v>
      </c>
      <c r="M167" s="1149">
        <v>2128</v>
      </c>
      <c r="N167" s="468">
        <v>25</v>
      </c>
      <c r="O167" s="468">
        <f t="shared" si="32"/>
        <v>9530.48</v>
      </c>
      <c r="P167" s="468">
        <f t="shared" si="33"/>
        <v>60469.520000000004</v>
      </c>
    </row>
    <row r="168" spans="2:17" ht="24" customHeight="1" x14ac:dyDescent="0.25">
      <c r="B168" s="153" t="s">
        <v>1625</v>
      </c>
      <c r="C168" s="685" t="s">
        <v>1296</v>
      </c>
      <c r="D168" s="282" t="s">
        <v>1636</v>
      </c>
      <c r="E168" s="281" t="s">
        <v>1063</v>
      </c>
      <c r="F168" s="1084">
        <v>45870</v>
      </c>
      <c r="G168" s="1084">
        <v>46023</v>
      </c>
      <c r="H168" s="626">
        <v>43500</v>
      </c>
      <c r="I168" s="1169">
        <v>0</v>
      </c>
      <c r="J168" s="468">
        <v>43500</v>
      </c>
      <c r="K168" s="468">
        <v>1248.45</v>
      </c>
      <c r="L168" s="468">
        <v>936.62</v>
      </c>
      <c r="M168" s="1149">
        <v>1322.4</v>
      </c>
      <c r="N168" s="468">
        <v>25</v>
      </c>
      <c r="O168" s="468">
        <f>+K168+L168+M168+N168</f>
        <v>3532.4700000000003</v>
      </c>
      <c r="P168" s="468">
        <f>+J168-O168</f>
        <v>39967.53</v>
      </c>
    </row>
    <row r="169" spans="2:17" ht="21" customHeight="1" x14ac:dyDescent="0.25">
      <c r="B169" s="466" t="s">
        <v>813</v>
      </c>
      <c r="C169" s="569"/>
      <c r="D169" s="492">
        <v>8</v>
      </c>
      <c r="E169" s="465"/>
      <c r="F169" s="1016"/>
      <c r="G169" s="860"/>
      <c r="H169" s="695">
        <f>SUM(H161:H168)</f>
        <v>583500</v>
      </c>
      <c r="I169" s="1144">
        <v>0</v>
      </c>
      <c r="J169" s="695">
        <f t="shared" ref="J169:P169" si="34">SUM(J161:J168)</f>
        <v>583500</v>
      </c>
      <c r="K169" s="695">
        <f t="shared" si="34"/>
        <v>16746.45</v>
      </c>
      <c r="L169" s="695">
        <f t="shared" si="34"/>
        <v>48241.88</v>
      </c>
      <c r="M169" s="695">
        <f t="shared" si="34"/>
        <v>17738.400000000001</v>
      </c>
      <c r="N169" s="695">
        <f t="shared" si="34"/>
        <v>8777.2999999999993</v>
      </c>
      <c r="O169" s="695">
        <f t="shared" si="34"/>
        <v>91504.029999999984</v>
      </c>
      <c r="P169" s="695">
        <f t="shared" si="34"/>
        <v>491995.97000000009</v>
      </c>
    </row>
    <row r="170" spans="2:17" ht="21" customHeight="1" x14ac:dyDescent="0.25">
      <c r="B170" s="466"/>
      <c r="C170" s="569"/>
      <c r="D170" s="492"/>
      <c r="E170" s="465"/>
      <c r="F170" s="1016"/>
      <c r="G170" s="860"/>
      <c r="H170" s="695">
        <f>+H169+H158+H146+H136</f>
        <v>2380500</v>
      </c>
      <c r="I170" s="1144">
        <v>0</v>
      </c>
      <c r="J170" s="695">
        <f t="shared" ref="J170:P170" si="35">+J169+J158+J146+J136</f>
        <v>2380500</v>
      </c>
      <c r="K170" s="695">
        <f t="shared" si="35"/>
        <v>68320.350000000006</v>
      </c>
      <c r="L170" s="695">
        <f t="shared" si="35"/>
        <v>189972.88</v>
      </c>
      <c r="M170" s="695">
        <f t="shared" si="35"/>
        <v>72367.200000000012</v>
      </c>
      <c r="N170" s="695">
        <f t="shared" si="35"/>
        <v>19720.059999999998</v>
      </c>
      <c r="O170" s="695">
        <f t="shared" si="35"/>
        <v>350380.48999999993</v>
      </c>
      <c r="P170" s="695">
        <f t="shared" si="35"/>
        <v>2030119.5100000002</v>
      </c>
    </row>
    <row r="171" spans="2:17" ht="21" customHeight="1" x14ac:dyDescent="0.25">
      <c r="B171" s="490"/>
      <c r="C171" s="1223"/>
      <c r="D171" s="492"/>
      <c r="E171" s="465"/>
      <c r="F171" s="710"/>
      <c r="G171" s="711"/>
      <c r="H171" s="695"/>
      <c r="I171" s="1112"/>
      <c r="J171" s="463"/>
      <c r="K171" s="463"/>
      <c r="L171" s="463"/>
      <c r="M171" s="1145"/>
      <c r="N171" s="697"/>
      <c r="O171" s="697"/>
      <c r="P171" s="463"/>
    </row>
    <row r="172" spans="2:17" ht="23.25" customHeight="1" x14ac:dyDescent="0.25">
      <c r="B172" s="1048" t="s">
        <v>865</v>
      </c>
      <c r="C172" s="1053"/>
      <c r="D172" s="1125" t="e">
        <f>+D169+D158+D146+D136+D16+D20+D29+#REF!+D33+D44+D48+D52+D60+D64+D71+D85+D94+D98+D104+D108+D118+D122+D39+D75</f>
        <v>#REF!</v>
      </c>
      <c r="E172" s="1125"/>
      <c r="F172" s="1125"/>
      <c r="G172" s="1125"/>
      <c r="H172" s="1126">
        <f>+H16+H20+H29+H33+H39+H44+H48+H52+H60+H64+H71+H85+H94+H98+H104+H108+H118+H122+H136+H146+H158+H169+H75</f>
        <v>6630500</v>
      </c>
      <c r="I172" s="1114">
        <v>0</v>
      </c>
      <c r="J172" s="1126">
        <f t="shared" ref="J172:P172" si="36">+J16+J20+J29+J33+J39+J44+J48+J52+J60+J64+J71+J85+J94+J98+J104+J108+J118+J122+J136+J146+J158+J169+J75</f>
        <v>6630500</v>
      </c>
      <c r="K172" s="1126">
        <f t="shared" si="36"/>
        <v>190295.35000000003</v>
      </c>
      <c r="L172" s="1126">
        <f t="shared" si="36"/>
        <v>678403.33000000007</v>
      </c>
      <c r="M172" s="1126">
        <f t="shared" si="36"/>
        <v>201567.19999999998</v>
      </c>
      <c r="N172" s="1126">
        <f t="shared" si="36"/>
        <v>107226.00000000003</v>
      </c>
      <c r="O172" s="1126">
        <f t="shared" si="36"/>
        <v>1177491.8800000001</v>
      </c>
      <c r="P172" s="1126">
        <f t="shared" si="36"/>
        <v>5453008.1199999992</v>
      </c>
    </row>
    <row r="173" spans="2:17" x14ac:dyDescent="0.25">
      <c r="B173" s="259"/>
      <c r="C173" s="1220"/>
      <c r="D173" s="259"/>
      <c r="E173" s="546"/>
      <c r="F173" s="546"/>
      <c r="G173" s="546"/>
      <c r="H173" s="862"/>
      <c r="I173" s="259"/>
      <c r="J173" s="259"/>
      <c r="K173" s="660"/>
      <c r="L173" s="660"/>
      <c r="M173" s="531"/>
      <c r="N173" s="660"/>
      <c r="O173" s="660"/>
      <c r="P173" s="259"/>
      <c r="Q173" s="259"/>
    </row>
    <row r="174" spans="2:17" x14ac:dyDescent="0.25">
      <c r="B174" s="259"/>
      <c r="C174" s="1220"/>
      <c r="D174" s="259"/>
      <c r="E174" s="546"/>
      <c r="F174" s="546"/>
      <c r="G174" s="546"/>
      <c r="H174" s="1179"/>
      <c r="I174" s="259"/>
      <c r="J174" s="259"/>
      <c r="K174" s="660"/>
      <c r="L174" s="660"/>
      <c r="M174" s="531"/>
      <c r="N174" s="660"/>
      <c r="O174" s="660"/>
      <c r="P174" s="259"/>
      <c r="Q174" s="259"/>
    </row>
    <row r="175" spans="2:17" x14ac:dyDescent="0.25">
      <c r="B175" s="259"/>
      <c r="C175" s="1220"/>
      <c r="D175" s="259"/>
      <c r="E175" s="546"/>
      <c r="F175" s="546"/>
      <c r="G175" s="546"/>
      <c r="H175" s="1179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259"/>
      <c r="F178" s="259"/>
      <c r="G178" s="259"/>
      <c r="H178" s="259"/>
      <c r="I178" s="259"/>
      <c r="J178" s="259"/>
      <c r="K178" s="660"/>
      <c r="L178" s="259"/>
      <c r="M178" s="1152"/>
      <c r="N178" s="660"/>
      <c r="O178" s="660"/>
      <c r="P178" s="660"/>
      <c r="Q178" s="259"/>
    </row>
    <row r="179" spans="2:17" ht="18" customHeight="1" x14ac:dyDescent="0.25">
      <c r="B179" s="259"/>
      <c r="C179" s="1220"/>
      <c r="D179" s="259"/>
      <c r="E179" s="259"/>
      <c r="F179" s="259"/>
      <c r="G179" s="259"/>
      <c r="H179" s="259"/>
      <c r="I179" s="259"/>
      <c r="J179" s="259"/>
      <c r="K179" s="660"/>
      <c r="L179" s="259"/>
      <c r="M179" s="1152"/>
      <c r="N179" s="660"/>
      <c r="O179" s="660"/>
      <c r="P179" s="660"/>
      <c r="Q179" s="259"/>
    </row>
    <row r="180" spans="2:17" ht="9.75" customHeight="1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idden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13.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 t="s">
        <v>641</v>
      </c>
      <c r="L184" s="259"/>
      <c r="M184" s="1152"/>
      <c r="N184" s="660"/>
      <c r="O184" s="660"/>
      <c r="P184" s="660"/>
      <c r="Q184" s="259"/>
    </row>
    <row r="185" spans="2:17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x14ac:dyDescent="0.25">
      <c r="B188" s="537"/>
      <c r="C188" s="1062"/>
      <c r="D188" s="537"/>
      <c r="E188" s="692"/>
      <c r="F188" s="692"/>
      <c r="G188" s="692"/>
      <c r="H188" s="537"/>
      <c r="I188" s="537"/>
      <c r="J188" s="537"/>
      <c r="K188" s="537"/>
      <c r="L188" s="537"/>
      <c r="M188" s="542"/>
      <c r="N188" s="537"/>
      <c r="O188" s="537"/>
      <c r="P188" s="537"/>
      <c r="Q188" s="537"/>
    </row>
    <row r="189" spans="2:17" x14ac:dyDescent="0.25">
      <c r="B189" s="537"/>
      <c r="C189" s="1062"/>
      <c r="D189" s="537"/>
      <c r="E189" s="692"/>
      <c r="F189" s="692"/>
      <c r="G189" s="692"/>
      <c r="H189" s="537"/>
      <c r="I189" s="537"/>
      <c r="J189" s="537"/>
      <c r="K189" s="537"/>
      <c r="L189" s="537"/>
      <c r="M189" s="542"/>
      <c r="N189" s="537"/>
      <c r="O189" s="537"/>
      <c r="P189" s="537"/>
      <c r="Q189" s="537"/>
    </row>
    <row r="190" spans="2:17" x14ac:dyDescent="0.25">
      <c r="B190" s="537"/>
      <c r="C190" s="1062"/>
      <c r="D190" s="537"/>
      <c r="E190" s="537"/>
      <c r="F190" s="537"/>
      <c r="G190" s="537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42" t="s">
        <v>1449</v>
      </c>
      <c r="C191" s="1202"/>
      <c r="D191" s="542"/>
      <c r="E191" s="691"/>
      <c r="F191" s="691"/>
      <c r="G191" s="691"/>
      <c r="H191" s="866"/>
      <c r="I191" s="674" t="s">
        <v>1377</v>
      </c>
      <c r="K191" s="674"/>
      <c r="L191" s="674"/>
      <c r="M191" s="1153"/>
      <c r="N191" s="1097"/>
      <c r="P191" s="674"/>
      <c r="Q191" s="544"/>
    </row>
    <row r="192" spans="2:17" ht="25.5" customHeight="1" x14ac:dyDescent="0.25">
      <c r="B192" s="546" t="s">
        <v>935</v>
      </c>
      <c r="C192" s="1203"/>
      <c r="D192" s="546"/>
      <c r="E192" s="538"/>
      <c r="F192" s="538"/>
      <c r="G192" s="538"/>
      <c r="H192" s="467"/>
      <c r="I192" s="537"/>
      <c r="J192" s="1708" t="s">
        <v>1375</v>
      </c>
      <c r="K192" s="1708"/>
      <c r="L192" s="1708"/>
      <c r="M192" s="1708"/>
      <c r="N192" s="1708"/>
      <c r="O192" s="1708"/>
      <c r="P192" s="1708"/>
      <c r="Q192" s="539"/>
    </row>
    <row r="193" spans="2:17" x14ac:dyDescent="0.25">
      <c r="B193" s="542" t="s">
        <v>1231</v>
      </c>
      <c r="C193" s="1202"/>
      <c r="D193" s="542"/>
      <c r="E193" s="537"/>
      <c r="G193" s="1062"/>
      <c r="H193" s="1062"/>
      <c r="I193" s="1062"/>
      <c r="J193" s="1692" t="s">
        <v>1554</v>
      </c>
      <c r="K193" s="1692"/>
      <c r="L193" s="1692"/>
      <c r="M193" s="1692"/>
      <c r="N193" s="1692"/>
      <c r="O193" s="1692"/>
      <c r="P193" s="1692"/>
      <c r="Q193" s="537"/>
    </row>
    <row r="194" spans="2:17" x14ac:dyDescent="0.25">
      <c r="B194" s="546"/>
      <c r="C194" s="1203"/>
      <c r="D194" s="546"/>
      <c r="E194" s="547"/>
      <c r="F194" s="547"/>
      <c r="G194" s="547"/>
      <c r="H194" s="546"/>
      <c r="I194" s="541"/>
      <c r="J194" s="540"/>
      <c r="K194" s="537"/>
      <c r="L194" s="673" t="s">
        <v>1374</v>
      </c>
      <c r="M194" s="758"/>
      <c r="N194" s="513"/>
      <c r="O194" s="513"/>
      <c r="P194" s="673"/>
      <c r="Q194" s="673"/>
    </row>
    <row r="195" spans="2:17" ht="51" customHeight="1" x14ac:dyDescent="0.25">
      <c r="B195" s="267"/>
      <c r="C195" s="1228"/>
      <c r="D195" s="267"/>
      <c r="E195" s="268"/>
      <c r="F195" s="268"/>
      <c r="G195" s="268"/>
      <c r="H195" s="268"/>
      <c r="I195" s="269"/>
      <c r="J195" s="268"/>
      <c r="K195" s="268"/>
      <c r="L195" s="268"/>
      <c r="M195" s="267"/>
      <c r="N195" s="205"/>
      <c r="O195" s="1324"/>
      <c r="P195" s="271"/>
      <c r="Q195" s="259"/>
    </row>
    <row r="196" spans="2:17" s="259" customFormat="1" ht="221.25" customHeight="1" x14ac:dyDescent="0.25">
      <c r="C196" s="1220"/>
      <c r="E196" s="668"/>
      <c r="F196" s="668"/>
      <c r="G196" s="668"/>
      <c r="M196" s="531"/>
      <c r="N196"/>
      <c r="O196"/>
    </row>
    <row r="197" spans="2:17" x14ac:dyDescent="0.25">
      <c r="L197" s="259"/>
      <c r="M197" s="531"/>
    </row>
  </sheetData>
  <mergeCells count="21">
    <mergeCell ref="N11:N12"/>
    <mergeCell ref="O11:O12"/>
    <mergeCell ref="P11:P12"/>
    <mergeCell ref="J192:P192"/>
    <mergeCell ref="J193:P193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6" min="1" max="15" man="1"/>
    <brk id="105" min="1" max="15" man="1"/>
    <brk id="146" min="1" max="15" man="1"/>
  </rowBreaks>
  <drawing r:id="rId2"/>
</worksheet>
</file>

<file path=xl/worksheets/sheet3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A9854B-40D5-4B11-9F0B-B79C4C041743}">
  <sheetPr>
    <pageSetUpPr fitToPage="1"/>
  </sheetPr>
  <dimension ref="B5:M50"/>
  <sheetViews>
    <sheetView showGridLines="0" topLeftCell="A2" zoomScale="124" zoomScaleNormal="124" zoomScaleSheetLayoutView="100" workbookViewId="0">
      <selection activeCell="H34" sqref="H3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693" t="s">
        <v>0</v>
      </c>
      <c r="C5" s="1693"/>
      <c r="D5" s="1693"/>
      <c r="E5" s="1693"/>
      <c r="F5" s="1693"/>
      <c r="G5" s="1693"/>
      <c r="H5" s="1693"/>
      <c r="I5" s="1693"/>
      <c r="J5" s="1693"/>
      <c r="K5" s="1693"/>
      <c r="L5" s="1693"/>
      <c r="M5" s="1693"/>
    </row>
    <row r="6" spans="2:13" ht="13.5" customHeight="1" x14ac:dyDescent="0.25">
      <c r="B6" s="1693" t="s">
        <v>1</v>
      </c>
      <c r="C6" s="1693"/>
      <c r="D6" s="1693"/>
      <c r="E6" s="1693"/>
      <c r="F6" s="1693"/>
      <c r="G6" s="1693"/>
      <c r="H6" s="1693"/>
      <c r="I6" s="1693"/>
      <c r="J6" s="1693"/>
      <c r="K6" s="1693"/>
      <c r="L6" s="1693"/>
      <c r="M6" s="1693"/>
    </row>
    <row r="7" spans="2:13" ht="12" customHeight="1" x14ac:dyDescent="0.25">
      <c r="B7" s="1693" t="s">
        <v>3</v>
      </c>
      <c r="C7" s="1693"/>
      <c r="D7" s="1693"/>
      <c r="E7" s="1693"/>
      <c r="F7" s="1693"/>
      <c r="G7" s="1693"/>
      <c r="H7" s="1693"/>
      <c r="I7" s="1693"/>
      <c r="J7" s="1693"/>
      <c r="K7" s="1693"/>
      <c r="L7" s="1693"/>
      <c r="M7" s="1693"/>
    </row>
    <row r="8" spans="2:13" x14ac:dyDescent="0.25">
      <c r="B8" s="1693" t="s">
        <v>1810</v>
      </c>
      <c r="C8" s="1693"/>
      <c r="D8" s="1693"/>
      <c r="E8" s="1693"/>
      <c r="F8" s="1693"/>
      <c r="G8" s="1693"/>
      <c r="H8" s="1693"/>
      <c r="I8" s="1693"/>
      <c r="J8" s="1693"/>
      <c r="K8" s="1693"/>
      <c r="L8" s="1693"/>
      <c r="M8" s="1693"/>
    </row>
    <row r="9" spans="2:13" x14ac:dyDescent="0.25">
      <c r="B9" s="1694" t="s">
        <v>886</v>
      </c>
      <c r="C9" s="1694"/>
      <c r="D9" s="1694"/>
      <c r="E9" s="1694"/>
      <c r="F9" s="1694"/>
      <c r="G9" s="1694"/>
      <c r="H9" s="1694"/>
      <c r="I9" s="1694"/>
      <c r="J9" s="1694"/>
      <c r="K9" s="1694"/>
      <c r="L9" s="1694"/>
      <c r="M9" s="1694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728"/>
      <c r="C11" s="1728" t="s">
        <v>802</v>
      </c>
      <c r="D11" s="1728" t="s">
        <v>9</v>
      </c>
      <c r="E11" s="1331" t="s">
        <v>12</v>
      </c>
      <c r="F11" s="1763" t="s">
        <v>13</v>
      </c>
      <c r="G11" s="1761" t="s">
        <v>14</v>
      </c>
      <c r="H11" s="1761" t="s">
        <v>15</v>
      </c>
      <c r="I11" s="1761" t="s">
        <v>16</v>
      </c>
      <c r="J11" s="1761" t="s">
        <v>17</v>
      </c>
      <c r="K11" s="1761" t="s">
        <v>18</v>
      </c>
      <c r="L11" s="1761" t="s">
        <v>19</v>
      </c>
      <c r="M11" s="1761" t="s">
        <v>20</v>
      </c>
    </row>
    <row r="12" spans="2:13" ht="16.5" customHeight="1" x14ac:dyDescent="0.25">
      <c r="B12" s="1729"/>
      <c r="C12" s="1729"/>
      <c r="D12" s="1729"/>
      <c r="E12" s="1331" t="s">
        <v>21</v>
      </c>
      <c r="F12" s="1764"/>
      <c r="G12" s="1762"/>
      <c r="H12" s="1762"/>
      <c r="I12" s="1762"/>
      <c r="J12" s="1762"/>
      <c r="K12" s="1762"/>
      <c r="L12" s="1762"/>
      <c r="M12" s="1762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 t="shared" ref="G19:I19" si="1">+G18</f>
        <v>46500</v>
      </c>
      <c r="H19" s="1341">
        <f t="shared" si="1"/>
        <v>1334.55</v>
      </c>
      <c r="I19" s="1341">
        <f t="shared" si="1"/>
        <v>8816.5</v>
      </c>
      <c r="J19" s="1341">
        <f>+J18</f>
        <v>1413.6</v>
      </c>
      <c r="K19" s="1342">
        <v>0</v>
      </c>
      <c r="L19" s="1341">
        <f t="shared" ref="L19" si="2"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3">+G19+G15</f>
        <v>93000</v>
      </c>
      <c r="H22" s="1383">
        <f t="shared" si="3"/>
        <v>2669.1</v>
      </c>
      <c r="I22" s="1383">
        <f t="shared" si="3"/>
        <v>17633</v>
      </c>
      <c r="J22" s="1383">
        <f t="shared" si="3"/>
        <v>2827.2</v>
      </c>
      <c r="K22" s="1355">
        <v>0</v>
      </c>
      <c r="L22" s="1383">
        <f t="shared" si="3"/>
        <v>23129.3</v>
      </c>
      <c r="M22" s="1383">
        <f t="shared" si="3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696" t="s">
        <v>1372</v>
      </c>
      <c r="H38" s="1696"/>
      <c r="I38" s="1696"/>
      <c r="J38" s="1696"/>
      <c r="K38" s="1696"/>
      <c r="L38" s="1696"/>
    </row>
    <row r="39" spans="2:13" x14ac:dyDescent="0.25">
      <c r="B39" s="1083" t="s">
        <v>1238</v>
      </c>
      <c r="C39" s="1083"/>
      <c r="D39" s="921"/>
      <c r="E39" s="915"/>
      <c r="F39" s="915"/>
      <c r="G39" s="1702" t="s">
        <v>1222</v>
      </c>
      <c r="H39" s="1702"/>
      <c r="I39" s="1702"/>
      <c r="J39" s="1702"/>
      <c r="K39" s="1702"/>
      <c r="L39" s="1702"/>
    </row>
    <row r="40" spans="2:13" x14ac:dyDescent="0.25">
      <c r="B40" s="916" t="s">
        <v>1239</v>
      </c>
      <c r="C40" s="916"/>
      <c r="D40" s="915"/>
      <c r="E40" s="915"/>
      <c r="F40" s="923"/>
      <c r="G40" s="1701" t="s">
        <v>1503</v>
      </c>
      <c r="H40" s="1701"/>
      <c r="I40" s="1701"/>
      <c r="J40" s="1701"/>
      <c r="K40" s="1701"/>
      <c r="L40" s="1701"/>
    </row>
    <row r="44" spans="2:13" ht="30" customHeight="1" x14ac:dyDescent="0.25"/>
    <row r="48" spans="2:13" x14ac:dyDescent="0.25">
      <c r="E48" s="924"/>
      <c r="F48" s="923"/>
      <c r="G48" s="915"/>
      <c r="H48" s="1698"/>
      <c r="I48" s="1698"/>
      <c r="J48" s="1698"/>
      <c r="K48" s="1698"/>
      <c r="L48" s="1698"/>
      <c r="M48" s="1698"/>
    </row>
    <row r="49" spans="5:13" x14ac:dyDescent="0.25">
      <c r="E49" s="925"/>
      <c r="F49" s="1694"/>
      <c r="G49" s="1694"/>
      <c r="H49" s="1694"/>
      <c r="I49" s="1694"/>
      <c r="J49" s="1694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G38:L38"/>
    <mergeCell ref="G39:L39"/>
    <mergeCell ref="G40:L40"/>
    <mergeCell ref="H48:M48"/>
    <mergeCell ref="F49:J4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7" right="7.874015748031496E-2" top="0.11" bottom="0.08" header="0" footer="0"/>
  <pageSetup scale="67" orientation="landscape" r:id="rId1"/>
  <drawing r:id="rId2"/>
</worksheet>
</file>

<file path=xl/worksheets/sheet3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E25E60-6E17-484F-977D-36C8442BB974}">
  <sheetPr>
    <pageSetUpPr fitToPage="1"/>
  </sheetPr>
  <dimension ref="A6:M78"/>
  <sheetViews>
    <sheetView showGridLines="0" topLeftCell="B23" zoomScale="110" zoomScaleNormal="110" workbookViewId="0">
      <selection activeCell="B49" sqref="B4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51" t="s">
        <v>0</v>
      </c>
      <c r="C6" s="1551"/>
      <c r="D6" s="1551"/>
      <c r="E6" s="1551"/>
      <c r="F6" s="1551"/>
      <c r="G6" s="1551"/>
      <c r="H6" s="1551"/>
      <c r="I6" s="1551"/>
      <c r="J6" s="1551"/>
      <c r="K6" s="1551"/>
      <c r="L6" s="1551"/>
      <c r="M6" s="1551"/>
    </row>
    <row r="7" spans="2:13" x14ac:dyDescent="0.25">
      <c r="B7" s="1551" t="s">
        <v>1</v>
      </c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2:13" x14ac:dyDescent="0.25">
      <c r="B8" s="1551" t="s">
        <v>3</v>
      </c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2:13" x14ac:dyDescent="0.25">
      <c r="B9" s="1551" t="s">
        <v>1811</v>
      </c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2:13" x14ac:dyDescent="0.25">
      <c r="B10" s="1552" t="s">
        <v>1197</v>
      </c>
      <c r="C10" s="1552"/>
      <c r="D10" s="1552"/>
      <c r="E10" s="1552"/>
      <c r="F10" s="1552"/>
      <c r="G10" s="1552"/>
      <c r="H10" s="1552"/>
      <c r="I10" s="1552"/>
      <c r="J10" s="1552"/>
      <c r="K10" s="1552"/>
      <c r="L10" s="1552"/>
      <c r="M10" s="1552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712" t="s">
        <v>7</v>
      </c>
      <c r="C12" s="1709" t="s">
        <v>802</v>
      </c>
      <c r="D12" s="1709" t="s">
        <v>9</v>
      </c>
      <c r="E12" s="1067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2:13" ht="15" customHeight="1" x14ac:dyDescent="0.25">
      <c r="B13" s="1712"/>
      <c r="C13" s="1709"/>
      <c r="D13" s="1709"/>
      <c r="E13" s="1067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 t="shared" ref="H24:J24" si="2">SUM(H23)</f>
        <v>574</v>
      </c>
      <c r="I24" s="697">
        <f t="shared" si="2"/>
        <v>4704.5</v>
      </c>
      <c r="J24" s="697">
        <f t="shared" si="2"/>
        <v>608</v>
      </c>
      <c r="K24" s="1112">
        <f t="shared" ref="K24" si="3"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377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4">+G16+G20+G24+G28+G32+G36+G39</f>
        <v>201500</v>
      </c>
      <c r="H41" s="1065">
        <f t="shared" si="4"/>
        <v>5783.05</v>
      </c>
      <c r="I41" s="1065">
        <f t="shared" si="4"/>
        <v>44236.94</v>
      </c>
      <c r="J41" s="1065">
        <f t="shared" si="4"/>
        <v>6125.6</v>
      </c>
      <c r="K41" s="1114">
        <v>0</v>
      </c>
      <c r="L41" s="1065">
        <f t="shared" si="4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682" t="s">
        <v>1250</v>
      </c>
      <c r="H52" s="1682"/>
      <c r="I52" s="1682"/>
      <c r="J52" s="1682"/>
      <c r="K52" s="1682"/>
      <c r="L52" s="1682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627" t="s">
        <v>852</v>
      </c>
      <c r="H53" s="1627"/>
      <c r="I53" s="1627"/>
      <c r="J53" s="1627"/>
      <c r="K53" s="1627"/>
      <c r="L53" s="1627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628" t="s">
        <v>1506</v>
      </c>
      <c r="H54" s="1628"/>
      <c r="I54" s="1628"/>
      <c r="J54" s="1628"/>
      <c r="K54" s="1628"/>
      <c r="L54" s="1628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629"/>
      <c r="I55" s="1629"/>
      <c r="J55" s="1629"/>
      <c r="K55" s="1629"/>
      <c r="L55" s="1629"/>
      <c r="M55" s="1629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552"/>
      <c r="G68" s="1552"/>
      <c r="H68" s="1552"/>
      <c r="I68" s="1552"/>
      <c r="J68" s="1552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G52:L52"/>
    <mergeCell ref="G53:L53"/>
    <mergeCell ref="G54:L54"/>
    <mergeCell ref="H55:M55"/>
    <mergeCell ref="F68:J6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2" fitToHeight="0" orientation="landscape" r:id="rId1"/>
  <drawing r:id="rId2"/>
</worksheet>
</file>

<file path=xl/worksheets/sheet3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726825-B370-4328-BC4B-FD507869011D}">
  <sheetPr>
    <pageSetUpPr fitToPage="1"/>
  </sheetPr>
  <dimension ref="A1:M85"/>
  <sheetViews>
    <sheetView zoomScale="80" zoomScaleNormal="80" zoomScaleSheetLayoutView="80" workbookViewId="0">
      <selection activeCell="C73" sqref="C7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1:13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1:13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1:13" x14ac:dyDescent="0.25">
      <c r="A10" s="1551" t="s">
        <v>1812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</row>
    <row r="11" spans="1:13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713" t="s">
        <v>7</v>
      </c>
      <c r="B13" s="1713" t="s">
        <v>937</v>
      </c>
      <c r="C13" s="1713" t="s">
        <v>10</v>
      </c>
      <c r="D13" s="1713" t="s">
        <v>11</v>
      </c>
      <c r="E13" s="1047" t="s">
        <v>12</v>
      </c>
      <c r="F13" s="1713" t="s">
        <v>13</v>
      </c>
      <c r="G13" s="1713" t="s">
        <v>14</v>
      </c>
      <c r="H13" s="1713" t="s">
        <v>15</v>
      </c>
      <c r="I13" s="1713" t="s">
        <v>16</v>
      </c>
      <c r="J13" s="1713" t="s">
        <v>17</v>
      </c>
      <c r="K13" s="1713" t="s">
        <v>18</v>
      </c>
      <c r="L13" s="1713" t="s">
        <v>19</v>
      </c>
      <c r="M13" s="1713" t="s">
        <v>20</v>
      </c>
    </row>
    <row r="14" spans="1:13" x14ac:dyDescent="0.25">
      <c r="A14" s="1713"/>
      <c r="B14" s="1713"/>
      <c r="C14" s="1713"/>
      <c r="D14" s="1713"/>
      <c r="E14" s="1047" t="s">
        <v>21</v>
      </c>
      <c r="F14" s="1713"/>
      <c r="G14" s="1713"/>
      <c r="H14" s="1713"/>
      <c r="I14" s="1713"/>
      <c r="J14" s="1713"/>
      <c r="K14" s="1713"/>
      <c r="L14" s="1713"/>
      <c r="M14" s="1713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1795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>SUM(E16:E39)</f>
        <v>338000</v>
      </c>
      <c r="F40" s="1371">
        <f t="shared" ref="F40:L40" si="1">SUM(F16:F39)</f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 t="shared" ref="L44" si="2"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3">SUM(F44)</f>
        <v>0</v>
      </c>
      <c r="G45" s="1372">
        <f t="shared" si="3"/>
        <v>12000</v>
      </c>
      <c r="H45" s="1373">
        <f t="shared" si="3"/>
        <v>0</v>
      </c>
      <c r="I45" s="1373">
        <f t="shared" si="3"/>
        <v>0</v>
      </c>
      <c r="J45" s="1373">
        <f t="shared" si="3"/>
        <v>0</v>
      </c>
      <c r="K45" s="1373">
        <f t="shared" si="3"/>
        <v>0</v>
      </c>
      <c r="L45" s="1372">
        <f t="shared" si="3"/>
        <v>0</v>
      </c>
      <c r="M45" s="1372">
        <f t="shared" si="3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4">+F40+F45</f>
        <v>0</v>
      </c>
      <c r="G47" s="1376">
        <f t="shared" si="4"/>
        <v>350000</v>
      </c>
      <c r="H47" s="1376">
        <f t="shared" si="4"/>
        <v>0</v>
      </c>
      <c r="I47" s="1376">
        <f t="shared" si="4"/>
        <v>4195.88</v>
      </c>
      <c r="J47" s="1376">
        <f t="shared" si="4"/>
        <v>0</v>
      </c>
      <c r="K47" s="1376">
        <f t="shared" si="4"/>
        <v>0</v>
      </c>
      <c r="L47" s="1376">
        <f t="shared" si="4"/>
        <v>4195.88</v>
      </c>
      <c r="M47" s="1376">
        <f t="shared" si="4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44.2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60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690" t="s">
        <v>1269</v>
      </c>
      <c r="B69" s="1690"/>
      <c r="C69" s="753"/>
      <c r="D69" s="753"/>
      <c r="E69" s="754"/>
      <c r="F69" s="755"/>
      <c r="H69" s="1691" t="s">
        <v>852</v>
      </c>
      <c r="I69" s="1691"/>
      <c r="J69" s="1691"/>
      <c r="K69" s="1691"/>
      <c r="L69" s="1691"/>
      <c r="M69" s="1691"/>
    </row>
    <row r="70" spans="1:13" s="259" customFormat="1" ht="19.5" customHeight="1" x14ac:dyDescent="0.25">
      <c r="A70" s="1628" t="s">
        <v>1813</v>
      </c>
      <c r="B70" s="1628"/>
      <c r="C70" s="753"/>
      <c r="D70" s="753"/>
      <c r="E70" s="754"/>
      <c r="F70" s="755"/>
      <c r="H70" s="1692" t="s">
        <v>1505</v>
      </c>
      <c r="I70" s="1692"/>
      <c r="J70" s="1692"/>
      <c r="K70" s="1692"/>
      <c r="L70" s="1692"/>
      <c r="M70" s="1692"/>
    </row>
    <row r="71" spans="1:13" ht="45.7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42.7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201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629"/>
      <c r="I82" s="1629"/>
      <c r="J82" s="1629"/>
      <c r="K82" s="1629"/>
      <c r="L82" s="1629"/>
      <c r="M82" s="1629"/>
    </row>
    <row r="83" spans="1:13" ht="15.75" x14ac:dyDescent="0.25">
      <c r="A83" s="267"/>
      <c r="B83" s="267"/>
      <c r="C83" s="268"/>
      <c r="D83" s="268"/>
      <c r="E83" s="269"/>
      <c r="F83" s="1549"/>
      <c r="G83" s="1549"/>
      <c r="H83" s="1549"/>
      <c r="I83" s="1549"/>
      <c r="J83" s="1549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11" right="0.39370078740157483" top="0" bottom="0.01" header="0" footer="0.09"/>
  <pageSetup scale="27" orientation="landscape" r:id="rId1"/>
  <drawing r:id="rId2"/>
</worksheet>
</file>

<file path=xl/worksheets/sheet3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A81651-8443-41D5-96C1-2337AF679C68}">
  <sheetPr>
    <pageSetUpPr fitToPage="1"/>
  </sheetPr>
  <dimension ref="A1:N280"/>
  <sheetViews>
    <sheetView showGridLines="0" topLeftCell="A5" zoomScale="84" zoomScaleNormal="84" workbookViewId="0">
      <pane ySplit="14" topLeftCell="A106" activePane="bottomLeft" state="frozen"/>
      <selection activeCell="A5" sqref="A5"/>
      <selection pane="bottomLeft" activeCell="A262" sqref="A262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1089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1089"/>
      <c r="L10" s="1089"/>
      <c r="M10" s="867"/>
    </row>
    <row r="11" spans="1:14" ht="15.75" x14ac:dyDescent="0.25">
      <c r="A11" s="1685" t="s">
        <v>1502</v>
      </c>
      <c r="B11" s="1685"/>
      <c r="C11" s="1685"/>
      <c r="D11" s="1685"/>
      <c r="E11" s="1685"/>
      <c r="F11" s="1685"/>
      <c r="G11" s="1685"/>
      <c r="H11" s="1685"/>
      <c r="I11" s="1685"/>
      <c r="J11" s="1685"/>
      <c r="K11" s="1685"/>
      <c r="L11" s="1685"/>
      <c r="M11" s="1685"/>
    </row>
    <row r="12" spans="1:14" ht="0.75" customHeight="1" x14ac:dyDescent="0.25">
      <c r="A12" s="1685"/>
      <c r="B12" s="1685"/>
      <c r="C12" s="1685"/>
      <c r="D12" s="1685"/>
      <c r="E12" s="1685"/>
      <c r="F12" s="1685"/>
      <c r="G12" s="1685"/>
      <c r="H12" s="1685"/>
      <c r="I12" s="1685"/>
      <c r="J12" s="1685"/>
      <c r="K12" s="1685"/>
      <c r="L12" s="1685"/>
      <c r="M12" s="1685"/>
      <c r="N12" s="1685"/>
    </row>
    <row r="13" spans="1:14" ht="15.75" x14ac:dyDescent="0.25">
      <c r="A13" s="1685" t="s">
        <v>1460</v>
      </c>
      <c r="B13" s="1685"/>
      <c r="C13" s="1685"/>
      <c r="D13" s="1685"/>
      <c r="E13" s="1685"/>
      <c r="F13" s="1685"/>
      <c r="G13" s="1685"/>
      <c r="H13" s="1685"/>
      <c r="I13" s="1685"/>
      <c r="J13" s="1685"/>
      <c r="K13" s="1685"/>
      <c r="L13" s="1685"/>
      <c r="M13" s="1685"/>
    </row>
    <row r="14" spans="1:14" ht="15.75" x14ac:dyDescent="0.25">
      <c r="A14" s="1685" t="s">
        <v>1815</v>
      </c>
      <c r="B14" s="1685"/>
      <c r="C14" s="1685"/>
      <c r="D14" s="1685"/>
      <c r="E14" s="1685"/>
      <c r="F14" s="1685"/>
      <c r="G14" s="1685"/>
      <c r="H14" s="1685"/>
      <c r="I14" s="1685"/>
      <c r="J14" s="1685"/>
      <c r="K14" s="1685"/>
      <c r="L14" s="1685"/>
      <c r="M14" s="1685"/>
    </row>
    <row r="15" spans="1:14" ht="15.75" x14ac:dyDescent="0.25">
      <c r="A15" s="1706" t="s">
        <v>404</v>
      </c>
      <c r="B15" s="1706"/>
      <c r="C15" s="1706"/>
      <c r="D15" s="1706"/>
      <c r="E15" s="1706"/>
      <c r="F15" s="1706"/>
      <c r="G15" s="1706"/>
      <c r="H15" s="1706"/>
      <c r="I15" s="1706"/>
      <c r="J15" s="1706"/>
      <c r="K15" s="1706"/>
      <c r="L15" s="1706"/>
      <c r="M15" s="1706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1090"/>
      <c r="L16" s="1090"/>
      <c r="M16" s="851"/>
    </row>
    <row r="17" spans="1:13" ht="15.75" x14ac:dyDescent="0.25">
      <c r="A17" s="1755" t="s">
        <v>7</v>
      </c>
      <c r="B17" s="1757" t="s">
        <v>802</v>
      </c>
      <c r="C17" s="1757" t="s">
        <v>9</v>
      </c>
      <c r="D17" s="1757" t="s">
        <v>11</v>
      </c>
      <c r="E17" s="1390" t="s">
        <v>12</v>
      </c>
      <c r="F17" s="1759" t="s">
        <v>13</v>
      </c>
      <c r="G17" s="1751" t="s">
        <v>14</v>
      </c>
      <c r="H17" s="1753" t="s">
        <v>15</v>
      </c>
      <c r="I17" s="1753" t="s">
        <v>15</v>
      </c>
      <c r="J17" s="1753" t="s">
        <v>17</v>
      </c>
      <c r="K17" s="1753" t="s">
        <v>18</v>
      </c>
      <c r="L17" s="1753" t="s">
        <v>19</v>
      </c>
      <c r="M17" s="1749" t="s">
        <v>20</v>
      </c>
    </row>
    <row r="18" spans="1:13" ht="16.5" thickBot="1" x14ac:dyDescent="0.3">
      <c r="A18" s="1756"/>
      <c r="B18" s="1758"/>
      <c r="C18" s="1758"/>
      <c r="D18" s="1758"/>
      <c r="E18" s="1391" t="s">
        <v>21</v>
      </c>
      <c r="F18" s="1760"/>
      <c r="G18" s="1752"/>
      <c r="H18" s="1754"/>
      <c r="I18" s="1754"/>
      <c r="J18" s="1754"/>
      <c r="K18" s="1754"/>
      <c r="L18" s="1754"/>
      <c r="M18" s="1750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88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1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1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1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>SUM(E20:E24)</f>
        <v>870000</v>
      </c>
      <c r="F25" s="964">
        <f t="shared" ref="F25:J25" si="0">SUM(F20:F24)</f>
        <v>0</v>
      </c>
      <c r="G25" s="965">
        <f t="shared" si="0"/>
        <v>870000</v>
      </c>
      <c r="H25" s="963">
        <f t="shared" si="0"/>
        <v>24969</v>
      </c>
      <c r="I25" s="963">
        <f>SUM(I20:I24)</f>
        <v>147821.39000000001</v>
      </c>
      <c r="J25" s="963">
        <f t="shared" si="0"/>
        <v>25133.14</v>
      </c>
      <c r="K25" s="963">
        <f>SUM(K20:K24)</f>
        <v>18481.86</v>
      </c>
      <c r="L25" s="963">
        <f>SUM(L20:L24)</f>
        <v>216405.38999999998</v>
      </c>
      <c r="M25" s="965">
        <f>SUM(M20:M24)</f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1"/>
      <c r="L27" s="951"/>
      <c r="M27" s="953"/>
    </row>
    <row r="28" spans="1:13" ht="39.7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1">
        <v>25</v>
      </c>
      <c r="L31" s="951">
        <f t="shared" ref="L31" si="1"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2">SUM(G28:G31)</f>
        <v>219500</v>
      </c>
      <c r="H32" s="963">
        <f>SUM(H28:H31)</f>
        <v>6299.65</v>
      </c>
      <c r="I32" s="963">
        <f t="shared" si="2"/>
        <v>12463.43</v>
      </c>
      <c r="J32" s="963">
        <f t="shared" si="2"/>
        <v>6672.7999999999993</v>
      </c>
      <c r="K32" s="963">
        <f>SUM(K28:K31)</f>
        <v>13585.37</v>
      </c>
      <c r="L32" s="963">
        <f t="shared" si="2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1">
        <v>5171.38</v>
      </c>
      <c r="L35" s="951">
        <f t="shared" ref="L35:L38" si="3"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1">
        <v>1740.46</v>
      </c>
      <c r="L36" s="951">
        <f t="shared" si="3"/>
        <v>4990.6100000000006</v>
      </c>
      <c r="M36" s="953">
        <f t="shared" ref="M36:M38" si="4"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1">
        <v>125</v>
      </c>
      <c r="L37" s="951">
        <f t="shared" si="3"/>
        <v>3632.4700000000003</v>
      </c>
      <c r="M37" s="953">
        <f t="shared" si="4"/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5">SUM(G35:G38)</f>
        <v>327000</v>
      </c>
      <c r="H39" s="963">
        <f t="shared" si="5"/>
        <v>9384.9</v>
      </c>
      <c r="I39" s="963">
        <f t="shared" si="5"/>
        <v>34988.5</v>
      </c>
      <c r="J39" s="963">
        <f t="shared" si="5"/>
        <v>9940.7999999999993</v>
      </c>
      <c r="K39" s="963">
        <f>SUM(K35:K38)</f>
        <v>7061.84</v>
      </c>
      <c r="L39" s="963">
        <f t="shared" si="5"/>
        <v>61376.04</v>
      </c>
      <c r="M39" s="963">
        <f t="shared" si="5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L43" si="6">SUM(H42)</f>
        <v>2152.5</v>
      </c>
      <c r="I43" s="963">
        <f t="shared" si="6"/>
        <v>6309.38</v>
      </c>
      <c r="J43" s="963">
        <f t="shared" si="6"/>
        <v>2280</v>
      </c>
      <c r="K43" s="963">
        <f>SUM(K42)</f>
        <v>25</v>
      </c>
      <c r="L43" s="963">
        <f t="shared" si="6"/>
        <v>10766.880000000001</v>
      </c>
      <c r="M43" s="965">
        <f>SUM(M42)</f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7">SUM(F46:F47)</f>
        <v>0</v>
      </c>
      <c r="G48" s="965">
        <f t="shared" si="7"/>
        <v>73500</v>
      </c>
      <c r="H48" s="963">
        <f t="shared" si="7"/>
        <v>2109.4499999999998</v>
      </c>
      <c r="I48" s="1071">
        <f t="shared" si="7"/>
        <v>936.62</v>
      </c>
      <c r="J48" s="963">
        <f t="shared" si="7"/>
        <v>2234.4</v>
      </c>
      <c r="K48" s="963">
        <f>SUM(K46:K47)</f>
        <v>1765.46</v>
      </c>
      <c r="L48" s="963">
        <f t="shared" si="7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1">
        <v>1322.4</v>
      </c>
      <c r="K51" s="951">
        <v>1296.7</v>
      </c>
      <c r="L51" s="951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1">
        <v>7721.54</v>
      </c>
      <c r="L54" s="951">
        <f t="shared" ref="L54" si="8"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9">SUM(G51:G56)</f>
        <v>222000</v>
      </c>
      <c r="H57" s="1233">
        <f t="shared" si="9"/>
        <v>6371.4</v>
      </c>
      <c r="I57" s="1233">
        <f t="shared" si="9"/>
        <v>1873.24</v>
      </c>
      <c r="J57" s="1233">
        <f t="shared" si="9"/>
        <v>6748.7999999999993</v>
      </c>
      <c r="K57" s="1233">
        <f>SUM(K51:K56)</f>
        <v>9118.24</v>
      </c>
      <c r="L57" s="1233">
        <f t="shared" si="9"/>
        <v>24111.68</v>
      </c>
      <c r="M57" s="1233">
        <f t="shared" si="9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1">
        <v>1322.4</v>
      </c>
      <c r="K60" s="951">
        <v>25</v>
      </c>
      <c r="L60" s="951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1">
        <v>525</v>
      </c>
      <c r="L61" s="951">
        <f>+H61+I61+J61+K61</f>
        <v>2831.06</v>
      </c>
      <c r="M61" s="951">
        <f t="shared" ref="M61:M62" si="10"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1">
        <v>2169.96</v>
      </c>
      <c r="L62" s="951">
        <f>SUM(H62:K62)</f>
        <v>4386.21</v>
      </c>
      <c r="M62" s="951">
        <f t="shared" si="10"/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11">SUM(H60:H62)</f>
        <v>3400.95</v>
      </c>
      <c r="I63" s="963">
        <f t="shared" si="11"/>
        <v>1026.43</v>
      </c>
      <c r="J63" s="963">
        <f t="shared" si="11"/>
        <v>3602.4</v>
      </c>
      <c r="K63" s="963">
        <f>SUM(K60:K62)</f>
        <v>2719.96</v>
      </c>
      <c r="L63" s="963">
        <f t="shared" si="11"/>
        <v>10749.740000000002</v>
      </c>
      <c r="M63" s="963">
        <f t="shared" si="11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1">
        <v>25</v>
      </c>
      <c r="L66" s="951">
        <f t="shared" ref="L66:L80" si="12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1">
        <v>912</v>
      </c>
      <c r="K70" s="951">
        <v>6341.6</v>
      </c>
      <c r="L70" s="951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1">
        <v>25</v>
      </c>
      <c r="L71" s="951">
        <f t="shared" si="12"/>
        <v>1798</v>
      </c>
      <c r="M71" s="953">
        <f t="shared" ref="M71:M80" si="13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1">
        <v>2568.4</v>
      </c>
      <c r="L73" s="951">
        <f t="shared" si="12"/>
        <v>4341.3999999999996</v>
      </c>
      <c r="M73" s="953">
        <f t="shared" si="13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1">
        <v>25</v>
      </c>
      <c r="L74" s="951">
        <f t="shared" si="12"/>
        <v>1798</v>
      </c>
      <c r="M74" s="953">
        <f t="shared" si="13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1">
        <v>25</v>
      </c>
      <c r="L75" s="951">
        <f t="shared" si="12"/>
        <v>1798</v>
      </c>
      <c r="M75" s="953">
        <f t="shared" si="13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1">
        <v>1740.46</v>
      </c>
      <c r="L76" s="951">
        <f t="shared" si="12"/>
        <v>3513.46</v>
      </c>
      <c r="M76" s="953">
        <f t="shared" si="13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1">
        <v>25</v>
      </c>
      <c r="L77" s="951">
        <f t="shared" si="12"/>
        <v>1798</v>
      </c>
      <c r="M77" s="953">
        <f t="shared" si="13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1">
        <v>25</v>
      </c>
      <c r="L78" s="951">
        <f t="shared" si="12"/>
        <v>1798</v>
      </c>
      <c r="M78" s="953">
        <f t="shared" si="13"/>
        <v>28202</v>
      </c>
    </row>
    <row r="79" spans="1:13" ht="18.75" x14ac:dyDescent="0.3">
      <c r="A79" s="955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1">
        <v>1740.46</v>
      </c>
      <c r="L79" s="951">
        <f t="shared" si="12"/>
        <v>3513.46</v>
      </c>
      <c r="M79" s="951">
        <f t="shared" si="13"/>
        <v>26486.54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1">
        <v>25</v>
      </c>
      <c r="L80" s="951">
        <f t="shared" si="12"/>
        <v>1798</v>
      </c>
      <c r="M80" s="953">
        <f t="shared" si="13"/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14">SUM(G66:G80)</f>
        <v>482000</v>
      </c>
      <c r="H81" s="963">
        <f t="shared" si="14"/>
        <v>13833.4</v>
      </c>
      <c r="I81" s="963">
        <f t="shared" si="14"/>
        <v>1873.24</v>
      </c>
      <c r="J81" s="963">
        <f t="shared" si="14"/>
        <v>14652.8</v>
      </c>
      <c r="K81" s="963">
        <f t="shared" si="14"/>
        <v>12765.919999999998</v>
      </c>
      <c r="L81" s="963">
        <f t="shared" si="14"/>
        <v>43125.36</v>
      </c>
      <c r="M81" s="963">
        <f t="shared" si="14"/>
        <v>438874.63999999996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1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3"/>
      <c r="L83" s="963"/>
      <c r="M83" s="965"/>
    </row>
    <row r="84" spans="1:13" ht="18.75" x14ac:dyDescent="0.3">
      <c r="A84" s="955" t="s">
        <v>1666</v>
      </c>
      <c r="B84" s="950" t="s">
        <v>807</v>
      </c>
      <c r="C84" s="960" t="s">
        <v>1778</v>
      </c>
      <c r="D84" s="960" t="s">
        <v>307</v>
      </c>
      <c r="E84" s="951">
        <v>43500</v>
      </c>
      <c r="F84" s="952">
        <v>0</v>
      </c>
      <c r="G84" s="953">
        <v>43500</v>
      </c>
      <c r="H84" s="951">
        <v>1248.45</v>
      </c>
      <c r="I84" s="974">
        <v>936.62</v>
      </c>
      <c r="J84" s="951">
        <v>1322.4</v>
      </c>
      <c r="K84" s="951">
        <v>1025</v>
      </c>
      <c r="L84" s="951">
        <f t="shared" ref="L84:L92" si="15">+H84+I84+J84+K84</f>
        <v>4532.47</v>
      </c>
      <c r="M84" s="953">
        <f>+G84-L84</f>
        <v>38967.53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1">
        <v>125</v>
      </c>
      <c r="L85" s="951">
        <f t="shared" si="15"/>
        <v>1602.5</v>
      </c>
      <c r="M85" s="953">
        <f t="shared" ref="M85:M93" si="16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728</v>
      </c>
      <c r="L86" s="951">
        <f t="shared" si="15"/>
        <v>2205.5</v>
      </c>
      <c r="M86" s="953">
        <f t="shared" si="16"/>
        <v>22794.5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1">
        <v>1296.7</v>
      </c>
      <c r="L87" s="951">
        <f t="shared" si="15"/>
        <v>2774.2</v>
      </c>
      <c r="M87" s="953">
        <f t="shared" si="16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1">
        <v>25</v>
      </c>
      <c r="L88" s="951">
        <f t="shared" si="15"/>
        <v>1502.5</v>
      </c>
      <c r="M88" s="953">
        <f t="shared" si="16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1">
        <v>25</v>
      </c>
      <c r="L89" s="951">
        <f t="shared" si="15"/>
        <v>1502.5</v>
      </c>
      <c r="M89" s="953">
        <f t="shared" si="16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1">
        <v>25</v>
      </c>
      <c r="L90" s="951">
        <f t="shared" si="15"/>
        <v>1502.5</v>
      </c>
      <c r="M90" s="953">
        <f t="shared" si="16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1">
        <v>25</v>
      </c>
      <c r="L91" s="951">
        <f t="shared" si="15"/>
        <v>1502.5</v>
      </c>
      <c r="M91" s="953">
        <f t="shared" si="16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1">
        <v>25</v>
      </c>
      <c r="L92" s="951">
        <f t="shared" si="15"/>
        <v>1502.5</v>
      </c>
      <c r="M92" s="953">
        <f t="shared" si="16"/>
        <v>23497.5</v>
      </c>
    </row>
    <row r="93" spans="1:13" ht="19.5" customHeight="1" x14ac:dyDescent="0.3">
      <c r="A93" s="955" t="s">
        <v>1075</v>
      </c>
      <c r="B93" s="950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974">
        <v>0</v>
      </c>
      <c r="J93" s="951">
        <v>760</v>
      </c>
      <c r="K93" s="951">
        <v>4353.66</v>
      </c>
      <c r="L93" s="951">
        <f>+H93+I93+J93+K93</f>
        <v>5831.16</v>
      </c>
      <c r="M93" s="953">
        <f t="shared" si="16"/>
        <v>19168.84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17">SUM(G84:G93)</f>
        <v>268500</v>
      </c>
      <c r="H94" s="963">
        <f t="shared" si="17"/>
        <v>7705.95</v>
      </c>
      <c r="I94" s="963">
        <f t="shared" si="17"/>
        <v>936.62</v>
      </c>
      <c r="J94" s="963">
        <f t="shared" si="17"/>
        <v>8162.4</v>
      </c>
      <c r="K94" s="963">
        <f>SUM(K84:K93)</f>
        <v>7653.36</v>
      </c>
      <c r="L94" s="963">
        <f t="shared" si="17"/>
        <v>24458.33</v>
      </c>
      <c r="M94" s="963">
        <f t="shared" si="17"/>
        <v>244041.67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1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1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1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18">SUM(F97:F97)</f>
        <v>0</v>
      </c>
      <c r="G98" s="965">
        <f t="shared" si="18"/>
        <v>55000</v>
      </c>
      <c r="H98" s="963">
        <f t="shared" si="18"/>
        <v>1578.5</v>
      </c>
      <c r="I98" s="963">
        <f t="shared" si="18"/>
        <v>2559.6799999999998</v>
      </c>
      <c r="J98" s="963">
        <f t="shared" si="18"/>
        <v>1672</v>
      </c>
      <c r="K98" s="963">
        <f>SUM(K97:K97)</f>
        <v>25</v>
      </c>
      <c r="L98" s="963">
        <f t="shared" si="18"/>
        <v>5835.18</v>
      </c>
      <c r="M98" s="965">
        <f t="shared" si="18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1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1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1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1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9">SUM(G101:G102)</f>
        <v>98500</v>
      </c>
      <c r="H103" s="963">
        <f t="shared" si="19"/>
        <v>2826.95</v>
      </c>
      <c r="I103" s="963">
        <f t="shared" si="19"/>
        <v>3496.2999999999997</v>
      </c>
      <c r="J103" s="963">
        <f t="shared" si="19"/>
        <v>2994.4</v>
      </c>
      <c r="K103" s="963">
        <f t="shared" si="19"/>
        <v>2593.4</v>
      </c>
      <c r="L103" s="963">
        <f t="shared" si="19"/>
        <v>11911.05</v>
      </c>
      <c r="M103" s="963">
        <f t="shared" si="19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1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3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1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1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J108" si="20">SUM(G106:G107)</f>
        <v>140000</v>
      </c>
      <c r="H108" s="963">
        <f t="shared" si="20"/>
        <v>4018</v>
      </c>
      <c r="I108" s="963">
        <f>SUM(I106:I107)</f>
        <v>10050.77</v>
      </c>
      <c r="J108" s="963">
        <f t="shared" si="20"/>
        <v>4256</v>
      </c>
      <c r="K108" s="963">
        <f>SUM(K106:K107)</f>
        <v>3580.92</v>
      </c>
      <c r="L108" s="963">
        <f>SUM(L106:L107)</f>
        <v>21905.69</v>
      </c>
      <c r="M108" s="963">
        <f>SUM(M106:M107)</f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3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3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1">
        <v>2432</v>
      </c>
      <c r="K111" s="951">
        <v>2134</v>
      </c>
      <c r="L111" s="951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1">
        <v>1740.46</v>
      </c>
      <c r="L112" s="951">
        <f t="shared" ref="L112:L113" si="21"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1">
        <v>25</v>
      </c>
      <c r="L113" s="951">
        <f t="shared" si="21"/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22">SUM(G111:G113)</f>
        <v>167000</v>
      </c>
      <c r="H114" s="963">
        <f t="shared" si="22"/>
        <v>4792.8999999999996</v>
      </c>
      <c r="I114" s="963">
        <f t="shared" si="22"/>
        <v>9016.7900000000009</v>
      </c>
      <c r="J114" s="963">
        <f t="shared" si="22"/>
        <v>5076.8</v>
      </c>
      <c r="K114" s="963">
        <f>SUM(K111:K113)</f>
        <v>3899.46</v>
      </c>
      <c r="L114" s="963">
        <f>SUM(L111:L113)</f>
        <v>22785.95</v>
      </c>
      <c r="M114" s="963">
        <f t="shared" si="22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3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3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1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23">SUM(G117:G117)</f>
        <v>80000</v>
      </c>
      <c r="H118" s="963">
        <f t="shared" si="23"/>
        <v>2296</v>
      </c>
      <c r="I118" s="963">
        <f t="shared" si="23"/>
        <v>6972</v>
      </c>
      <c r="J118" s="963">
        <f t="shared" si="23"/>
        <v>2432</v>
      </c>
      <c r="K118" s="963">
        <f>SUM(K117:K117)</f>
        <v>1740.46</v>
      </c>
      <c r="L118" s="963">
        <f t="shared" si="23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3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3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1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5025.38</v>
      </c>
      <c r="J122" s="951">
        <v>2128</v>
      </c>
      <c r="K122" s="951">
        <v>1840.46</v>
      </c>
      <c r="L122" s="951">
        <f>+H122+I122+J122+K122</f>
        <v>11002.84</v>
      </c>
      <c r="M122" s="953">
        <f t="shared" ref="M122:M125" si="24">+G122-L122</f>
        <v>58997.16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1">
        <v>25</v>
      </c>
      <c r="L123" s="951">
        <f>+H123+I123+J123+K123</f>
        <v>12153.869999999999</v>
      </c>
      <c r="M123" s="953">
        <f t="shared" si="24"/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1">
        <v>25</v>
      </c>
      <c r="L124" s="951">
        <v>1886.65</v>
      </c>
      <c r="M124" s="953">
        <f t="shared" si="24"/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1">
        <v>25</v>
      </c>
      <c r="L125" s="951">
        <f>+H125+I125+J125+K125</f>
        <v>3532.4700000000003</v>
      </c>
      <c r="M125" s="953">
        <f t="shared" si="24"/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>SUM(E121:E125)</f>
        <v>410000</v>
      </c>
      <c r="F126" s="964">
        <f t="shared" ref="F126" si="25">SUM(F121:F125)</f>
        <v>0</v>
      </c>
      <c r="G126" s="963">
        <f>SUM(G121:G125)</f>
        <v>410000</v>
      </c>
      <c r="H126" s="963">
        <f t="shared" ref="H126:M126" si="26">SUM(H121:H125)</f>
        <v>11767</v>
      </c>
      <c r="I126" s="963">
        <f t="shared" si="26"/>
        <v>45462.360000000008</v>
      </c>
      <c r="J126" s="963">
        <f t="shared" si="26"/>
        <v>12464</v>
      </c>
      <c r="K126" s="963">
        <f>SUM(K121:K125)</f>
        <v>1940.46</v>
      </c>
      <c r="L126" s="963">
        <f t="shared" si="26"/>
        <v>71633.819999999992</v>
      </c>
      <c r="M126" s="963">
        <f t="shared" si="26"/>
        <v>338366.18000000005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3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3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1">
        <v>2432</v>
      </c>
      <c r="K129" s="951">
        <v>5884.86</v>
      </c>
      <c r="L129" s="951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27">SUM(G129:G129)</f>
        <v>80000</v>
      </c>
      <c r="H130" s="963">
        <f t="shared" si="27"/>
        <v>2296</v>
      </c>
      <c r="I130" s="963">
        <f t="shared" si="27"/>
        <v>6972</v>
      </c>
      <c r="J130" s="963">
        <f t="shared" si="27"/>
        <v>2432</v>
      </c>
      <c r="K130" s="963">
        <f>SUM(K129:K129)</f>
        <v>5884.86</v>
      </c>
      <c r="L130" s="963">
        <f t="shared" si="27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3"/>
      <c r="L131" s="963"/>
      <c r="M131" s="965"/>
    </row>
    <row r="132" spans="1:13" ht="23.25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3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1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8">SUM(F133:F133)</f>
        <v>0</v>
      </c>
      <c r="G134" s="963">
        <f t="shared" si="28"/>
        <v>50000</v>
      </c>
      <c r="H134" s="963">
        <f t="shared" si="28"/>
        <v>1435</v>
      </c>
      <c r="I134" s="963">
        <f t="shared" si="28"/>
        <v>1854</v>
      </c>
      <c r="J134" s="963">
        <f t="shared" si="28"/>
        <v>1520</v>
      </c>
      <c r="K134" s="963">
        <f>SUM(K133:K133)</f>
        <v>728</v>
      </c>
      <c r="L134" s="963">
        <f t="shared" si="28"/>
        <v>5537</v>
      </c>
      <c r="M134" s="963">
        <f t="shared" si="28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1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3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1">
        <v>828</v>
      </c>
      <c r="L137" s="951">
        <f t="shared" ref="L137:L140" si="29"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1">
        <v>125</v>
      </c>
      <c r="L138" s="951">
        <v>5935.18</v>
      </c>
      <c r="M138" s="951">
        <f t="shared" ref="M138:M140" si="30"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728</v>
      </c>
      <c r="L139" s="951">
        <f t="shared" si="29"/>
        <v>6538.18</v>
      </c>
      <c r="M139" s="951">
        <f t="shared" si="30"/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1">
        <v>25</v>
      </c>
      <c r="L140" s="951">
        <f t="shared" si="29"/>
        <v>3532.4700000000003</v>
      </c>
      <c r="M140" s="951">
        <f t="shared" si="30"/>
        <v>39967.53</v>
      </c>
    </row>
    <row r="141" spans="1:13" ht="18.75" x14ac:dyDescent="0.3">
      <c r="A141" s="955" t="s">
        <v>1820</v>
      </c>
      <c r="B141" s="950" t="s">
        <v>807</v>
      </c>
      <c r="C141" s="960" t="s">
        <v>276</v>
      </c>
      <c r="D141" s="960" t="s">
        <v>307</v>
      </c>
      <c r="E141" s="951">
        <v>43500</v>
      </c>
      <c r="F141" s="974">
        <v>0</v>
      </c>
      <c r="G141" s="951">
        <v>43500</v>
      </c>
      <c r="H141" s="951">
        <v>1248.45</v>
      </c>
      <c r="I141" s="974">
        <v>936.62</v>
      </c>
      <c r="J141" s="951">
        <v>1322.4</v>
      </c>
      <c r="K141" s="951">
        <v>25</v>
      </c>
      <c r="L141" s="951">
        <f t="shared" ref="L141" si="31">+H141+I141+J141+K141</f>
        <v>3532.4700000000003</v>
      </c>
      <c r="M141" s="951">
        <f t="shared" ref="M141" si="32">+G141-L141</f>
        <v>39967.53</v>
      </c>
    </row>
    <row r="142" spans="1:13" ht="18.75" x14ac:dyDescent="0.3">
      <c r="A142" s="961" t="s">
        <v>749</v>
      </c>
      <c r="B142" s="950"/>
      <c r="C142" s="962">
        <v>5</v>
      </c>
      <c r="D142" s="962"/>
      <c r="E142" s="963">
        <f>SUM(E137:E141)</f>
        <v>277000</v>
      </c>
      <c r="F142" s="1071">
        <v>0</v>
      </c>
      <c r="G142" s="963">
        <f t="shared" ref="G142:L142" si="33">SUM(G137:G141)</f>
        <v>277000</v>
      </c>
      <c r="H142" s="963">
        <f t="shared" si="33"/>
        <v>7949.9</v>
      </c>
      <c r="I142" s="963">
        <f t="shared" si="33"/>
        <v>14393.470000000001</v>
      </c>
      <c r="J142" s="963">
        <f t="shared" si="33"/>
        <v>8420.7999999999993</v>
      </c>
      <c r="K142" s="963">
        <f t="shared" si="33"/>
        <v>1731</v>
      </c>
      <c r="L142" s="963">
        <f t="shared" si="33"/>
        <v>32495.170000000002</v>
      </c>
      <c r="M142" s="963">
        <f>SUM(M137:M141)</f>
        <v>244504.83000000002</v>
      </c>
    </row>
    <row r="143" spans="1:13" ht="18.75" x14ac:dyDescent="0.3">
      <c r="A143" s="958"/>
      <c r="B143" s="950"/>
      <c r="C143" s="960"/>
      <c r="D143" s="960"/>
      <c r="E143" s="951"/>
      <c r="F143" s="952"/>
      <c r="G143" s="953"/>
      <c r="H143" s="951"/>
      <c r="I143" s="951"/>
      <c r="J143" s="951"/>
      <c r="K143" s="951"/>
      <c r="L143" s="951"/>
      <c r="M143" s="953"/>
    </row>
    <row r="144" spans="1:13" ht="18.75" x14ac:dyDescent="0.3">
      <c r="A144" s="961" t="s">
        <v>1515</v>
      </c>
      <c r="B144" s="950"/>
      <c r="C144" s="967"/>
      <c r="D144" s="967"/>
      <c r="E144" s="963"/>
      <c r="F144" s="964"/>
      <c r="G144" s="965"/>
      <c r="H144" s="963"/>
      <c r="I144" s="963"/>
      <c r="J144" s="963"/>
      <c r="K144" s="963"/>
      <c r="L144" s="963"/>
      <c r="M144" s="965"/>
    </row>
    <row r="145" spans="1:13" ht="18.75" x14ac:dyDescent="0.3">
      <c r="A145" s="958" t="s">
        <v>1686</v>
      </c>
      <c r="B145" s="950" t="s">
        <v>806</v>
      </c>
      <c r="C145" s="960" t="s">
        <v>1687</v>
      </c>
      <c r="D145" s="960" t="s">
        <v>307</v>
      </c>
      <c r="E145" s="951">
        <v>185000</v>
      </c>
      <c r="F145" s="952">
        <v>0</v>
      </c>
      <c r="G145" s="953">
        <v>185000</v>
      </c>
      <c r="H145" s="951">
        <v>5309.5</v>
      </c>
      <c r="I145" s="951">
        <v>32099.49</v>
      </c>
      <c r="J145" s="951">
        <v>5624</v>
      </c>
      <c r="K145" s="951">
        <v>2568.4</v>
      </c>
      <c r="L145" s="951">
        <f>+H145+I145+J145+K145</f>
        <v>45601.390000000007</v>
      </c>
      <c r="M145" s="953">
        <f>+G145-L145</f>
        <v>139398.60999999999</v>
      </c>
    </row>
    <row r="146" spans="1:13" ht="18.75" x14ac:dyDescent="0.3">
      <c r="A146" s="955" t="s">
        <v>77</v>
      </c>
      <c r="B146" s="986" t="s">
        <v>807</v>
      </c>
      <c r="C146" s="960" t="s">
        <v>1734</v>
      </c>
      <c r="D146" s="960" t="s">
        <v>1069</v>
      </c>
      <c r="E146" s="951">
        <v>70000</v>
      </c>
      <c r="F146" s="974">
        <v>0</v>
      </c>
      <c r="G146" s="1070">
        <v>70000</v>
      </c>
      <c r="H146" s="956">
        <v>2009</v>
      </c>
      <c r="I146" s="956">
        <v>5368.48</v>
      </c>
      <c r="J146" s="951">
        <v>2128</v>
      </c>
      <c r="K146" s="956">
        <v>828</v>
      </c>
      <c r="L146" s="951">
        <f>+H146+I146+J146+K146</f>
        <v>10333.48</v>
      </c>
      <c r="M146" s="953">
        <f>+G146-L146</f>
        <v>59666.520000000004</v>
      </c>
    </row>
    <row r="147" spans="1:13" ht="18.75" x14ac:dyDescent="0.3">
      <c r="A147" s="955" t="s">
        <v>1437</v>
      </c>
      <c r="B147" s="950" t="s">
        <v>807</v>
      </c>
      <c r="C147" s="960" t="s">
        <v>276</v>
      </c>
      <c r="D147" s="960" t="s">
        <v>307</v>
      </c>
      <c r="E147" s="951">
        <v>43500</v>
      </c>
      <c r="F147" s="974">
        <v>0</v>
      </c>
      <c r="G147" s="951">
        <v>43500</v>
      </c>
      <c r="H147" s="951">
        <v>1248.45</v>
      </c>
      <c r="I147" s="974">
        <v>936.62</v>
      </c>
      <c r="J147" s="951">
        <v>1322.4</v>
      </c>
      <c r="K147" s="951">
        <v>25</v>
      </c>
      <c r="L147" s="951">
        <f>+H147+I147+J147+K147</f>
        <v>3532.4700000000003</v>
      </c>
      <c r="M147" s="953">
        <f>+G147-L147</f>
        <v>39967.53</v>
      </c>
    </row>
    <row r="148" spans="1:13" ht="18.75" x14ac:dyDescent="0.3">
      <c r="A148" s="958" t="s">
        <v>310</v>
      </c>
      <c r="B148" s="950" t="s">
        <v>807</v>
      </c>
      <c r="C148" s="960" t="s">
        <v>276</v>
      </c>
      <c r="D148" s="960" t="s">
        <v>307</v>
      </c>
      <c r="E148" s="951">
        <v>50000</v>
      </c>
      <c r="F148" s="952">
        <v>0</v>
      </c>
      <c r="G148" s="953">
        <v>50000</v>
      </c>
      <c r="H148" s="951">
        <v>1435</v>
      </c>
      <c r="I148" s="951">
        <v>1854</v>
      </c>
      <c r="J148" s="951">
        <v>1520</v>
      </c>
      <c r="K148" s="951">
        <v>3296.7</v>
      </c>
      <c r="L148" s="951">
        <f>+H148+I148+J148+K148</f>
        <v>8105.7</v>
      </c>
      <c r="M148" s="953">
        <f t="shared" ref="M148" si="34">+G148-L148</f>
        <v>41894.300000000003</v>
      </c>
    </row>
    <row r="149" spans="1:13" ht="18.75" x14ac:dyDescent="0.3">
      <c r="A149" s="961" t="s">
        <v>749</v>
      </c>
      <c r="B149" s="950"/>
      <c r="C149" s="962">
        <v>4</v>
      </c>
      <c r="D149" s="962"/>
      <c r="E149" s="963">
        <f>SUM(E145:E148)</f>
        <v>348500</v>
      </c>
      <c r="F149" s="964">
        <f ca="1">SUM(F145:F172)</f>
        <v>0</v>
      </c>
      <c r="G149" s="965">
        <f>SUM(G145:G148)</f>
        <v>348500</v>
      </c>
      <c r="H149" s="963">
        <f t="shared" ref="H149:L149" si="35">SUM(H145:H148)</f>
        <v>10001.950000000001</v>
      </c>
      <c r="I149" s="963">
        <f t="shared" si="35"/>
        <v>40258.590000000004</v>
      </c>
      <c r="J149" s="963">
        <f t="shared" si="35"/>
        <v>10594.4</v>
      </c>
      <c r="K149" s="963">
        <f>SUM(K145:K148)</f>
        <v>6718.1</v>
      </c>
      <c r="L149" s="963">
        <f t="shared" si="35"/>
        <v>67573.040000000008</v>
      </c>
      <c r="M149" s="965">
        <f>SUM(M145:M148)</f>
        <v>280926.96000000002</v>
      </c>
    </row>
    <row r="150" spans="1:13" ht="18.75" x14ac:dyDescent="0.3">
      <c r="A150" s="961"/>
      <c r="B150" s="950"/>
      <c r="C150" s="962"/>
      <c r="D150" s="962"/>
      <c r="E150" s="963"/>
      <c r="F150" s="964"/>
      <c r="G150" s="965"/>
      <c r="H150" s="963"/>
      <c r="I150" s="963"/>
      <c r="J150" s="963"/>
      <c r="K150" s="963"/>
      <c r="L150" s="963"/>
      <c r="M150" s="965"/>
    </row>
    <row r="151" spans="1:13" ht="18.75" x14ac:dyDescent="0.3">
      <c r="A151" s="967" t="s">
        <v>1458</v>
      </c>
      <c r="B151" s="988"/>
      <c r="C151" s="989"/>
      <c r="D151" s="989"/>
      <c r="E151" s="949"/>
      <c r="F151" s="949"/>
      <c r="G151" s="990"/>
      <c r="H151" s="1379"/>
      <c r="I151" s="963"/>
      <c r="J151" s="963"/>
      <c r="K151" s="963"/>
      <c r="L151" s="963"/>
      <c r="M151" s="965"/>
    </row>
    <row r="152" spans="1:13" ht="18.75" x14ac:dyDescent="0.3">
      <c r="A152" s="960" t="s">
        <v>1689</v>
      </c>
      <c r="B152" s="950" t="s">
        <v>807</v>
      </c>
      <c r="C152" s="960" t="s">
        <v>1772</v>
      </c>
      <c r="D152" s="960" t="s">
        <v>1069</v>
      </c>
      <c r="E152" s="951">
        <v>80000</v>
      </c>
      <c r="F152" s="971">
        <v>0</v>
      </c>
      <c r="G152" s="972">
        <v>80000</v>
      </c>
      <c r="H152" s="951">
        <v>2296</v>
      </c>
      <c r="I152" s="951">
        <v>7400.87</v>
      </c>
      <c r="J152" s="951">
        <v>2432</v>
      </c>
      <c r="K152" s="951">
        <v>2097.1999999999998</v>
      </c>
      <c r="L152" s="951">
        <f>+H152+I152+J152+K152</f>
        <v>14226.07</v>
      </c>
      <c r="M152" s="953">
        <f>+G152-L152</f>
        <v>65773.929999999993</v>
      </c>
    </row>
    <row r="153" spans="1:13" ht="18.75" x14ac:dyDescent="0.3">
      <c r="A153" s="960" t="s">
        <v>1690</v>
      </c>
      <c r="B153" s="950" t="s">
        <v>807</v>
      </c>
      <c r="C153" s="960" t="s">
        <v>276</v>
      </c>
      <c r="D153" s="960" t="s">
        <v>307</v>
      </c>
      <c r="E153" s="951">
        <v>43500</v>
      </c>
      <c r="F153" s="974">
        <v>0</v>
      </c>
      <c r="G153" s="951">
        <v>43500</v>
      </c>
      <c r="H153" s="951">
        <v>1248.45</v>
      </c>
      <c r="I153" s="974">
        <v>679.3</v>
      </c>
      <c r="J153" s="951">
        <v>1322.4</v>
      </c>
      <c r="K153" s="951">
        <v>1740.46</v>
      </c>
      <c r="L153" s="951">
        <f>SUM(H153:K153)</f>
        <v>4990.6100000000006</v>
      </c>
      <c r="M153" s="951">
        <f>+E153-L153</f>
        <v>38509.39</v>
      </c>
    </row>
    <row r="154" spans="1:13" ht="18.75" x14ac:dyDescent="0.3">
      <c r="A154" s="961" t="s">
        <v>847</v>
      </c>
      <c r="B154" s="992"/>
      <c r="C154" s="962">
        <v>2</v>
      </c>
      <c r="D154" s="962"/>
      <c r="E154" s="963">
        <f>SUM(E152:E153)</f>
        <v>123500</v>
      </c>
      <c r="F154" s="1071">
        <v>0</v>
      </c>
      <c r="G154" s="963">
        <f t="shared" ref="G154:I154" si="36">SUM(G152:G153)</f>
        <v>123500</v>
      </c>
      <c r="H154" s="963">
        <f t="shared" si="36"/>
        <v>3544.45</v>
      </c>
      <c r="I154" s="963">
        <f t="shared" si="36"/>
        <v>8080.17</v>
      </c>
      <c r="J154" s="963">
        <f>SUM(J152:J153)</f>
        <v>3754.4</v>
      </c>
      <c r="K154" s="963">
        <f>SUM(K152:K153)</f>
        <v>3837.66</v>
      </c>
      <c r="L154" s="963">
        <f>SUM(L152:L153)</f>
        <v>19216.68</v>
      </c>
      <c r="M154" s="963">
        <f>SUM(M152:M153)</f>
        <v>104283.31999999999</v>
      </c>
    </row>
    <row r="155" spans="1:13" ht="18.75" x14ac:dyDescent="0.3">
      <c r="A155" s="961"/>
      <c r="B155" s="950"/>
      <c r="C155" s="962"/>
      <c r="D155" s="962"/>
      <c r="E155" s="963"/>
      <c r="F155" s="964"/>
      <c r="G155" s="965"/>
      <c r="H155" s="963"/>
      <c r="I155" s="963"/>
      <c r="J155" s="963"/>
      <c r="K155" s="963"/>
      <c r="L155" s="963"/>
      <c r="M155" s="965"/>
    </row>
    <row r="156" spans="1:13" ht="18.75" x14ac:dyDescent="0.3">
      <c r="A156" s="982" t="s">
        <v>1245</v>
      </c>
      <c r="B156" s="950"/>
      <c r="C156" s="967"/>
      <c r="D156" s="967"/>
      <c r="E156" s="963"/>
      <c r="F156" s="964"/>
      <c r="G156" s="965"/>
      <c r="H156" s="963"/>
      <c r="I156" s="963"/>
      <c r="J156" s="963"/>
      <c r="K156" s="963"/>
      <c r="L156" s="963"/>
      <c r="M156" s="965"/>
    </row>
    <row r="157" spans="1:13" ht="18.75" x14ac:dyDescent="0.3">
      <c r="A157" s="955" t="s">
        <v>1691</v>
      </c>
      <c r="B157" s="950" t="s">
        <v>806</v>
      </c>
      <c r="C157" s="960" t="s">
        <v>551</v>
      </c>
      <c r="D157" s="960" t="s">
        <v>307</v>
      </c>
      <c r="E157" s="951">
        <v>43500</v>
      </c>
      <c r="F157" s="952">
        <v>0</v>
      </c>
      <c r="G157" s="953">
        <v>43500</v>
      </c>
      <c r="H157" s="951">
        <v>1248.45</v>
      </c>
      <c r="I157" s="974">
        <v>936.62</v>
      </c>
      <c r="J157" s="951">
        <v>1322.4</v>
      </c>
      <c r="K157" s="951">
        <v>25</v>
      </c>
      <c r="L157" s="951">
        <f>SUM(H157:K157)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1</v>
      </c>
      <c r="D158" s="962"/>
      <c r="E158" s="963">
        <f>SUM(E157:E157)</f>
        <v>43500</v>
      </c>
      <c r="F158" s="964">
        <f t="shared" ref="F158:J158" si="37">SUM(F157:F157)</f>
        <v>0</v>
      </c>
      <c r="G158" s="965">
        <f t="shared" si="37"/>
        <v>43500</v>
      </c>
      <c r="H158" s="963">
        <f t="shared" si="37"/>
        <v>1248.45</v>
      </c>
      <c r="I158" s="1091">
        <f>SUM(I157:I157)</f>
        <v>936.62</v>
      </c>
      <c r="J158" s="1091">
        <f t="shared" si="37"/>
        <v>1322.4</v>
      </c>
      <c r="K158" s="963">
        <f>SUM(K157:K157)</f>
        <v>25</v>
      </c>
      <c r="L158" s="963">
        <f>SUM(L157)</f>
        <v>3532.4700000000003</v>
      </c>
      <c r="M158" s="965">
        <v>39967.53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1"/>
      <c r="I159" s="951"/>
      <c r="J159" s="951"/>
      <c r="K159" s="951"/>
      <c r="L159" s="951"/>
      <c r="M159" s="953"/>
    </row>
    <row r="160" spans="1:13" ht="18.75" x14ac:dyDescent="0.3">
      <c r="A160" s="997" t="s">
        <v>1692</v>
      </c>
      <c r="B160" s="950"/>
      <c r="C160" s="967"/>
      <c r="D160" s="967"/>
      <c r="E160" s="963"/>
      <c r="F160" s="964"/>
      <c r="G160" s="965"/>
      <c r="H160" s="963"/>
      <c r="I160" s="963"/>
      <c r="J160" s="963"/>
      <c r="K160" s="963"/>
      <c r="L160" s="963"/>
      <c r="M160" s="965"/>
    </row>
    <row r="161" spans="1:13" ht="18.75" x14ac:dyDescent="0.3">
      <c r="A161" s="955" t="s">
        <v>1693</v>
      </c>
      <c r="B161" s="950" t="s">
        <v>807</v>
      </c>
      <c r="C161" s="960" t="s">
        <v>1734</v>
      </c>
      <c r="D161" s="960" t="s">
        <v>307</v>
      </c>
      <c r="E161" s="951">
        <v>70000</v>
      </c>
      <c r="F161" s="974">
        <v>0</v>
      </c>
      <c r="G161" s="951">
        <v>70000</v>
      </c>
      <c r="H161" s="951">
        <v>2009</v>
      </c>
      <c r="I161" s="951">
        <v>5368.48</v>
      </c>
      <c r="J161" s="951">
        <v>2128</v>
      </c>
      <c r="K161" s="951">
        <v>1296.7</v>
      </c>
      <c r="L161" s="951">
        <f>+H161+I161+J161+K161</f>
        <v>10802.18</v>
      </c>
      <c r="M161" s="953">
        <f t="shared" ref="M161:M162" si="38">+G161-L161</f>
        <v>59197.82</v>
      </c>
    </row>
    <row r="162" spans="1:13" ht="18.75" x14ac:dyDescent="0.3">
      <c r="A162" s="955" t="s">
        <v>1694</v>
      </c>
      <c r="B162" s="950" t="s">
        <v>806</v>
      </c>
      <c r="C162" s="960" t="s">
        <v>551</v>
      </c>
      <c r="D162" s="960" t="s">
        <v>307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1">
        <v>2025</v>
      </c>
      <c r="L162" s="951">
        <f>+H162+I162+J162+K162</f>
        <v>5532.47</v>
      </c>
      <c r="M162" s="953">
        <f t="shared" si="38"/>
        <v>37967.53</v>
      </c>
    </row>
    <row r="163" spans="1:13" ht="18.75" x14ac:dyDescent="0.3">
      <c r="A163" s="955" t="s">
        <v>1695</v>
      </c>
      <c r="B163" s="950" t="s">
        <v>806</v>
      </c>
      <c r="C163" s="960" t="s">
        <v>551</v>
      </c>
      <c r="D163" s="960" t="s">
        <v>321</v>
      </c>
      <c r="E163" s="951">
        <v>43500</v>
      </c>
      <c r="F163" s="952">
        <v>0</v>
      </c>
      <c r="G163" s="953">
        <v>43500</v>
      </c>
      <c r="H163" s="951">
        <v>1248.45</v>
      </c>
      <c r="I163" s="974">
        <v>936.62</v>
      </c>
      <c r="J163" s="951">
        <v>1322.4</v>
      </c>
      <c r="K163" s="951">
        <v>25</v>
      </c>
      <c r="L163" s="951">
        <f>+H163+I163+J163+K163</f>
        <v>3532.4700000000003</v>
      </c>
      <c r="M163" s="953">
        <f>+G163-L163</f>
        <v>39967.53</v>
      </c>
    </row>
    <row r="164" spans="1:13" ht="18.75" x14ac:dyDescent="0.3">
      <c r="A164" s="961" t="s">
        <v>847</v>
      </c>
      <c r="B164" s="950"/>
      <c r="C164" s="962">
        <v>3</v>
      </c>
      <c r="D164" s="962"/>
      <c r="E164" s="963">
        <f>SUM(E161:E163)</f>
        <v>157000</v>
      </c>
      <c r="F164" s="993">
        <f t="shared" ref="F164" si="39">SUM(F163)</f>
        <v>0</v>
      </c>
      <c r="G164" s="963">
        <f t="shared" ref="G164:M164" si="40">SUM(G161:G163)</f>
        <v>157000</v>
      </c>
      <c r="H164" s="963">
        <f t="shared" si="40"/>
        <v>4505.8999999999996</v>
      </c>
      <c r="I164" s="963">
        <f t="shared" si="40"/>
        <v>7241.7199999999993</v>
      </c>
      <c r="J164" s="963">
        <f t="shared" si="40"/>
        <v>4772.8</v>
      </c>
      <c r="K164" s="963">
        <f>SUM(K161:K163)</f>
        <v>3346.7</v>
      </c>
      <c r="L164" s="963">
        <f t="shared" si="40"/>
        <v>19867.120000000003</v>
      </c>
      <c r="M164" s="963">
        <f t="shared" si="40"/>
        <v>137132.88</v>
      </c>
    </row>
    <row r="165" spans="1:13" ht="18.75" x14ac:dyDescent="0.3">
      <c r="A165" s="958"/>
      <c r="B165" s="950"/>
      <c r="C165" s="960"/>
      <c r="D165" s="960"/>
      <c r="E165" s="951"/>
      <c r="F165" s="952"/>
      <c r="G165" s="953"/>
      <c r="H165" s="951"/>
      <c r="I165" s="951"/>
      <c r="J165" s="951"/>
      <c r="K165" s="951"/>
      <c r="L165" s="951"/>
      <c r="M165" s="953"/>
    </row>
    <row r="166" spans="1:13" ht="29.25" customHeight="1" x14ac:dyDescent="0.3">
      <c r="A166" s="982" t="s">
        <v>1138</v>
      </c>
      <c r="B166" s="950"/>
      <c r="C166" s="967"/>
      <c r="D166" s="967"/>
      <c r="E166" s="963"/>
      <c r="F166" s="964"/>
      <c r="G166" s="965"/>
      <c r="H166" s="963"/>
      <c r="I166" s="963"/>
      <c r="J166" s="963"/>
      <c r="K166" s="963"/>
      <c r="L166" s="963"/>
      <c r="M166" s="965"/>
    </row>
    <row r="167" spans="1:13" ht="18.75" x14ac:dyDescent="0.3">
      <c r="A167" s="958" t="s">
        <v>1640</v>
      </c>
      <c r="B167" s="950" t="s">
        <v>806</v>
      </c>
      <c r="C167" s="960" t="s">
        <v>417</v>
      </c>
      <c r="D167" s="960" t="s">
        <v>1069</v>
      </c>
      <c r="E167" s="951">
        <v>80000</v>
      </c>
      <c r="F167" s="952">
        <v>0</v>
      </c>
      <c r="G167" s="953">
        <v>80000</v>
      </c>
      <c r="H167" s="951">
        <v>2296</v>
      </c>
      <c r="I167" s="951">
        <v>7400.87</v>
      </c>
      <c r="J167" s="951">
        <v>2432</v>
      </c>
      <c r="K167" s="951">
        <v>728</v>
      </c>
      <c r="L167" s="951">
        <f>+H167+I167+J167+K167</f>
        <v>12856.869999999999</v>
      </c>
      <c r="M167" s="953">
        <f>+G167-L167</f>
        <v>67143.13</v>
      </c>
    </row>
    <row r="168" spans="1:13" ht="18.75" x14ac:dyDescent="0.3">
      <c r="A168" s="961" t="s">
        <v>847</v>
      </c>
      <c r="B168" s="950"/>
      <c r="C168" s="962">
        <v>1</v>
      </c>
      <c r="D168" s="962"/>
      <c r="E168" s="963">
        <f>SUM(E167:E167)</f>
        <v>80000</v>
      </c>
      <c r="F168" s="1071">
        <v>0</v>
      </c>
      <c r="G168" s="963">
        <f t="shared" ref="G168:M168" si="41">SUM(G167:G167)</f>
        <v>80000</v>
      </c>
      <c r="H168" s="963">
        <f t="shared" si="41"/>
        <v>2296</v>
      </c>
      <c r="I168" s="963">
        <f t="shared" si="41"/>
        <v>7400.87</v>
      </c>
      <c r="J168" s="963">
        <f t="shared" si="41"/>
        <v>2432</v>
      </c>
      <c r="K168" s="963">
        <f>SUM(K167:K167)</f>
        <v>728</v>
      </c>
      <c r="L168" s="963">
        <f t="shared" si="41"/>
        <v>12856.869999999999</v>
      </c>
      <c r="M168" s="963">
        <f t="shared" si="41"/>
        <v>67143.13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1"/>
      <c r="I169" s="951"/>
      <c r="J169" s="951"/>
      <c r="K169" s="951"/>
      <c r="L169" s="951"/>
      <c r="M169" s="953"/>
    </row>
    <row r="170" spans="1:13" ht="18.75" customHeight="1" x14ac:dyDescent="0.3">
      <c r="A170" s="982" t="s">
        <v>1195</v>
      </c>
      <c r="B170" s="950"/>
      <c r="C170" s="967"/>
      <c r="D170" s="967"/>
      <c r="E170" s="963"/>
      <c r="F170" s="964"/>
      <c r="G170" s="965"/>
      <c r="H170" s="963"/>
      <c r="I170" s="963"/>
      <c r="J170" s="963"/>
      <c r="K170" s="963"/>
      <c r="L170" s="963"/>
      <c r="M170" s="965"/>
    </row>
    <row r="171" spans="1:13" ht="18.75" x14ac:dyDescent="0.3">
      <c r="A171" s="955" t="s">
        <v>217</v>
      </c>
      <c r="B171" s="950" t="s">
        <v>807</v>
      </c>
      <c r="C171" s="960" t="s">
        <v>1734</v>
      </c>
      <c r="D171" s="960" t="s">
        <v>1069</v>
      </c>
      <c r="E171" s="951">
        <v>80000</v>
      </c>
      <c r="F171" s="952">
        <v>0</v>
      </c>
      <c r="G171" s="953">
        <v>80000</v>
      </c>
      <c r="H171" s="951">
        <v>2296</v>
      </c>
      <c r="I171" s="951">
        <v>7400.87</v>
      </c>
      <c r="J171" s="951">
        <v>2432</v>
      </c>
      <c r="K171" s="951">
        <v>3639.14</v>
      </c>
      <c r="L171" s="951">
        <f>+H171+I171+J171+K171</f>
        <v>15768.009999999998</v>
      </c>
      <c r="M171" s="953">
        <f>+G171-L171</f>
        <v>64231.990000000005</v>
      </c>
    </row>
    <row r="172" spans="1:13" ht="18.75" x14ac:dyDescent="0.3">
      <c r="A172" s="955" t="s">
        <v>1688</v>
      </c>
      <c r="B172" s="950" t="s">
        <v>806</v>
      </c>
      <c r="C172" s="960" t="s">
        <v>1683</v>
      </c>
      <c r="D172" s="960" t="s">
        <v>1069</v>
      </c>
      <c r="E172" s="951">
        <v>55000</v>
      </c>
      <c r="F172" s="974">
        <v>0</v>
      </c>
      <c r="G172" s="951">
        <v>55000</v>
      </c>
      <c r="H172" s="951">
        <v>1578.5</v>
      </c>
      <c r="I172" s="951">
        <v>2559.6799999999998</v>
      </c>
      <c r="J172" s="951">
        <v>1672</v>
      </c>
      <c r="K172" s="951">
        <v>1396.7</v>
      </c>
      <c r="L172" s="951">
        <f>+H172+I172+J172+K172</f>
        <v>7206.88</v>
      </c>
      <c r="M172" s="953">
        <f>+G172-L172</f>
        <v>47793.120000000003</v>
      </c>
    </row>
    <row r="173" spans="1:13" ht="18.75" x14ac:dyDescent="0.3">
      <c r="A173" s="961" t="s">
        <v>749</v>
      </c>
      <c r="B173" s="950"/>
      <c r="C173" s="962">
        <v>2</v>
      </c>
      <c r="D173" s="962"/>
      <c r="E173" s="963">
        <f>SUM(E171:E172)</f>
        <v>135000</v>
      </c>
      <c r="F173" s="964">
        <f t="shared" ref="F173:M173" si="42">SUM(F171:F172)</f>
        <v>0</v>
      </c>
      <c r="G173" s="965">
        <f t="shared" si="42"/>
        <v>135000</v>
      </c>
      <c r="H173" s="963">
        <f t="shared" si="42"/>
        <v>3874.5</v>
      </c>
      <c r="I173" s="963">
        <f t="shared" si="42"/>
        <v>9960.5499999999993</v>
      </c>
      <c r="J173" s="963">
        <f t="shared" si="42"/>
        <v>4104</v>
      </c>
      <c r="K173" s="963">
        <f>SUM(K171:K172)</f>
        <v>5035.84</v>
      </c>
      <c r="L173" s="963">
        <f t="shared" si="42"/>
        <v>22974.89</v>
      </c>
      <c r="M173" s="965">
        <f t="shared" si="42"/>
        <v>112025.11000000002</v>
      </c>
    </row>
    <row r="174" spans="1:13" ht="18.75" x14ac:dyDescent="0.3">
      <c r="A174" s="961"/>
      <c r="B174" s="950"/>
      <c r="C174" s="962"/>
      <c r="D174" s="962"/>
      <c r="E174" s="963"/>
      <c r="F174" s="964"/>
      <c r="G174" s="965"/>
      <c r="H174" s="963"/>
      <c r="I174" s="963"/>
      <c r="J174" s="963"/>
      <c r="K174" s="963"/>
      <c r="L174" s="963"/>
      <c r="M174" s="965"/>
    </row>
    <row r="175" spans="1:13" ht="18.75" x14ac:dyDescent="0.3">
      <c r="A175" s="982" t="s">
        <v>1421</v>
      </c>
      <c r="B175" s="950"/>
      <c r="C175" s="962"/>
      <c r="D175" s="962"/>
      <c r="E175" s="963"/>
      <c r="F175" s="964"/>
      <c r="G175" s="965"/>
      <c r="H175" s="963"/>
      <c r="I175" s="963"/>
      <c r="J175" s="963"/>
      <c r="K175" s="963"/>
      <c r="L175" s="963"/>
      <c r="M175" s="965"/>
    </row>
    <row r="176" spans="1:13" ht="18.75" x14ac:dyDescent="0.3">
      <c r="A176" s="1319" t="s">
        <v>1780</v>
      </c>
      <c r="B176" s="950" t="s">
        <v>806</v>
      </c>
      <c r="C176" s="1320" t="s">
        <v>551</v>
      </c>
      <c r="D176" s="960" t="s">
        <v>307</v>
      </c>
      <c r="E176" s="951">
        <v>43500</v>
      </c>
      <c r="F176" s="952">
        <v>0</v>
      </c>
      <c r="G176" s="953">
        <v>43500</v>
      </c>
      <c r="H176" s="951">
        <v>1248.45</v>
      </c>
      <c r="I176" s="951">
        <v>936.62</v>
      </c>
      <c r="J176" s="951">
        <v>1322.4</v>
      </c>
      <c r="K176" s="951">
        <v>25</v>
      </c>
      <c r="L176" s="951">
        <v>3532.47</v>
      </c>
      <c r="M176" s="953">
        <v>39967.53</v>
      </c>
    </row>
    <row r="177" spans="1:13" ht="18.75" x14ac:dyDescent="0.3">
      <c r="A177" s="961" t="s">
        <v>749</v>
      </c>
      <c r="B177" s="950"/>
      <c r="C177" s="962">
        <v>1</v>
      </c>
      <c r="D177" s="962"/>
      <c r="E177" s="963">
        <v>43500</v>
      </c>
      <c r="F177" s="964">
        <v>0</v>
      </c>
      <c r="G177" s="965">
        <v>43500</v>
      </c>
      <c r="H177" s="963">
        <v>1248.45</v>
      </c>
      <c r="I177" s="963">
        <v>936.62</v>
      </c>
      <c r="J177" s="963">
        <v>1322.4</v>
      </c>
      <c r="K177" s="963">
        <v>25</v>
      </c>
      <c r="L177" s="963">
        <v>3532.47</v>
      </c>
      <c r="M177" s="965">
        <v>39967.53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5"/>
      <c r="H178" s="963"/>
      <c r="I178" s="963"/>
      <c r="J178" s="963"/>
      <c r="K178" s="963"/>
      <c r="L178" s="963"/>
      <c r="M178" s="965"/>
    </row>
    <row r="179" spans="1:13" ht="18.75" x14ac:dyDescent="0.3">
      <c r="A179" s="961" t="s">
        <v>803</v>
      </c>
      <c r="B179" s="950"/>
      <c r="C179" s="967"/>
      <c r="D179" s="967"/>
      <c r="E179" s="963"/>
      <c r="F179" s="964"/>
      <c r="G179" s="965"/>
      <c r="H179" s="963"/>
      <c r="I179" s="963"/>
      <c r="J179" s="963"/>
      <c r="K179" s="963"/>
      <c r="L179" s="963"/>
      <c r="M179" s="965"/>
    </row>
    <row r="180" spans="1:13" ht="18.75" x14ac:dyDescent="0.3">
      <c r="A180" s="955" t="s">
        <v>1698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 t="shared" ref="L180:L184" si="43">+H180+I180+J180+K180</f>
        <v>3532.4700000000003</v>
      </c>
      <c r="M180" s="951">
        <f t="shared" ref="M180:M184" si="44">+G180-L180</f>
        <v>39967.53</v>
      </c>
    </row>
    <row r="181" spans="1:13" ht="18.75" x14ac:dyDescent="0.3">
      <c r="A181" s="955" t="s">
        <v>1699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 t="shared" si="43"/>
        <v>3532.4700000000003</v>
      </c>
      <c r="M181" s="951">
        <f t="shared" si="44"/>
        <v>39967.53</v>
      </c>
    </row>
    <row r="182" spans="1:13" ht="18.75" x14ac:dyDescent="0.3">
      <c r="A182" s="955" t="s">
        <v>1700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 t="shared" si="43"/>
        <v>3532.4700000000003</v>
      </c>
      <c r="M182" s="951">
        <f t="shared" si="44"/>
        <v>39967.53</v>
      </c>
    </row>
    <row r="183" spans="1:13" ht="16.5" customHeight="1" x14ac:dyDescent="0.3">
      <c r="A183" s="1069" t="s">
        <v>1701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974">
        <v>421.98</v>
      </c>
      <c r="J183" s="951">
        <v>1322.4</v>
      </c>
      <c r="K183" s="951">
        <v>4861.92</v>
      </c>
      <c r="L183" s="951">
        <f t="shared" si="43"/>
        <v>7854.75</v>
      </c>
      <c r="M183" s="951">
        <f t="shared" si="44"/>
        <v>35645.25</v>
      </c>
    </row>
    <row r="184" spans="1:13" ht="18.75" x14ac:dyDescent="0.3">
      <c r="A184" s="998" t="s">
        <v>1702</v>
      </c>
      <c r="B184" s="950" t="s">
        <v>1296</v>
      </c>
      <c r="C184" s="1024" t="s">
        <v>1325</v>
      </c>
      <c r="D184" s="960" t="s">
        <v>321</v>
      </c>
      <c r="E184" s="951">
        <v>43500</v>
      </c>
      <c r="F184" s="952">
        <v>0</v>
      </c>
      <c r="G184" s="953">
        <v>43500</v>
      </c>
      <c r="H184" s="951">
        <v>1248.45</v>
      </c>
      <c r="I184" s="974">
        <v>936.62</v>
      </c>
      <c r="J184" s="951">
        <v>1322.4</v>
      </c>
      <c r="K184" s="951">
        <v>25</v>
      </c>
      <c r="L184" s="951">
        <f t="shared" si="43"/>
        <v>3532.4700000000003</v>
      </c>
      <c r="M184" s="951">
        <f t="shared" si="44"/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217500</v>
      </c>
      <c r="F185" s="964">
        <v>0</v>
      </c>
      <c r="G185" s="963">
        <f t="shared" ref="G185:M185" si="45">SUM(G180:G184)</f>
        <v>217500</v>
      </c>
      <c r="H185" s="963">
        <f t="shared" si="45"/>
        <v>6242.25</v>
      </c>
      <c r="I185" s="963">
        <f t="shared" si="45"/>
        <v>4168.46</v>
      </c>
      <c r="J185" s="963">
        <f t="shared" si="45"/>
        <v>6612</v>
      </c>
      <c r="K185" s="963">
        <f>SUM(K180:K184)</f>
        <v>4961.92</v>
      </c>
      <c r="L185" s="963">
        <f t="shared" si="45"/>
        <v>21984.63</v>
      </c>
      <c r="M185" s="963">
        <f t="shared" si="45"/>
        <v>195515.37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3"/>
      <c r="J186" s="963"/>
      <c r="K186" s="963"/>
      <c r="L186" s="963"/>
      <c r="M186" s="963"/>
    </row>
    <row r="187" spans="1:13" ht="18.75" x14ac:dyDescent="0.3">
      <c r="A187" s="961" t="s">
        <v>1490</v>
      </c>
      <c r="B187" s="950"/>
      <c r="C187" s="962"/>
      <c r="D187" s="962"/>
      <c r="E187" s="963"/>
      <c r="F187" s="964"/>
      <c r="G187" s="963"/>
      <c r="H187" s="963"/>
      <c r="I187" s="963"/>
      <c r="J187" s="963"/>
      <c r="K187" s="963"/>
      <c r="L187" s="963"/>
      <c r="M187" s="963"/>
    </row>
    <row r="188" spans="1:13" ht="21" customHeight="1" x14ac:dyDescent="0.3">
      <c r="A188" s="1069" t="s">
        <v>1386</v>
      </c>
      <c r="B188" s="950" t="s">
        <v>806</v>
      </c>
      <c r="C188" s="1024" t="s">
        <v>1325</v>
      </c>
      <c r="D188" s="960" t="s">
        <v>321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1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1704</v>
      </c>
      <c r="B189" s="950" t="s">
        <v>806</v>
      </c>
      <c r="C189" s="1024" t="s">
        <v>1325</v>
      </c>
      <c r="D189" s="960" t="s">
        <v>307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1">
        <v>25</v>
      </c>
      <c r="L189" s="951">
        <f>+H189+I189+J189+K189</f>
        <v>3532.4700000000003</v>
      </c>
      <c r="M189" s="951">
        <f>+G189-L189</f>
        <v>39967.53</v>
      </c>
    </row>
    <row r="190" spans="1:13" ht="21" customHeight="1" x14ac:dyDescent="0.3">
      <c r="A190" s="1069" t="s">
        <v>1328</v>
      </c>
      <c r="B190" s="950" t="s">
        <v>1296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974">
        <v>936.62</v>
      </c>
      <c r="J190" s="951">
        <v>1322.4</v>
      </c>
      <c r="K190" s="951">
        <v>25</v>
      </c>
      <c r="L190" s="951">
        <f>+H190+I190+J190+K190</f>
        <v>3532.4700000000003</v>
      </c>
      <c r="M190" s="951">
        <f>+G190-L190</f>
        <v>39967.53</v>
      </c>
    </row>
    <row r="191" spans="1:13" ht="18.75" x14ac:dyDescent="0.3">
      <c r="A191" s="1027" t="s">
        <v>1705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1">
        <v>25</v>
      </c>
      <c r="L191" s="1032">
        <v>3532.4700000000003</v>
      </c>
      <c r="M191" s="1032">
        <v>39967.53</v>
      </c>
    </row>
    <row r="192" spans="1:13" ht="18.75" x14ac:dyDescent="0.3">
      <c r="A192" s="1027" t="s">
        <v>1781</v>
      </c>
      <c r="B192" s="950" t="s">
        <v>807</v>
      </c>
      <c r="C192" s="1024" t="s">
        <v>1325</v>
      </c>
      <c r="D192" s="960" t="s">
        <v>307</v>
      </c>
      <c r="E192" s="951">
        <v>43500</v>
      </c>
      <c r="F192" s="974">
        <v>0</v>
      </c>
      <c r="G192" s="1032">
        <v>43500</v>
      </c>
      <c r="H192" s="951">
        <v>1248.45</v>
      </c>
      <c r="I192" s="1036">
        <v>936.62</v>
      </c>
      <c r="J192" s="951">
        <v>1322.4</v>
      </c>
      <c r="K192" s="951">
        <v>25</v>
      </c>
      <c r="L192" s="1032">
        <v>3532.4700000000003</v>
      </c>
      <c r="M192" s="1032">
        <v>39967.53</v>
      </c>
    </row>
    <row r="193" spans="1:13" ht="18.75" x14ac:dyDescent="0.3">
      <c r="A193" s="961" t="s">
        <v>847</v>
      </c>
      <c r="B193" s="950"/>
      <c r="C193" s="962">
        <v>5</v>
      </c>
      <c r="D193" s="962"/>
      <c r="E193" s="963">
        <f>SUM(E188:E192)</f>
        <v>217500</v>
      </c>
      <c r="F193" s="964">
        <v>0</v>
      </c>
      <c r="G193" s="963">
        <f t="shared" ref="G193:M193" si="46">SUM(G188:G192)</f>
        <v>217500</v>
      </c>
      <c r="H193" s="963">
        <f t="shared" si="46"/>
        <v>6242.25</v>
      </c>
      <c r="I193" s="963">
        <f t="shared" si="46"/>
        <v>4683.1000000000004</v>
      </c>
      <c r="J193" s="963">
        <f t="shared" si="46"/>
        <v>6612</v>
      </c>
      <c r="K193" s="963">
        <f>SUM(K188:K192)</f>
        <v>125</v>
      </c>
      <c r="L193" s="963">
        <f t="shared" si="46"/>
        <v>17662.350000000002</v>
      </c>
      <c r="M193" s="963">
        <f t="shared" si="46"/>
        <v>199837.65</v>
      </c>
    </row>
    <row r="194" spans="1:13" ht="18.75" x14ac:dyDescent="0.3">
      <c r="A194" s="961"/>
      <c r="B194" s="950"/>
      <c r="C194" s="962"/>
      <c r="D194" s="962"/>
      <c r="E194" s="963"/>
      <c r="F194" s="964"/>
      <c r="G194" s="963"/>
      <c r="H194" s="963"/>
      <c r="I194" s="963"/>
      <c r="J194" s="963"/>
      <c r="K194" s="963"/>
      <c r="L194" s="963"/>
      <c r="M194" s="963"/>
    </row>
    <row r="195" spans="1:13" ht="18.75" x14ac:dyDescent="0.3">
      <c r="A195" s="961" t="s">
        <v>1221</v>
      </c>
      <c r="B195" s="950"/>
      <c r="C195" s="967"/>
      <c r="D195" s="967"/>
      <c r="E195" s="963"/>
      <c r="F195" s="964"/>
      <c r="G195" s="965"/>
      <c r="H195" s="963"/>
      <c r="I195" s="963"/>
      <c r="J195" s="963"/>
      <c r="K195" s="963"/>
      <c r="L195" s="963"/>
      <c r="M195" s="965"/>
    </row>
    <row r="196" spans="1:13" ht="18.75" x14ac:dyDescent="0.3">
      <c r="A196" s="961" t="s">
        <v>1739</v>
      </c>
      <c r="B196" s="950"/>
      <c r="C196" s="1026"/>
      <c r="D196" s="960"/>
      <c r="E196" s="951"/>
      <c r="F196" s="974"/>
      <c r="G196" s="1032"/>
      <c r="H196" s="951"/>
      <c r="I196" s="1036"/>
      <c r="J196" s="951"/>
      <c r="K196" s="951"/>
      <c r="L196" s="1032"/>
      <c r="M196" s="1032"/>
    </row>
    <row r="197" spans="1:13" ht="18.75" x14ac:dyDescent="0.3">
      <c r="A197" s="1027" t="s">
        <v>1478</v>
      </c>
      <c r="B197" s="950" t="s">
        <v>806</v>
      </c>
      <c r="C197" s="1024" t="s">
        <v>1706</v>
      </c>
      <c r="D197" s="960" t="s">
        <v>1069</v>
      </c>
      <c r="E197" s="951">
        <v>120000</v>
      </c>
      <c r="F197" s="974">
        <v>0</v>
      </c>
      <c r="G197" s="1032">
        <v>120000</v>
      </c>
      <c r="H197" s="951">
        <v>3444</v>
      </c>
      <c r="I197" s="1032">
        <v>16809.87</v>
      </c>
      <c r="J197" s="951">
        <v>3648</v>
      </c>
      <c r="K197" s="951">
        <v>25</v>
      </c>
      <c r="L197" s="1032">
        <f>+H197+I197+J197+K197</f>
        <v>23926.87</v>
      </c>
      <c r="M197" s="1032">
        <f t="shared" ref="M197:M203" si="47">+G197-L197</f>
        <v>96073.13</v>
      </c>
    </row>
    <row r="198" spans="1:13" ht="18.75" x14ac:dyDescent="0.3">
      <c r="A198" s="1027" t="s">
        <v>244</v>
      </c>
      <c r="B198" s="950" t="s">
        <v>806</v>
      </c>
      <c r="C198" s="1024" t="s">
        <v>489</v>
      </c>
      <c r="D198" s="960" t="s">
        <v>1064</v>
      </c>
      <c r="E198" s="951">
        <v>80000</v>
      </c>
      <c r="F198" s="974">
        <v>0</v>
      </c>
      <c r="G198" s="1032">
        <v>80000</v>
      </c>
      <c r="H198" s="951">
        <v>2296</v>
      </c>
      <c r="I198" s="1032">
        <v>7400.87</v>
      </c>
      <c r="J198" s="951">
        <v>2432</v>
      </c>
      <c r="K198" s="951">
        <v>25</v>
      </c>
      <c r="L198" s="1032">
        <f>+H198+I198+J198+K198</f>
        <v>12153.869999999999</v>
      </c>
      <c r="M198" s="1032">
        <f t="shared" si="47"/>
        <v>67846.13</v>
      </c>
    </row>
    <row r="199" spans="1:13" ht="18.75" x14ac:dyDescent="0.3">
      <c r="A199" s="1027" t="s">
        <v>84</v>
      </c>
      <c r="B199" s="950" t="s">
        <v>806</v>
      </c>
      <c r="C199" s="1024" t="s">
        <v>417</v>
      </c>
      <c r="D199" s="960" t="s">
        <v>307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5368.48</v>
      </c>
      <c r="J199" s="951">
        <v>2128</v>
      </c>
      <c r="K199" s="951">
        <v>25</v>
      </c>
      <c r="L199" s="1032">
        <f>+H199+I199+J199+K199</f>
        <v>9530.48</v>
      </c>
      <c r="M199" s="1032">
        <f t="shared" si="47"/>
        <v>60469.520000000004</v>
      </c>
    </row>
    <row r="200" spans="1:13" ht="18.75" x14ac:dyDescent="0.3">
      <c r="A200" s="1027" t="s">
        <v>94</v>
      </c>
      <c r="B200" s="950" t="s">
        <v>807</v>
      </c>
      <c r="C200" s="1024" t="s">
        <v>417</v>
      </c>
      <c r="D200" s="960" t="s">
        <v>1069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5025.38</v>
      </c>
      <c r="J200" s="951">
        <v>2128</v>
      </c>
      <c r="K200" s="951">
        <v>1740.46</v>
      </c>
      <c r="L200" s="1032">
        <v>10902.84</v>
      </c>
      <c r="M200" s="1032">
        <f t="shared" si="47"/>
        <v>59097.16</v>
      </c>
    </row>
    <row r="201" spans="1:13" ht="18.75" x14ac:dyDescent="0.3">
      <c r="A201" s="1027" t="s">
        <v>156</v>
      </c>
      <c r="B201" s="950" t="s">
        <v>806</v>
      </c>
      <c r="C201" s="1024" t="s">
        <v>1773</v>
      </c>
      <c r="D201" s="960" t="s">
        <v>1069</v>
      </c>
      <c r="E201" s="951">
        <v>80000</v>
      </c>
      <c r="F201" s="974">
        <v>0</v>
      </c>
      <c r="G201" s="951">
        <v>80000</v>
      </c>
      <c r="H201" s="951">
        <v>2296</v>
      </c>
      <c r="I201" s="1032">
        <v>6972</v>
      </c>
      <c r="J201" s="951">
        <v>2432</v>
      </c>
      <c r="K201" s="951">
        <v>1740.46</v>
      </c>
      <c r="L201" s="1032">
        <f>+H201+I201+J201+K201</f>
        <v>13440.46</v>
      </c>
      <c r="M201" s="1032">
        <f t="shared" si="47"/>
        <v>66559.540000000008</v>
      </c>
    </row>
    <row r="202" spans="1:13" ht="18.75" x14ac:dyDescent="0.3">
      <c r="A202" s="1028" t="s">
        <v>177</v>
      </c>
      <c r="B202" s="1001" t="s">
        <v>807</v>
      </c>
      <c r="C202" s="1025" t="s">
        <v>1204</v>
      </c>
      <c r="D202" s="1024" t="s">
        <v>1069</v>
      </c>
      <c r="E202" s="951">
        <v>55000</v>
      </c>
      <c r="F202" s="974">
        <v>0</v>
      </c>
      <c r="G202" s="1032">
        <v>55000</v>
      </c>
      <c r="H202" s="956">
        <v>1578.5</v>
      </c>
      <c r="I202" s="1275">
        <v>2559.6799999999998</v>
      </c>
      <c r="J202" s="951">
        <v>1672</v>
      </c>
      <c r="K202" s="956">
        <v>2097.1999999999998</v>
      </c>
      <c r="L202" s="1032">
        <f>+H202+I202+J202+K202</f>
        <v>7907.38</v>
      </c>
      <c r="M202" s="1032">
        <f t="shared" si="47"/>
        <v>47092.62</v>
      </c>
    </row>
    <row r="203" spans="1:13" ht="18.75" x14ac:dyDescent="0.3">
      <c r="A203" s="955" t="s">
        <v>1710</v>
      </c>
      <c r="B203" s="968" t="s">
        <v>807</v>
      </c>
      <c r="C203" s="960" t="s">
        <v>521</v>
      </c>
      <c r="D203" s="960" t="s">
        <v>307</v>
      </c>
      <c r="E203" s="951">
        <v>43500</v>
      </c>
      <c r="F203" s="974">
        <v>0</v>
      </c>
      <c r="G203" s="951">
        <v>43500</v>
      </c>
      <c r="H203" s="951">
        <v>1248.45</v>
      </c>
      <c r="I203" s="974">
        <v>679.3</v>
      </c>
      <c r="J203" s="951">
        <v>1322.4</v>
      </c>
      <c r="K203" s="951">
        <v>1740.46</v>
      </c>
      <c r="L203" s="951">
        <f>+H203+I203+J203+K203</f>
        <v>4990.6100000000006</v>
      </c>
      <c r="M203" s="951">
        <f t="shared" si="47"/>
        <v>38509.39</v>
      </c>
    </row>
    <row r="204" spans="1:13" ht="18.75" x14ac:dyDescent="0.3">
      <c r="A204" s="1027" t="s">
        <v>1717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1718</v>
      </c>
      <c r="B205" s="950" t="s">
        <v>806</v>
      </c>
      <c r="C205" s="1024" t="s">
        <v>1332</v>
      </c>
      <c r="D205" s="960" t="s">
        <v>321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936.62</v>
      </c>
      <c r="J205" s="951">
        <v>1322.4</v>
      </c>
      <c r="K205" s="951">
        <v>25</v>
      </c>
      <c r="L205" s="1032">
        <f>+H205+I205+J205+K205</f>
        <v>3532.4700000000003</v>
      </c>
      <c r="M205" s="1032">
        <f t="shared" ref="M205:M210" si="48">+G205-L205</f>
        <v>39967.53</v>
      </c>
    </row>
    <row r="206" spans="1:13" ht="18.75" x14ac:dyDescent="0.3">
      <c r="A206" s="1027" t="s">
        <v>1721</v>
      </c>
      <c r="B206" s="950" t="s">
        <v>807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951">
        <v>25</v>
      </c>
      <c r="L206" s="1032">
        <f>+H206+I206+J206+K206</f>
        <v>1502.5</v>
      </c>
      <c r="M206" s="1032">
        <f t="shared" si="48"/>
        <v>23497.5</v>
      </c>
    </row>
    <row r="207" spans="1:13" ht="18.75" x14ac:dyDescent="0.3">
      <c r="A207" s="1027" t="s">
        <v>1722</v>
      </c>
      <c r="B207" s="950" t="s">
        <v>1151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>+H207+I207+J207+K207</f>
        <v>1502.5</v>
      </c>
      <c r="M207" s="1032">
        <f t="shared" si="48"/>
        <v>23497.5</v>
      </c>
    </row>
    <row r="208" spans="1:13" ht="18.75" x14ac:dyDescent="0.3">
      <c r="A208" s="1024" t="s">
        <v>830</v>
      </c>
      <c r="B208" s="950" t="s">
        <v>806</v>
      </c>
      <c r="C208" s="1026" t="s">
        <v>92</v>
      </c>
      <c r="D208" s="960" t="s">
        <v>1067</v>
      </c>
      <c r="E208" s="978">
        <v>30000</v>
      </c>
      <c r="F208" s="979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951">
        <v>25</v>
      </c>
      <c r="L208" s="1032">
        <f>+H208+I208+J208+K208</f>
        <v>1798</v>
      </c>
      <c r="M208" s="1032">
        <f t="shared" si="48"/>
        <v>28202</v>
      </c>
    </row>
    <row r="209" spans="1:13" ht="18.75" x14ac:dyDescent="0.3">
      <c r="A209" s="1027" t="s">
        <v>1723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951">
        <v>25</v>
      </c>
      <c r="L209" s="1032">
        <f>+H209+I209+J209+K209</f>
        <v>1798</v>
      </c>
      <c r="M209" s="1032">
        <f t="shared" si="48"/>
        <v>28202</v>
      </c>
    </row>
    <row r="210" spans="1:13" ht="18.75" x14ac:dyDescent="0.3">
      <c r="A210" s="1027" t="s">
        <v>1729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1740.46</v>
      </c>
      <c r="L210" s="1032">
        <v>3513.46</v>
      </c>
      <c r="M210" s="1032">
        <f t="shared" si="48"/>
        <v>26486.54</v>
      </c>
    </row>
    <row r="211" spans="1:13" ht="18.75" x14ac:dyDescent="0.3">
      <c r="A211" s="949" t="s">
        <v>847</v>
      </c>
      <c r="B211" s="999"/>
      <c r="C211" s="962">
        <v>14</v>
      </c>
      <c r="D211" s="962"/>
      <c r="E211" s="963">
        <f>SUM(E197:E210)</f>
        <v>745500</v>
      </c>
      <c r="F211" s="964">
        <v>0</v>
      </c>
      <c r="G211" s="963">
        <f t="shared" ref="G211:M211" si="49">SUM(G197:G210)</f>
        <v>745500</v>
      </c>
      <c r="H211" s="963">
        <f t="shared" si="49"/>
        <v>21395.850000000002</v>
      </c>
      <c r="I211" s="963">
        <f t="shared" si="49"/>
        <v>46688.820000000007</v>
      </c>
      <c r="J211" s="963">
        <f t="shared" si="49"/>
        <v>22663.200000000001</v>
      </c>
      <c r="K211" s="963">
        <f>SUM(K197:K210)</f>
        <v>9284.0400000000009</v>
      </c>
      <c r="L211" s="963">
        <f t="shared" si="49"/>
        <v>100031.91</v>
      </c>
      <c r="M211" s="963">
        <f t="shared" si="49"/>
        <v>645468.0900000002</v>
      </c>
    </row>
    <row r="212" spans="1:13" ht="18.75" x14ac:dyDescent="0.3">
      <c r="A212" s="949"/>
      <c r="B212" s="999"/>
      <c r="C212" s="962"/>
      <c r="D212" s="962"/>
      <c r="E212" s="963"/>
      <c r="G212" s="963"/>
      <c r="H212" s="963"/>
      <c r="I212" s="963"/>
      <c r="J212" s="963"/>
      <c r="K212" s="963"/>
      <c r="L212" s="963"/>
      <c r="M212" s="963"/>
    </row>
    <row r="213" spans="1:13" ht="18.75" x14ac:dyDescent="0.3">
      <c r="A213" s="961" t="s">
        <v>1774</v>
      </c>
      <c r="B213" s="950"/>
      <c r="C213" s="967"/>
      <c r="D213" s="967"/>
      <c r="E213" s="963"/>
      <c r="F213" s="964"/>
      <c r="G213" s="965"/>
      <c r="H213" s="963"/>
      <c r="I213" s="963"/>
      <c r="J213" s="963"/>
      <c r="K213" s="963"/>
      <c r="L213" s="963"/>
      <c r="M213" s="965"/>
    </row>
    <row r="214" spans="1:13" ht="18.75" x14ac:dyDescent="0.3">
      <c r="A214" s="1027" t="s">
        <v>1707</v>
      </c>
      <c r="B214" s="950" t="s">
        <v>806</v>
      </c>
      <c r="C214" s="1024" t="s">
        <v>1708</v>
      </c>
      <c r="D214" s="960" t="s">
        <v>1069</v>
      </c>
      <c r="E214" s="951">
        <v>120000</v>
      </c>
      <c r="F214" s="974">
        <v>0</v>
      </c>
      <c r="G214" s="1032">
        <v>120000</v>
      </c>
      <c r="H214" s="951">
        <v>3444</v>
      </c>
      <c r="I214" s="1032">
        <v>16809.87</v>
      </c>
      <c r="J214" s="951">
        <v>3648</v>
      </c>
      <c r="K214" s="951">
        <v>25</v>
      </c>
      <c r="L214" s="1032">
        <f>+H214+I214+J214+K214</f>
        <v>23926.87</v>
      </c>
      <c r="M214" s="1031">
        <f>+G214-L214</f>
        <v>96073.13</v>
      </c>
    </row>
    <row r="215" spans="1:13" ht="18.75" x14ac:dyDescent="0.3">
      <c r="A215" s="1027" t="s">
        <v>1709</v>
      </c>
      <c r="B215" s="950" t="s">
        <v>807</v>
      </c>
      <c r="C215" s="1024" t="s">
        <v>417</v>
      </c>
      <c r="D215" s="960" t="s">
        <v>1069</v>
      </c>
      <c r="E215" s="951">
        <v>80000</v>
      </c>
      <c r="F215" s="974">
        <v>0</v>
      </c>
      <c r="G215" s="951">
        <v>80000</v>
      </c>
      <c r="H215" s="951">
        <v>2296</v>
      </c>
      <c r="I215" s="1032">
        <v>6564.09</v>
      </c>
      <c r="J215" s="951">
        <v>2432</v>
      </c>
      <c r="K215" s="951">
        <v>4158.92</v>
      </c>
      <c r="L215" s="1032">
        <f>+H215+I215+J215+K215</f>
        <v>15451.01</v>
      </c>
      <c r="M215" s="1031">
        <f>+G215-L215</f>
        <v>64548.99</v>
      </c>
    </row>
    <row r="216" spans="1:13" ht="18.75" x14ac:dyDescent="0.3">
      <c r="A216" s="1027" t="s">
        <v>1713</v>
      </c>
      <c r="B216" s="950" t="s">
        <v>807</v>
      </c>
      <c r="C216" s="1024" t="s">
        <v>276</v>
      </c>
      <c r="D216" s="960" t="s">
        <v>307</v>
      </c>
      <c r="E216" s="951">
        <v>37500</v>
      </c>
      <c r="F216" s="974">
        <v>0</v>
      </c>
      <c r="G216" s="1032">
        <v>37500</v>
      </c>
      <c r="H216" s="951">
        <v>1076.25</v>
      </c>
      <c r="I216" s="1036">
        <v>89.81</v>
      </c>
      <c r="J216" s="951">
        <v>1140</v>
      </c>
      <c r="K216" s="951">
        <v>25</v>
      </c>
      <c r="L216" s="1032">
        <f>+H216+I216+J216+K216</f>
        <v>2331.06</v>
      </c>
      <c r="M216" s="1032">
        <f>+G216-L216</f>
        <v>35168.94</v>
      </c>
    </row>
    <row r="217" spans="1:13" ht="18.75" x14ac:dyDescent="0.3">
      <c r="A217" s="1027" t="s">
        <v>1329</v>
      </c>
      <c r="B217" s="950" t="s">
        <v>1330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1">
        <v>25</v>
      </c>
      <c r="L217" s="1032">
        <f>+H217+I217+J217+K217</f>
        <v>3532.4700000000003</v>
      </c>
      <c r="M217" s="1032">
        <f>+G217-L217</f>
        <v>39967.53</v>
      </c>
    </row>
    <row r="218" spans="1:13" ht="18" customHeight="1" x14ac:dyDescent="0.3">
      <c r="A218" s="1027" t="s">
        <v>1716</v>
      </c>
      <c r="B218" s="950" t="s">
        <v>806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036">
        <v>936.62</v>
      </c>
      <c r="J218" s="951">
        <v>1322.4</v>
      </c>
      <c r="K218" s="951">
        <v>25</v>
      </c>
      <c r="L218" s="1032">
        <v>3532.4700000000003</v>
      </c>
      <c r="M218" s="1032">
        <v>39967.53</v>
      </c>
    </row>
    <row r="219" spans="1:13" ht="18.75" x14ac:dyDescent="0.3">
      <c r="A219" s="1027" t="s">
        <v>698</v>
      </c>
      <c r="B219" s="950" t="s">
        <v>807</v>
      </c>
      <c r="C219" s="1024" t="s">
        <v>105</v>
      </c>
      <c r="D219" s="960" t="s">
        <v>1067</v>
      </c>
      <c r="E219" s="951">
        <v>25000</v>
      </c>
      <c r="F219" s="974">
        <v>0</v>
      </c>
      <c r="G219" s="1032">
        <v>25000</v>
      </c>
      <c r="H219" s="951">
        <v>717.5</v>
      </c>
      <c r="I219" s="1036">
        <v>0</v>
      </c>
      <c r="J219" s="951">
        <v>760</v>
      </c>
      <c r="K219" s="951">
        <v>25</v>
      </c>
      <c r="L219" s="1032">
        <f>+H219+I219+J219+K219</f>
        <v>1502.5</v>
      </c>
      <c r="M219" s="1032">
        <f>+G219-L219</f>
        <v>23497.5</v>
      </c>
    </row>
    <row r="220" spans="1:13" ht="18.75" x14ac:dyDescent="0.3">
      <c r="A220" s="1027" t="s">
        <v>1725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2134</v>
      </c>
      <c r="L220" s="1032">
        <f>+H220+I220+J220+K220</f>
        <v>3907</v>
      </c>
      <c r="M220" s="1032">
        <f>+G220-L220</f>
        <v>26093</v>
      </c>
    </row>
    <row r="221" spans="1:13" ht="17.25" customHeight="1" x14ac:dyDescent="0.3">
      <c r="A221" s="1027" t="s">
        <v>1727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f>+H221+I221+J221+K221</f>
        <v>1798</v>
      </c>
      <c r="M221" s="1032">
        <f>+G221-L221</f>
        <v>28202</v>
      </c>
    </row>
    <row r="222" spans="1:13" ht="18.75" x14ac:dyDescent="0.3">
      <c r="A222" s="1027" t="s">
        <v>1730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>+G222-L222</f>
        <v>28202</v>
      </c>
    </row>
    <row r="223" spans="1:13" ht="18.75" x14ac:dyDescent="0.3">
      <c r="A223" s="961" t="s">
        <v>847</v>
      </c>
      <c r="B223" s="950"/>
      <c r="C223" s="962">
        <v>9</v>
      </c>
      <c r="D223" s="960"/>
      <c r="E223" s="963">
        <f>SUM(E214:E222)</f>
        <v>439500</v>
      </c>
      <c r="F223" s="964">
        <v>0</v>
      </c>
      <c r="G223" s="963">
        <f>SUM(G214:G222)</f>
        <v>439500</v>
      </c>
      <c r="H223" s="963">
        <f t="shared" ref="H223:M223" si="50">SUM(H214:H222)</f>
        <v>12613.65</v>
      </c>
      <c r="I223" s="963">
        <f t="shared" si="50"/>
        <v>25337.01</v>
      </c>
      <c r="J223" s="963">
        <f t="shared" si="50"/>
        <v>13360.8</v>
      </c>
      <c r="K223" s="963">
        <f>SUM(K214:K222)</f>
        <v>6467.92</v>
      </c>
      <c r="L223" s="963">
        <f t="shared" si="50"/>
        <v>57779.38</v>
      </c>
      <c r="M223" s="963">
        <f t="shared" si="50"/>
        <v>381720.62</v>
      </c>
    </row>
    <row r="224" spans="1:13" ht="18.75" x14ac:dyDescent="0.3">
      <c r="A224" s="961"/>
      <c r="B224" s="950"/>
      <c r="C224" s="962"/>
      <c r="D224" s="960"/>
      <c r="F224" s="974"/>
      <c r="G224" s="1032"/>
      <c r="H224" s="951"/>
      <c r="I224" s="1036"/>
      <c r="J224" s="951"/>
      <c r="K224" s="951"/>
      <c r="L224" s="1032"/>
      <c r="M224" s="1032"/>
    </row>
    <row r="225" spans="1:13" ht="18.75" x14ac:dyDescent="0.3">
      <c r="A225" s="961" t="s">
        <v>1775</v>
      </c>
      <c r="B225" s="950"/>
      <c r="C225" s="1026"/>
      <c r="D225" s="960"/>
      <c r="E225" s="951"/>
      <c r="F225" s="974"/>
      <c r="G225" s="1032"/>
      <c r="H225" s="951"/>
      <c r="I225" s="1036"/>
      <c r="J225" s="951"/>
      <c r="K225" s="951"/>
      <c r="L225" s="1032"/>
      <c r="M225" s="1032"/>
    </row>
    <row r="226" spans="1:13" ht="18.75" x14ac:dyDescent="0.3">
      <c r="A226" s="1027" t="s">
        <v>1712</v>
      </c>
      <c r="B226" s="950" t="s">
        <v>807</v>
      </c>
      <c r="C226" s="1024" t="s">
        <v>276</v>
      </c>
      <c r="D226" s="960" t="s">
        <v>307</v>
      </c>
      <c r="E226" s="951">
        <v>37500</v>
      </c>
      <c r="F226" s="974">
        <v>0</v>
      </c>
      <c r="G226" s="1032">
        <v>37500</v>
      </c>
      <c r="H226" s="951">
        <v>1076.25</v>
      </c>
      <c r="I226" s="1036">
        <v>89.81</v>
      </c>
      <c r="J226" s="951">
        <v>1140</v>
      </c>
      <c r="K226" s="951">
        <v>25</v>
      </c>
      <c r="L226" s="1032">
        <f>+H226+I226+J226+K226</f>
        <v>2331.06</v>
      </c>
      <c r="M226" s="1032">
        <f>+G226-L226</f>
        <v>35168.94</v>
      </c>
    </row>
    <row r="227" spans="1:13" ht="18.75" x14ac:dyDescent="0.3">
      <c r="A227" s="1027" t="s">
        <v>1715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1">
        <v>25</v>
      </c>
      <c r="L227" s="1032">
        <f>+H227+I227+J227+K227</f>
        <v>3532.4700000000003</v>
      </c>
      <c r="M227" s="1032">
        <f>+G227-L227</f>
        <v>39967.53</v>
      </c>
    </row>
    <row r="228" spans="1:13" ht="18.75" x14ac:dyDescent="0.3">
      <c r="A228" s="1027" t="s">
        <v>1336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036">
        <v>936.62</v>
      </c>
      <c r="J228" s="951">
        <v>1322.4</v>
      </c>
      <c r="K228" s="951">
        <v>25</v>
      </c>
      <c r="L228" s="1032">
        <v>3532.4700000000003</v>
      </c>
      <c r="M228" s="1032">
        <v>39967.53</v>
      </c>
    </row>
    <row r="229" spans="1:13" ht="18.75" x14ac:dyDescent="0.3">
      <c r="A229" s="1027" t="s">
        <v>1719</v>
      </c>
      <c r="B229" s="999" t="s">
        <v>807</v>
      </c>
      <c r="C229" s="1024" t="s">
        <v>105</v>
      </c>
      <c r="D229" s="960" t="s">
        <v>1067</v>
      </c>
      <c r="E229" s="951">
        <v>25000</v>
      </c>
      <c r="F229" s="974">
        <v>0</v>
      </c>
      <c r="G229" s="1032">
        <v>25000</v>
      </c>
      <c r="H229" s="951">
        <v>717.5</v>
      </c>
      <c r="I229" s="1036">
        <v>0</v>
      </c>
      <c r="J229" s="951">
        <v>760</v>
      </c>
      <c r="K229" s="951">
        <v>25</v>
      </c>
      <c r="L229" s="1032">
        <f>+H229+I229+J229+K229</f>
        <v>1502.5</v>
      </c>
      <c r="M229" s="1032">
        <f>+G229-L229</f>
        <v>23497.5</v>
      </c>
    </row>
    <row r="230" spans="1:13" ht="18.75" x14ac:dyDescent="0.3">
      <c r="A230" s="1027" t="s">
        <v>1726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1">
        <v>25</v>
      </c>
      <c r="L230" s="1032">
        <f>+H230+I230+J230+K230</f>
        <v>1798</v>
      </c>
      <c r="M230" s="1032">
        <f>+G230-L230</f>
        <v>28202</v>
      </c>
    </row>
    <row r="231" spans="1:13" ht="18.75" x14ac:dyDescent="0.3">
      <c r="A231" s="1027" t="s">
        <v>1728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1">
        <v>25</v>
      </c>
      <c r="L231" s="1032">
        <v>1798</v>
      </c>
      <c r="M231" s="1032">
        <f>+G231-L231</f>
        <v>28202</v>
      </c>
    </row>
    <row r="232" spans="1:13" ht="18.75" x14ac:dyDescent="0.3">
      <c r="A232" s="1027" t="s">
        <v>1731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036">
        <v>0</v>
      </c>
      <c r="J232" s="951">
        <v>912</v>
      </c>
      <c r="K232" s="951">
        <v>25</v>
      </c>
      <c r="L232" s="1032">
        <v>1798</v>
      </c>
      <c r="M232" s="1032">
        <f>+G232-L232</f>
        <v>28202</v>
      </c>
    </row>
    <row r="233" spans="1:13" ht="18.75" x14ac:dyDescent="0.3">
      <c r="A233" s="961" t="s">
        <v>847</v>
      </c>
      <c r="B233" s="950"/>
      <c r="C233" s="962">
        <v>7</v>
      </c>
      <c r="D233" s="960"/>
      <c r="E233" s="963">
        <f>SUM(E226:E232)</f>
        <v>239500</v>
      </c>
      <c r="F233" s="964">
        <v>0</v>
      </c>
      <c r="G233" s="963">
        <f t="shared" ref="G233:M233" si="51">SUM(G226:G232)</f>
        <v>239500</v>
      </c>
      <c r="H233" s="963">
        <f t="shared" si="51"/>
        <v>6873.65</v>
      </c>
      <c r="I233" s="963">
        <f t="shared" si="51"/>
        <v>1963.0500000000002</v>
      </c>
      <c r="J233" s="963">
        <f t="shared" si="51"/>
        <v>7280.8</v>
      </c>
      <c r="K233" s="963">
        <f>SUM(K226:K232)</f>
        <v>175</v>
      </c>
      <c r="L233" s="963">
        <f t="shared" si="51"/>
        <v>16292.5</v>
      </c>
      <c r="M233" s="963">
        <f t="shared" si="51"/>
        <v>223207.5</v>
      </c>
    </row>
    <row r="234" spans="1:13" ht="18.75" x14ac:dyDescent="0.3">
      <c r="A234" s="961"/>
      <c r="B234" s="950"/>
      <c r="C234" s="962"/>
      <c r="D234" s="960"/>
      <c r="E234" s="951"/>
      <c r="F234" s="974"/>
      <c r="G234" s="1032"/>
      <c r="H234" s="951"/>
      <c r="I234" s="1036"/>
      <c r="J234" s="951"/>
      <c r="K234" s="951"/>
      <c r="L234" s="1032"/>
      <c r="M234" s="1032"/>
    </row>
    <row r="235" spans="1:13" ht="18.75" x14ac:dyDescent="0.3">
      <c r="A235" s="961" t="s">
        <v>1776</v>
      </c>
      <c r="B235" s="950"/>
      <c r="C235" s="1026"/>
      <c r="D235" s="960"/>
      <c r="E235" s="951"/>
      <c r="F235" s="974"/>
      <c r="G235" s="1032"/>
      <c r="H235" s="951"/>
      <c r="I235" s="1036"/>
      <c r="J235" s="951"/>
      <c r="K235" s="951"/>
      <c r="L235" s="1032"/>
      <c r="M235" s="1032"/>
    </row>
    <row r="236" spans="1:13" ht="18.75" x14ac:dyDescent="0.3">
      <c r="A236" s="1027" t="s">
        <v>1711</v>
      </c>
      <c r="B236" s="950" t="s">
        <v>807</v>
      </c>
      <c r="C236" s="1024" t="s">
        <v>521</v>
      </c>
      <c r="D236" s="960" t="s">
        <v>307</v>
      </c>
      <c r="E236" s="951">
        <v>37500</v>
      </c>
      <c r="F236" s="974">
        <v>0</v>
      </c>
      <c r="G236" s="1032">
        <v>37500</v>
      </c>
      <c r="H236" s="951">
        <v>1076.25</v>
      </c>
      <c r="I236" s="1036">
        <v>89.81</v>
      </c>
      <c r="J236" s="951">
        <v>1140</v>
      </c>
      <c r="K236" s="951">
        <v>25</v>
      </c>
      <c r="L236" s="1032">
        <f>+H236+I236+J236+K236</f>
        <v>2331.06</v>
      </c>
      <c r="M236" s="1032">
        <f t="shared" ref="M236:M241" si="52">+G236-L236</f>
        <v>35168.94</v>
      </c>
    </row>
    <row r="237" spans="1:13" ht="18.75" x14ac:dyDescent="0.3">
      <c r="A237" s="1027" t="s">
        <v>1714</v>
      </c>
      <c r="B237" s="950" t="s">
        <v>807</v>
      </c>
      <c r="C237" s="1024" t="s">
        <v>276</v>
      </c>
      <c r="D237" s="960" t="s">
        <v>307</v>
      </c>
      <c r="E237" s="951">
        <v>43500</v>
      </c>
      <c r="F237" s="974">
        <v>0</v>
      </c>
      <c r="G237" s="1032">
        <v>43500</v>
      </c>
      <c r="H237" s="951">
        <v>1248.45</v>
      </c>
      <c r="I237" s="1036">
        <v>936.62</v>
      </c>
      <c r="J237" s="951">
        <v>1322.4</v>
      </c>
      <c r="K237" s="951">
        <v>25</v>
      </c>
      <c r="L237" s="1032">
        <f>+H237+I237+J237+K237</f>
        <v>3532.4700000000003</v>
      </c>
      <c r="M237" s="1032">
        <f t="shared" si="52"/>
        <v>39967.53</v>
      </c>
    </row>
    <row r="238" spans="1:13" ht="18.75" x14ac:dyDescent="0.3">
      <c r="A238" s="1027" t="s">
        <v>1440</v>
      </c>
      <c r="B238" s="950" t="s">
        <v>807</v>
      </c>
      <c r="C238" s="1024" t="s">
        <v>276</v>
      </c>
      <c r="D238" s="960" t="s">
        <v>307</v>
      </c>
      <c r="E238" s="951">
        <v>37500</v>
      </c>
      <c r="F238" s="974">
        <v>0</v>
      </c>
      <c r="G238" s="1032">
        <v>37500</v>
      </c>
      <c r="H238" s="951">
        <v>1076.25</v>
      </c>
      <c r="I238" s="1036">
        <v>89.81</v>
      </c>
      <c r="J238" s="951">
        <v>1140</v>
      </c>
      <c r="K238" s="951">
        <v>25</v>
      </c>
      <c r="L238" s="1032">
        <v>2331.06</v>
      </c>
      <c r="M238" s="1032">
        <f t="shared" si="52"/>
        <v>35168.94</v>
      </c>
    </row>
    <row r="239" spans="1:13" ht="18.75" x14ac:dyDescent="0.3">
      <c r="A239" s="1027" t="s">
        <v>1720</v>
      </c>
      <c r="B239" s="999" t="s">
        <v>807</v>
      </c>
      <c r="C239" s="1024" t="s">
        <v>105</v>
      </c>
      <c r="D239" s="960" t="s">
        <v>1067</v>
      </c>
      <c r="E239" s="951">
        <v>25000</v>
      </c>
      <c r="F239" s="974">
        <v>0</v>
      </c>
      <c r="G239" s="1032">
        <v>25000</v>
      </c>
      <c r="H239" s="951">
        <v>717.5</v>
      </c>
      <c r="I239" s="1036">
        <v>0</v>
      </c>
      <c r="J239" s="951">
        <v>760</v>
      </c>
      <c r="K239" s="951">
        <v>25</v>
      </c>
      <c r="L239" s="1032">
        <f>+H239+I239+J239+K239</f>
        <v>1502.5</v>
      </c>
      <c r="M239" s="1032">
        <f t="shared" si="52"/>
        <v>23497.5</v>
      </c>
    </row>
    <row r="240" spans="1:13" ht="18.75" x14ac:dyDescent="0.3">
      <c r="A240" s="1024" t="s">
        <v>1056</v>
      </c>
      <c r="B240" s="950" t="s">
        <v>806</v>
      </c>
      <c r="C240" s="1026" t="s">
        <v>92</v>
      </c>
      <c r="D240" s="960" t="s">
        <v>1067</v>
      </c>
      <c r="E240" s="978">
        <v>30000</v>
      </c>
      <c r="F240" s="979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1">
        <v>25</v>
      </c>
      <c r="L240" s="1032">
        <f>+H240+I240+J240+K240</f>
        <v>1798</v>
      </c>
      <c r="M240" s="1032">
        <f t="shared" si="52"/>
        <v>28202</v>
      </c>
    </row>
    <row r="241" spans="1:13" ht="18.75" x14ac:dyDescent="0.3">
      <c r="A241" s="1027" t="s">
        <v>1724</v>
      </c>
      <c r="B241" s="950" t="s">
        <v>1296</v>
      </c>
      <c r="C241" s="1026" t="s">
        <v>92</v>
      </c>
      <c r="D241" s="960" t="s">
        <v>1067</v>
      </c>
      <c r="E241" s="951">
        <v>30000</v>
      </c>
      <c r="F241" s="974">
        <v>0</v>
      </c>
      <c r="G241" s="1032">
        <v>30000</v>
      </c>
      <c r="H241" s="951">
        <v>861</v>
      </c>
      <c r="I241" s="1036">
        <v>0</v>
      </c>
      <c r="J241" s="951">
        <v>912</v>
      </c>
      <c r="K241" s="951">
        <v>25</v>
      </c>
      <c r="L241" s="1032">
        <f>+H241+I241+J241+K241</f>
        <v>1798</v>
      </c>
      <c r="M241" s="1032">
        <f t="shared" si="52"/>
        <v>28202</v>
      </c>
    </row>
    <row r="242" spans="1:13" ht="18.75" x14ac:dyDescent="0.3">
      <c r="A242" s="961" t="s">
        <v>847</v>
      </c>
      <c r="B242" s="950"/>
      <c r="C242" s="962">
        <v>6</v>
      </c>
      <c r="D242" s="960"/>
      <c r="E242" s="963">
        <f>SUM(E236:E241)</f>
        <v>203500</v>
      </c>
      <c r="F242" s="1071">
        <v>0</v>
      </c>
      <c r="G242" s="963">
        <f t="shared" ref="G242:M242" si="53">SUM(G236:G241)</f>
        <v>203500</v>
      </c>
      <c r="H242" s="963">
        <f t="shared" si="53"/>
        <v>5840.45</v>
      </c>
      <c r="I242" s="963">
        <f t="shared" si="53"/>
        <v>1116.24</v>
      </c>
      <c r="J242" s="963">
        <f t="shared" si="53"/>
        <v>6186.4</v>
      </c>
      <c r="K242" s="963">
        <f>SUM(K236:K241)</f>
        <v>150</v>
      </c>
      <c r="L242" s="963">
        <f t="shared" si="53"/>
        <v>13293.09</v>
      </c>
      <c r="M242" s="963">
        <f t="shared" si="53"/>
        <v>190206.91</v>
      </c>
    </row>
    <row r="243" spans="1:13" ht="18.75" x14ac:dyDescent="0.3">
      <c r="A243" s="961"/>
      <c r="B243" s="950"/>
      <c r="C243" s="962"/>
      <c r="D243" s="960"/>
      <c r="E243" s="963">
        <f>+E211+E223+E233+E242</f>
        <v>1628000</v>
      </c>
      <c r="F243" s="964">
        <v>0</v>
      </c>
      <c r="G243" s="963">
        <f t="shared" ref="G243:M243" si="54">+G211+G223+G233+G242</f>
        <v>1628000</v>
      </c>
      <c r="H243" s="963">
        <f>+H211+H223+H233+H242</f>
        <v>46723.6</v>
      </c>
      <c r="I243" s="963">
        <f>+I211+I223+I233+I242</f>
        <v>75105.12000000001</v>
      </c>
      <c r="J243" s="963">
        <f t="shared" si="54"/>
        <v>49491.200000000004</v>
      </c>
      <c r="K243" s="963">
        <f>+K211+K223+K233+K242</f>
        <v>16076.960000000001</v>
      </c>
      <c r="L243" s="963">
        <f t="shared" si="54"/>
        <v>187396.88</v>
      </c>
      <c r="M243" s="963">
        <f t="shared" si="54"/>
        <v>1440603.12</v>
      </c>
    </row>
    <row r="244" spans="1:13" ht="18.75" x14ac:dyDescent="0.3">
      <c r="A244" s="961"/>
      <c r="B244" s="958"/>
      <c r="C244" s="962"/>
      <c r="D244" s="962"/>
      <c r="E244" s="963"/>
      <c r="F244" s="964"/>
      <c r="G244" s="965"/>
      <c r="H244" s="963"/>
      <c r="I244" s="963"/>
      <c r="J244" s="963"/>
      <c r="K244" s="963"/>
      <c r="L244" s="963"/>
      <c r="M244" s="965"/>
    </row>
    <row r="245" spans="1:13" ht="27.75" customHeight="1" x14ac:dyDescent="0.3">
      <c r="A245" s="1058" t="s">
        <v>865</v>
      </c>
      <c r="B245" s="1059"/>
      <c r="C245" s="1058">
        <f>+C223+C193+C185+C173+C168+C164+C158+C154+C149+C142+C134+C126+C118+C114+C103++C94+C81+C63+C57+C48+C43+C39+C25+C98+C108+C32+C130+C242+C233+C211+C177</f>
        <v>131</v>
      </c>
      <c r="D245" s="1058"/>
      <c r="E245" s="1076">
        <f>+E25+E32+E39+E43+E48+E57+E63+E81+E94+E98+E103+E108+E114+E118+E126+E130+E134+E142+E149+E154+E158+E164+E168+E173+E177+E185+E193+E211+E223+E233+E242</f>
        <v>7007500</v>
      </c>
      <c r="F245" s="1072">
        <v>0</v>
      </c>
      <c r="G245" s="1076">
        <f t="shared" ref="G245:M245" si="55">+G25+G32+G39+G43+G48+G57+G63+G81+G94+G98+G103+G108+G114+G118+G126+G130+G134+G142+G149+G154+G158+G164+G168+G173+G177+G185+G193+G211+G223+G233+G242</f>
        <v>7007500</v>
      </c>
      <c r="H245" s="1076">
        <f t="shared" si="55"/>
        <v>201115.25</v>
      </c>
      <c r="I245" s="1076">
        <f>+I25+I32+I39+I43+I48+I57+I63+I81+I94+I98+I103+I108+I114+I118+I126+I130+I134+I142+I149+I154+I158+I164+I168+I173+I177+I185+I193+I211+I223+I233+I242</f>
        <v>467778.03999999992</v>
      </c>
      <c r="J245" s="1076">
        <f t="shared" si="55"/>
        <v>211713.13999999996</v>
      </c>
      <c r="K245" s="1076">
        <f>+K242+K233+K223+K211++K193+K185++K177+K173+K168+K164+K158+K154+K149+K142+K134+K130+K126+K118+K114+K108+K103+K98+K94+K81+K63+K57+K48+K43+K39+K32+K25</f>
        <v>136180.75</v>
      </c>
      <c r="L245" s="1076">
        <f t="shared" si="55"/>
        <v>1016787.18</v>
      </c>
      <c r="M245" s="1076">
        <f t="shared" si="55"/>
        <v>5990712.8199999994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1324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93"/>
      <c r="L247" s="1093"/>
      <c r="M247" s="1022"/>
    </row>
    <row r="248" spans="1:13" ht="15.75" x14ac:dyDescent="0.25">
      <c r="A248" s="853"/>
      <c r="B248" s="871"/>
      <c r="C248" s="853"/>
      <c r="D248" s="853"/>
      <c r="E248" s="1093"/>
      <c r="F248" s="853"/>
      <c r="G248" s="853"/>
      <c r="H248" s="869"/>
      <c r="I248" s="1092"/>
      <c r="J248" s="1093"/>
      <c r="K248" s="1093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93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93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93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69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69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69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69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69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69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1094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1094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095"/>
      <c r="L264" s="1095"/>
      <c r="M264" s="880"/>
    </row>
    <row r="265" spans="1:14" ht="15.75" x14ac:dyDescent="0.25">
      <c r="A265" s="1703" t="s">
        <v>1271</v>
      </c>
      <c r="B265" s="1703"/>
      <c r="C265" s="874"/>
      <c r="D265" s="874"/>
      <c r="E265" s="875"/>
      <c r="F265" s="873"/>
      <c r="G265" s="873"/>
      <c r="H265" s="1683" t="s">
        <v>852</v>
      </c>
      <c r="I265" s="1683"/>
      <c r="J265" s="1683"/>
      <c r="K265" s="1683"/>
      <c r="L265" s="1683"/>
      <c r="M265" s="1683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610" t="s">
        <v>1504</v>
      </c>
      <c r="J266" s="1610"/>
      <c r="K266" s="1610"/>
      <c r="L266" s="1610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519"/>
      <c r="L269" s="519"/>
      <c r="M269" s="928"/>
      <c r="N269" s="537"/>
    </row>
    <row r="270" spans="1:14" ht="28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519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519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519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519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1096"/>
      <c r="L280" s="1096"/>
      <c r="M280" s="885"/>
    </row>
  </sheetData>
  <mergeCells count="20">
    <mergeCell ref="A11:M11"/>
    <mergeCell ref="A12:N12"/>
    <mergeCell ref="A13:M13"/>
    <mergeCell ref="A14:M14"/>
    <mergeCell ref="A15:M15"/>
    <mergeCell ref="M17:M18"/>
    <mergeCell ref="A265:B265"/>
    <mergeCell ref="H265:M265"/>
    <mergeCell ref="I266:L266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9" max="12" man="1"/>
    <brk id="234" max="12" man="1"/>
  </rowBreaks>
  <drawing r:id="rId2"/>
</worksheet>
</file>

<file path=xl/worksheets/sheet3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25CDFB-9265-4AAB-A63A-9B8CAF3D7ABB}">
  <dimension ref="A1:Q199"/>
  <sheetViews>
    <sheetView topLeftCell="B1" zoomScaleNormal="100" zoomScaleSheetLayoutView="89" workbookViewId="0">
      <pane ySplit="12" topLeftCell="A111" activePane="bottomLeft" state="frozen"/>
      <selection pane="bottomLeft" activeCell="D196" sqref="D196"/>
    </sheetView>
  </sheetViews>
  <sheetFormatPr baseColWidth="10" defaultRowHeight="15" x14ac:dyDescent="0.25"/>
  <cols>
    <col min="1" max="1" width="4.140625" style="259" hidden="1" customWidth="1"/>
    <col min="2" max="2" width="57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556" t="s">
        <v>1502</v>
      </c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  <c r="P5" s="1556"/>
    </row>
    <row r="6" spans="1:16" x14ac:dyDescent="0.25">
      <c r="B6" s="1556" t="s">
        <v>1</v>
      </c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  <c r="P6" s="1556"/>
    </row>
    <row r="7" spans="1:16" x14ac:dyDescent="0.25">
      <c r="B7" s="1556" t="s">
        <v>3</v>
      </c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  <c r="P7" s="1556"/>
    </row>
    <row r="8" spans="1:16" x14ac:dyDescent="0.25">
      <c r="B8" s="1556" t="s">
        <v>1816</v>
      </c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  <c r="P8" s="1556"/>
    </row>
    <row r="9" spans="1:16" x14ac:dyDescent="0.25">
      <c r="B9" s="1634" t="s">
        <v>441</v>
      </c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  <c r="P9" s="1634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709" t="s">
        <v>7</v>
      </c>
      <c r="C11" s="1709" t="s">
        <v>937</v>
      </c>
      <c r="D11" s="1712" t="s">
        <v>10</v>
      </c>
      <c r="E11" s="1709" t="s">
        <v>832</v>
      </c>
      <c r="F11" s="1709" t="s">
        <v>834</v>
      </c>
      <c r="G11" s="1709" t="s">
        <v>209</v>
      </c>
      <c r="H11" s="1051" t="s">
        <v>12</v>
      </c>
      <c r="I11" s="1711" t="s">
        <v>13</v>
      </c>
      <c r="J11" s="1710" t="s">
        <v>14</v>
      </c>
      <c r="K11" s="1710" t="s">
        <v>15</v>
      </c>
      <c r="L11" s="1710" t="s">
        <v>16</v>
      </c>
      <c r="M11" s="1722" t="s">
        <v>17</v>
      </c>
      <c r="N11" s="1722" t="s">
        <v>18</v>
      </c>
      <c r="O11" s="1722" t="s">
        <v>19</v>
      </c>
      <c r="P11" s="1710" t="s">
        <v>20</v>
      </c>
    </row>
    <row r="12" spans="1:16" x14ac:dyDescent="0.25">
      <c r="A12" s="1378"/>
      <c r="B12" s="1709"/>
      <c r="C12" s="1709"/>
      <c r="D12" s="1712"/>
      <c r="E12" s="1709"/>
      <c r="F12" s="1709"/>
      <c r="G12" s="1709"/>
      <c r="H12" s="1051" t="s">
        <v>21</v>
      </c>
      <c r="I12" s="1711"/>
      <c r="J12" s="1710"/>
      <c r="K12" s="1710"/>
      <c r="L12" s="1710"/>
      <c r="M12" s="1722"/>
      <c r="N12" s="1722"/>
      <c r="O12" s="1722"/>
      <c r="P12" s="1710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569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569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569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685" t="s">
        <v>807</v>
      </c>
      <c r="D23" s="749" t="s">
        <v>925</v>
      </c>
      <c r="E23" s="281" t="s">
        <v>1281</v>
      </c>
      <c r="F23" s="855">
        <v>45901</v>
      </c>
      <c r="G23" s="855">
        <v>46054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569"/>
      <c r="D24" s="707">
        <v>1</v>
      </c>
      <c r="E24" s="465"/>
      <c r="F24" s="465"/>
      <c r="G24" s="855"/>
      <c r="H24" s="1145">
        <v>80000</v>
      </c>
      <c r="I24" s="1144">
        <v>0</v>
      </c>
      <c r="J24" s="1145">
        <v>80000</v>
      </c>
      <c r="K24" s="1145">
        <v>2296</v>
      </c>
      <c r="L24" s="1145">
        <v>7400.87</v>
      </c>
      <c r="M24" s="1145">
        <v>2432</v>
      </c>
      <c r="N24" s="1145">
        <v>25</v>
      </c>
      <c r="O24" s="1145">
        <f>SUM(K24:N24)</f>
        <v>12153.869999999999</v>
      </c>
      <c r="P24" s="1145">
        <f>+J24-O24</f>
        <v>67846.13</v>
      </c>
    </row>
    <row r="25" spans="1:16" ht="21" customHeight="1" x14ac:dyDescent="0.25">
      <c r="B25" s="490" t="s">
        <v>837</v>
      </c>
      <c r="C25" s="1223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45901</v>
      </c>
      <c r="G27" s="855">
        <v>46054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7" spans="2:16" ht="21" customHeight="1" x14ac:dyDescent="0.25">
      <c r="B37" s="460" t="s">
        <v>1785</v>
      </c>
      <c r="C37" s="68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5025.38</v>
      </c>
      <c r="M37" s="1149">
        <v>2128</v>
      </c>
      <c r="N37" s="626">
        <v>1740.46</v>
      </c>
      <c r="O37" s="626">
        <f>SUM(K37:N37)</f>
        <v>10902.84</v>
      </c>
      <c r="P37" s="626">
        <f>+H37-O37</f>
        <v>59097.16</v>
      </c>
    </row>
    <row r="38" spans="2:16" ht="21" customHeight="1" x14ac:dyDescent="0.25">
      <c r="B38" s="466" t="s">
        <v>813</v>
      </c>
      <c r="C38" s="569"/>
      <c r="D38" s="492">
        <v>2</v>
      </c>
      <c r="E38" s="465"/>
      <c r="F38" s="500"/>
      <c r="G38" s="855"/>
      <c r="H38" s="695">
        <f>SUM(H36:H37)</f>
        <v>140000</v>
      </c>
      <c r="I38" s="1253">
        <v>0</v>
      </c>
      <c r="J38" s="695">
        <f t="shared" ref="J38:P38" si="3">SUM(J36:J37)</f>
        <v>140000</v>
      </c>
      <c r="K38" s="695">
        <f t="shared" si="3"/>
        <v>4018</v>
      </c>
      <c r="L38" s="695">
        <f t="shared" si="3"/>
        <v>10393.86</v>
      </c>
      <c r="M38" s="695">
        <f t="shared" si="3"/>
        <v>4256</v>
      </c>
      <c r="N38" s="695">
        <f t="shared" si="3"/>
        <v>1765.46</v>
      </c>
      <c r="O38" s="695">
        <f t="shared" si="3"/>
        <v>20433.32</v>
      </c>
      <c r="P38" s="695">
        <f t="shared" si="3"/>
        <v>119566.68000000001</v>
      </c>
    </row>
    <row r="39" spans="2:16" ht="21" customHeight="1" x14ac:dyDescent="0.25">
      <c r="B39" s="466"/>
      <c r="C39" s="569"/>
      <c r="D39" s="492"/>
      <c r="E39" s="465"/>
      <c r="F39" s="500"/>
      <c r="G39" s="855"/>
      <c r="H39" s="695"/>
      <c r="I39" s="695"/>
      <c r="J39" s="695"/>
      <c r="K39" s="695"/>
      <c r="L39" s="695"/>
      <c r="M39" s="695"/>
      <c r="N39" s="695"/>
      <c r="O39" s="695"/>
      <c r="P39" s="695"/>
    </row>
    <row r="40" spans="2:16" ht="21" customHeight="1" x14ac:dyDescent="0.25">
      <c r="B40" s="466" t="s">
        <v>1126</v>
      </c>
      <c r="C40" s="569"/>
      <c r="D40" s="492"/>
      <c r="E40" s="465"/>
      <c r="F40" s="695"/>
      <c r="G40" s="696"/>
      <c r="H40" s="695"/>
      <c r="I40" s="1145"/>
      <c r="J40" s="695"/>
      <c r="K40" s="695"/>
      <c r="L40" s="695"/>
      <c r="M40" s="1145"/>
      <c r="N40" s="695"/>
      <c r="O40" s="153"/>
      <c r="P40" s="153"/>
    </row>
    <row r="41" spans="2:16" s="259" customFormat="1" ht="21" customHeight="1" x14ac:dyDescent="0.25">
      <c r="B41" s="1251" t="s">
        <v>917</v>
      </c>
      <c r="C41" s="1252" t="s">
        <v>807</v>
      </c>
      <c r="D41" s="1246" t="s">
        <v>607</v>
      </c>
      <c r="E41" s="1247" t="s">
        <v>1063</v>
      </c>
      <c r="F41" s="855">
        <v>45931</v>
      </c>
      <c r="G41" s="855">
        <v>46082</v>
      </c>
      <c r="H41" s="1100">
        <v>80000</v>
      </c>
      <c r="I41" s="1249">
        <v>0</v>
      </c>
      <c r="J41" s="1100">
        <v>80000</v>
      </c>
      <c r="K41" s="1100">
        <v>2296</v>
      </c>
      <c r="L41" s="1103">
        <v>7400.87</v>
      </c>
      <c r="M41" s="1250">
        <v>2432</v>
      </c>
      <c r="N41" s="626">
        <v>8903.93</v>
      </c>
      <c r="O41" s="468">
        <f>SUM(K41:N41)</f>
        <v>21032.799999999999</v>
      </c>
      <c r="P41" s="675">
        <f>+J41-O41</f>
        <v>58967.199999999997</v>
      </c>
    </row>
    <row r="42" spans="2:16" s="259" customFormat="1" ht="21" customHeight="1" x14ac:dyDescent="0.25">
      <c r="B42" s="1251" t="s">
        <v>1674</v>
      </c>
      <c r="C42" s="1252" t="s">
        <v>807</v>
      </c>
      <c r="D42" s="1246" t="s">
        <v>607</v>
      </c>
      <c r="E42" s="1247" t="s">
        <v>1063</v>
      </c>
      <c r="F42" s="855">
        <v>45839</v>
      </c>
      <c r="G42" s="855">
        <v>45992</v>
      </c>
      <c r="H42" s="1100">
        <v>70000</v>
      </c>
      <c r="I42" s="1249">
        <v>0</v>
      </c>
      <c r="J42" s="1100">
        <v>70000</v>
      </c>
      <c r="K42" s="1100">
        <v>2009</v>
      </c>
      <c r="L42" s="1103">
        <v>5025.38</v>
      </c>
      <c r="M42" s="1250">
        <v>2128</v>
      </c>
      <c r="N42" s="626">
        <v>1740.46</v>
      </c>
      <c r="O42" s="468">
        <f>SUM(K42:N42)</f>
        <v>10902.84</v>
      </c>
      <c r="P42" s="675">
        <f>+H42-O42</f>
        <v>59097.16</v>
      </c>
    </row>
    <row r="43" spans="2:16" ht="21" customHeight="1" x14ac:dyDescent="0.25">
      <c r="B43" s="466" t="s">
        <v>813</v>
      </c>
      <c r="C43" s="569"/>
      <c r="D43" s="492">
        <v>2</v>
      </c>
      <c r="E43" s="465"/>
      <c r="F43" s="695"/>
      <c r="G43" s="696"/>
      <c r="H43" s="1099">
        <f>SUM(H41:H42)</f>
        <v>150000</v>
      </c>
      <c r="I43" s="1253">
        <v>0</v>
      </c>
      <c r="J43" s="1099">
        <f t="shared" ref="J43:P43" si="4">SUM(J41:J42)</f>
        <v>150000</v>
      </c>
      <c r="K43" s="1099">
        <f t="shared" si="4"/>
        <v>4305</v>
      </c>
      <c r="L43" s="1099">
        <f t="shared" si="4"/>
        <v>12426.25</v>
      </c>
      <c r="M43" s="1099">
        <f t="shared" si="4"/>
        <v>4560</v>
      </c>
      <c r="N43" s="695">
        <f t="shared" si="4"/>
        <v>10644.39</v>
      </c>
      <c r="O43" s="695">
        <f t="shared" si="4"/>
        <v>31935.64</v>
      </c>
      <c r="P43" s="1099">
        <f t="shared" si="4"/>
        <v>118064.36</v>
      </c>
    </row>
    <row r="44" spans="2:16" ht="21" customHeight="1" x14ac:dyDescent="0.25">
      <c r="B44" s="466"/>
      <c r="C44" s="569"/>
      <c r="D44" s="492"/>
      <c r="E44" s="465"/>
      <c r="F44" s="695"/>
      <c r="G44" s="696"/>
      <c r="H44" s="1099"/>
      <c r="I44" s="1253"/>
      <c r="J44" s="1099"/>
      <c r="K44" s="1099"/>
      <c r="L44" s="1099"/>
      <c r="M44" s="1099"/>
      <c r="N44" s="695"/>
      <c r="O44" s="695"/>
      <c r="P44" s="1099"/>
    </row>
    <row r="45" spans="2:16" ht="21" customHeight="1" x14ac:dyDescent="0.25">
      <c r="B45" s="466" t="s">
        <v>1443</v>
      </c>
      <c r="C45" s="569"/>
      <c r="D45" s="492"/>
      <c r="E45" s="465"/>
      <c r="F45" s="500"/>
      <c r="G45" s="855"/>
      <c r="H45" s="695"/>
      <c r="I45" s="1144"/>
      <c r="J45" s="695"/>
      <c r="K45" s="695"/>
      <c r="L45" s="695"/>
      <c r="M45" s="1145"/>
      <c r="N45" s="695"/>
      <c r="O45" s="695"/>
      <c r="P45" s="695"/>
    </row>
    <row r="46" spans="2:16" s="259" customFormat="1" ht="21" customHeight="1" x14ac:dyDescent="0.25">
      <c r="B46" s="1251" t="s">
        <v>382</v>
      </c>
      <c r="C46" s="1252" t="s">
        <v>807</v>
      </c>
      <c r="D46" s="1246" t="s">
        <v>1749</v>
      </c>
      <c r="E46" s="1247" t="s">
        <v>1063</v>
      </c>
      <c r="F46" s="1248">
        <v>45809</v>
      </c>
      <c r="G46" s="1248">
        <v>45992</v>
      </c>
      <c r="H46" s="1100">
        <v>70000</v>
      </c>
      <c r="I46" s="1249">
        <v>0</v>
      </c>
      <c r="J46" s="1100">
        <v>70000</v>
      </c>
      <c r="K46" s="1100">
        <v>2009</v>
      </c>
      <c r="L46" s="1103">
        <v>5368.48</v>
      </c>
      <c r="M46" s="1250">
        <v>2128</v>
      </c>
      <c r="N46" s="626">
        <v>25</v>
      </c>
      <c r="O46" s="468">
        <f>+K46+L46+M46+N46</f>
        <v>9530.48</v>
      </c>
      <c r="P46" s="675">
        <f>+J46-O46</f>
        <v>60469.520000000004</v>
      </c>
    </row>
    <row r="47" spans="2:16" s="259" customFormat="1" ht="21" customHeight="1" x14ac:dyDescent="0.25">
      <c r="B47" s="466" t="s">
        <v>813</v>
      </c>
      <c r="C47" s="1252"/>
      <c r="D47" s="1325">
        <v>1</v>
      </c>
      <c r="E47" s="1247"/>
      <c r="F47" s="1248"/>
      <c r="G47" s="1248"/>
      <c r="H47" s="1099">
        <v>70000</v>
      </c>
      <c r="I47" s="1253">
        <v>0</v>
      </c>
      <c r="J47" s="1099">
        <v>70000</v>
      </c>
      <c r="K47" s="1099">
        <v>2009</v>
      </c>
      <c r="L47" s="1099">
        <v>5368.48</v>
      </c>
      <c r="M47" s="1099">
        <v>2128</v>
      </c>
      <c r="N47" s="695">
        <v>25</v>
      </c>
      <c r="O47" s="695">
        <f>SUM(K47:N47)</f>
        <v>9530.48</v>
      </c>
      <c r="P47" s="1099">
        <f>+H47-O47</f>
        <v>60469.520000000004</v>
      </c>
    </row>
    <row r="48" spans="2:16" ht="23.25" customHeight="1" x14ac:dyDescent="0.25">
      <c r="B48" s="466"/>
      <c r="C48" s="569"/>
      <c r="D48" s="492"/>
      <c r="E48" s="1247"/>
      <c r="F48" s="500"/>
      <c r="G48" s="855"/>
      <c r="H48" s="1099"/>
      <c r="I48" s="1253"/>
      <c r="J48" s="1099"/>
      <c r="K48" s="1099"/>
      <c r="L48" s="1099"/>
      <c r="M48" s="1099"/>
      <c r="N48" s="695"/>
      <c r="O48" s="695"/>
      <c r="P48" s="1099"/>
    </row>
    <row r="49" spans="2:16" ht="21" customHeight="1" x14ac:dyDescent="0.25">
      <c r="B49" s="466" t="s">
        <v>839</v>
      </c>
      <c r="C49" s="569"/>
      <c r="D49" s="492"/>
      <c r="E49" s="465"/>
      <c r="F49" s="500"/>
      <c r="G49" s="855"/>
      <c r="H49" s="695"/>
      <c r="I49" s="1144"/>
      <c r="J49" s="695"/>
      <c r="K49" s="695"/>
      <c r="L49" s="695"/>
      <c r="M49" s="1145"/>
      <c r="N49" s="695"/>
      <c r="O49" s="695"/>
      <c r="P49" s="695"/>
    </row>
    <row r="50" spans="2:16" ht="27.75" customHeight="1" x14ac:dyDescent="0.25">
      <c r="B50" s="286" t="s">
        <v>1581</v>
      </c>
      <c r="C50" s="685" t="s">
        <v>807</v>
      </c>
      <c r="D50" s="282" t="s">
        <v>1570</v>
      </c>
      <c r="E50" s="281" t="s">
        <v>1063</v>
      </c>
      <c r="F50" s="855">
        <v>45931</v>
      </c>
      <c r="G50" s="855">
        <v>46082</v>
      </c>
      <c r="H50" s="626">
        <v>150000</v>
      </c>
      <c r="I50" s="1169">
        <v>0</v>
      </c>
      <c r="J50" s="626">
        <v>150000</v>
      </c>
      <c r="K50" s="626">
        <v>4305</v>
      </c>
      <c r="L50" s="626">
        <v>23437.75</v>
      </c>
      <c r="M50" s="1149">
        <v>4560</v>
      </c>
      <c r="N50" s="626">
        <v>3912.66</v>
      </c>
      <c r="O50" s="626">
        <v>36215.410000000003</v>
      </c>
      <c r="P50" s="626">
        <v>113784.59</v>
      </c>
    </row>
    <row r="51" spans="2:16" ht="21" customHeight="1" x14ac:dyDescent="0.25">
      <c r="B51" s="453" t="s">
        <v>813</v>
      </c>
      <c r="C51" s="569"/>
      <c r="D51" s="492">
        <v>1</v>
      </c>
      <c r="E51" s="465"/>
      <c r="F51" s="500"/>
      <c r="G51" s="855"/>
      <c r="H51" s="695">
        <v>150000</v>
      </c>
      <c r="I51" s="1144">
        <v>0</v>
      </c>
      <c r="J51" s="695">
        <v>150000</v>
      </c>
      <c r="K51" s="695">
        <v>4305</v>
      </c>
      <c r="L51" s="695">
        <v>23437.75</v>
      </c>
      <c r="M51" s="1145">
        <v>4560</v>
      </c>
      <c r="N51" s="695">
        <v>3912.66</v>
      </c>
      <c r="O51" s="695">
        <v>36215.410000000003</v>
      </c>
      <c r="P51" s="695">
        <v>113784.59</v>
      </c>
    </row>
    <row r="52" spans="2:16" ht="21" customHeight="1" x14ac:dyDescent="0.25">
      <c r="B52" s="453"/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ht="30" customHeight="1" x14ac:dyDescent="0.25">
      <c r="B53" s="492" t="s">
        <v>1822</v>
      </c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21" customHeight="1" x14ac:dyDescent="0.25">
      <c r="B54" s="280" t="s">
        <v>1823</v>
      </c>
      <c r="C54" s="685" t="s">
        <v>807</v>
      </c>
      <c r="D54" s="282" t="s">
        <v>1824</v>
      </c>
      <c r="E54" s="281" t="s">
        <v>1063</v>
      </c>
      <c r="F54" s="855">
        <v>45931</v>
      </c>
      <c r="G54" s="855">
        <v>46082</v>
      </c>
      <c r="H54" s="1100">
        <v>70000</v>
      </c>
      <c r="I54" s="1249">
        <v>0</v>
      </c>
      <c r="J54" s="1100">
        <v>70000</v>
      </c>
      <c r="K54" s="1100">
        <v>2009</v>
      </c>
      <c r="L54" s="1103">
        <v>5025.38</v>
      </c>
      <c r="M54" s="1250">
        <v>2128</v>
      </c>
      <c r="N54" s="626">
        <v>1740.46</v>
      </c>
      <c r="O54" s="468">
        <f>SUM(K54:N54)</f>
        <v>10902.84</v>
      </c>
      <c r="P54" s="675">
        <f>+H54-O54</f>
        <v>59097.16</v>
      </c>
    </row>
    <row r="55" spans="2:16" ht="21" customHeight="1" x14ac:dyDescent="0.25">
      <c r="B55" s="496"/>
      <c r="C55" s="684"/>
      <c r="D55" s="492">
        <v>1</v>
      </c>
      <c r="E55" s="281"/>
      <c r="F55" s="858"/>
      <c r="G55" s="855"/>
      <c r="H55" s="1099">
        <v>70000</v>
      </c>
      <c r="I55" s="1253">
        <v>0</v>
      </c>
      <c r="J55" s="1099">
        <v>70000</v>
      </c>
      <c r="K55" s="1099">
        <v>2009</v>
      </c>
      <c r="L55" s="1254">
        <v>5025.38</v>
      </c>
      <c r="M55" s="1146">
        <v>2128</v>
      </c>
      <c r="N55" s="695">
        <v>1740.46</v>
      </c>
      <c r="O55" s="697">
        <f>SUM(K55:N55)</f>
        <v>10902.84</v>
      </c>
      <c r="P55" s="676">
        <f>+H55-O55</f>
        <v>59097.16</v>
      </c>
    </row>
    <row r="56" spans="2:16" ht="21" customHeight="1" x14ac:dyDescent="0.25">
      <c r="B56" s="453" t="s">
        <v>1128</v>
      </c>
      <c r="C56" s="569"/>
      <c r="D56" s="280"/>
      <c r="E56" s="280"/>
      <c r="F56" s="858"/>
      <c r="G56" s="855"/>
      <c r="H56" s="280"/>
      <c r="I56" s="1113"/>
      <c r="J56" s="487"/>
      <c r="K56" s="457"/>
      <c r="L56" s="457"/>
      <c r="M56" s="1149"/>
      <c r="N56" s="468"/>
      <c r="O56" s="468"/>
      <c r="P56" s="457"/>
    </row>
    <row r="57" spans="2:16" ht="29.25" customHeight="1" x14ac:dyDescent="0.25">
      <c r="B57" s="280" t="s">
        <v>461</v>
      </c>
      <c r="C57" s="685" t="s">
        <v>807</v>
      </c>
      <c r="D57" s="282" t="s">
        <v>1574</v>
      </c>
      <c r="E57" s="281" t="s">
        <v>1063</v>
      </c>
      <c r="F57" s="855">
        <v>45931</v>
      </c>
      <c r="G57" s="855">
        <v>46082</v>
      </c>
      <c r="H57" s="468">
        <v>115000</v>
      </c>
      <c r="I57" s="1111">
        <v>0</v>
      </c>
      <c r="J57" s="489">
        <v>115000</v>
      </c>
      <c r="K57" s="489">
        <v>3300.5</v>
      </c>
      <c r="L57" s="489">
        <v>15633.74</v>
      </c>
      <c r="M57" s="1149">
        <v>3496</v>
      </c>
      <c r="N57" s="861">
        <v>1431</v>
      </c>
      <c r="O57" s="468">
        <f>+K57+L57+M57+N57</f>
        <v>23861.239999999998</v>
      </c>
      <c r="P57" s="457">
        <f>+J57-O57</f>
        <v>91138.760000000009</v>
      </c>
    </row>
    <row r="58" spans="2:16" ht="21" customHeight="1" x14ac:dyDescent="0.25">
      <c r="B58" s="280" t="s">
        <v>1283</v>
      </c>
      <c r="C58" s="685" t="s">
        <v>807</v>
      </c>
      <c r="D58" s="282" t="s">
        <v>1495</v>
      </c>
      <c r="E58" s="281" t="s">
        <v>1281</v>
      </c>
      <c r="F58" s="855">
        <v>45931</v>
      </c>
      <c r="G58" s="855">
        <v>46082</v>
      </c>
      <c r="H58" s="468">
        <v>60000</v>
      </c>
      <c r="I58" s="1169">
        <v>0</v>
      </c>
      <c r="J58" s="628">
        <v>60000</v>
      </c>
      <c r="K58" s="628">
        <v>1722</v>
      </c>
      <c r="L58" s="628">
        <v>3486.68</v>
      </c>
      <c r="M58" s="1149">
        <v>1824</v>
      </c>
      <c r="N58" s="861">
        <v>728</v>
      </c>
      <c r="O58" s="468">
        <f>+K58+L58+M58+N58</f>
        <v>7760.68</v>
      </c>
      <c r="P58" s="468">
        <f>+J58-O58</f>
        <v>52239.32</v>
      </c>
    </row>
    <row r="59" spans="2:16" ht="21" customHeight="1" x14ac:dyDescent="0.25">
      <c r="B59" s="453" t="s">
        <v>813</v>
      </c>
      <c r="C59" s="569"/>
      <c r="D59" s="453">
        <v>2</v>
      </c>
      <c r="E59" s="525"/>
      <c r="F59" s="500"/>
      <c r="G59" s="855"/>
      <c r="H59" s="695">
        <f>SUM(H57:H58)</f>
        <v>175000</v>
      </c>
      <c r="I59" s="1144">
        <f t="shared" ref="I59" si="5">SUM(I58)</f>
        <v>0</v>
      </c>
      <c r="J59" s="695">
        <f t="shared" ref="J59:P59" si="6">SUM(J57:J58)</f>
        <v>175000</v>
      </c>
      <c r="K59" s="695">
        <f t="shared" si="6"/>
        <v>5022.5</v>
      </c>
      <c r="L59" s="695">
        <f t="shared" si="6"/>
        <v>19120.419999999998</v>
      </c>
      <c r="M59" s="1145">
        <f t="shared" si="6"/>
        <v>5320</v>
      </c>
      <c r="N59" s="695">
        <f>SUM(N57:N58)</f>
        <v>2159</v>
      </c>
      <c r="O59" s="695">
        <f t="shared" si="6"/>
        <v>31621.919999999998</v>
      </c>
      <c r="P59" s="695">
        <f t="shared" si="6"/>
        <v>143378.08000000002</v>
      </c>
    </row>
    <row r="60" spans="2:16" ht="21" customHeight="1" x14ac:dyDescent="0.25">
      <c r="B60" s="453"/>
      <c r="C60" s="569"/>
      <c r="D60" s="453"/>
      <c r="E60" s="52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453" t="s">
        <v>1462</v>
      </c>
      <c r="C61" s="569"/>
      <c r="D61" s="453"/>
      <c r="E61" s="525"/>
      <c r="F61" s="500"/>
      <c r="G61" s="855"/>
      <c r="H61" s="695"/>
      <c r="I61" s="1144"/>
      <c r="J61" s="695"/>
      <c r="K61" s="695"/>
      <c r="L61" s="695"/>
      <c r="M61" s="1145"/>
      <c r="N61" s="695"/>
      <c r="O61" s="695"/>
      <c r="P61" s="695"/>
    </row>
    <row r="62" spans="2:16" ht="21" customHeight="1" x14ac:dyDescent="0.25">
      <c r="B62" s="280" t="s">
        <v>1825</v>
      </c>
      <c r="C62" s="685" t="s">
        <v>807</v>
      </c>
      <c r="D62" s="280" t="s">
        <v>1826</v>
      </c>
      <c r="E62" s="281" t="s">
        <v>1281</v>
      </c>
      <c r="F62" s="855">
        <v>45931</v>
      </c>
      <c r="G62" s="855">
        <v>46082</v>
      </c>
      <c r="H62" s="468">
        <v>60000</v>
      </c>
      <c r="I62" s="1169">
        <v>0</v>
      </c>
      <c r="J62" s="628">
        <v>60000</v>
      </c>
      <c r="K62" s="628">
        <v>1722</v>
      </c>
      <c r="L62" s="628">
        <v>3486.68</v>
      </c>
      <c r="M62" s="1149">
        <v>1824</v>
      </c>
      <c r="N62" s="861">
        <v>25</v>
      </c>
      <c r="O62" s="468">
        <f>+K62+L62+M62+N62</f>
        <v>7057.68</v>
      </c>
      <c r="P62" s="468">
        <f>+J62-O62</f>
        <v>52942.32</v>
      </c>
    </row>
    <row r="63" spans="2:16" ht="21" customHeight="1" x14ac:dyDescent="0.25">
      <c r="B63" s="461"/>
      <c r="C63" s="1223"/>
      <c r="D63" s="453">
        <v>1</v>
      </c>
      <c r="E63" s="525"/>
      <c r="F63" s="858"/>
      <c r="G63" s="855"/>
      <c r="H63" s="468">
        <v>60000</v>
      </c>
      <c r="I63" s="1169">
        <v>0</v>
      </c>
      <c r="J63" s="628">
        <v>60000</v>
      </c>
      <c r="K63" s="628">
        <v>1722</v>
      </c>
      <c r="L63" s="628">
        <v>3486.68</v>
      </c>
      <c r="M63" s="1149">
        <v>1824</v>
      </c>
      <c r="N63" s="861">
        <v>25</v>
      </c>
      <c r="O63" s="468">
        <f>+K63+L63+M63+N63</f>
        <v>7057.68</v>
      </c>
      <c r="P63" s="468">
        <f>+J63-O63</f>
        <v>52942.32</v>
      </c>
    </row>
    <row r="64" spans="2:16" ht="21" customHeight="1" x14ac:dyDescent="0.25">
      <c r="B64" s="1014" t="s">
        <v>1575</v>
      </c>
      <c r="C64" s="569"/>
      <c r="D64" s="492"/>
      <c r="E64" s="465"/>
      <c r="F64" s="500"/>
      <c r="G64" s="855"/>
      <c r="H64" s="695"/>
      <c r="I64" s="1144"/>
      <c r="J64" s="695"/>
      <c r="K64" s="695"/>
      <c r="L64" s="695"/>
      <c r="M64" s="1145"/>
      <c r="N64" s="695"/>
      <c r="O64" s="695"/>
      <c r="P64" s="695"/>
    </row>
    <row r="65" spans="2:16" s="259" customFormat="1" ht="30.75" customHeight="1" x14ac:dyDescent="0.25">
      <c r="B65" s="1251" t="s">
        <v>1582</v>
      </c>
      <c r="C65" s="1252" t="s">
        <v>807</v>
      </c>
      <c r="D65" s="1246" t="s">
        <v>1571</v>
      </c>
      <c r="E65" s="1247" t="s">
        <v>1063</v>
      </c>
      <c r="F65" s="1084">
        <v>45870</v>
      </c>
      <c r="G65" s="1084">
        <v>46023</v>
      </c>
      <c r="H65" s="1100">
        <v>95000</v>
      </c>
      <c r="I65" s="1249">
        <v>0</v>
      </c>
      <c r="J65" s="1100">
        <v>95000</v>
      </c>
      <c r="K65" s="1100">
        <v>2726.5</v>
      </c>
      <c r="L65" s="1103">
        <v>10929.24</v>
      </c>
      <c r="M65" s="1250">
        <v>2888</v>
      </c>
      <c r="N65" s="626">
        <v>18566.330000000002</v>
      </c>
      <c r="O65" s="468">
        <f>+K65+L65+M65+N65</f>
        <v>35110.07</v>
      </c>
      <c r="P65" s="675">
        <f>+J65-O65</f>
        <v>59889.93</v>
      </c>
    </row>
    <row r="66" spans="2:16" ht="21" customHeight="1" x14ac:dyDescent="0.25">
      <c r="B66" s="453" t="s">
        <v>813</v>
      </c>
      <c r="C66" s="685"/>
      <c r="D66" s="453">
        <v>1</v>
      </c>
      <c r="E66" s="281"/>
      <c r="F66" s="1019"/>
      <c r="G66" s="857"/>
      <c r="H66" s="697">
        <f>SUM(H65)</f>
        <v>95000</v>
      </c>
      <c r="I66" s="1144">
        <f>SUM(I65)</f>
        <v>0</v>
      </c>
      <c r="J66" s="697">
        <f t="shared" ref="J66:P66" si="7">SUM(J65)</f>
        <v>95000</v>
      </c>
      <c r="K66" s="697">
        <f t="shared" si="7"/>
        <v>2726.5</v>
      </c>
      <c r="L66" s="697">
        <f t="shared" si="7"/>
        <v>10929.24</v>
      </c>
      <c r="M66" s="1145">
        <f t="shared" si="7"/>
        <v>2888</v>
      </c>
      <c r="N66" s="697">
        <f>SUM(N65)</f>
        <v>18566.330000000002</v>
      </c>
      <c r="O66" s="697">
        <f t="shared" si="7"/>
        <v>35110.07</v>
      </c>
      <c r="P66" s="697">
        <f t="shared" si="7"/>
        <v>59889.93</v>
      </c>
    </row>
    <row r="67" spans="2:16" ht="21" customHeight="1" x14ac:dyDescent="0.25">
      <c r="B67" s="496"/>
      <c r="C67" s="684"/>
      <c r="D67" s="282"/>
      <c r="E67" s="281"/>
      <c r="F67" s="856"/>
      <c r="G67" s="857"/>
      <c r="H67" s="626"/>
      <c r="I67" s="1111"/>
      <c r="J67" s="457"/>
      <c r="K67" s="457"/>
      <c r="L67" s="457"/>
      <c r="M67" s="1149"/>
      <c r="N67" s="468"/>
      <c r="O67" s="468"/>
      <c r="P67" s="457"/>
    </row>
    <row r="68" spans="2:16" ht="32.25" customHeight="1" x14ac:dyDescent="0.25">
      <c r="B68" s="1014" t="s">
        <v>1136</v>
      </c>
      <c r="C68" s="570"/>
      <c r="D68" s="492"/>
      <c r="E68" s="465"/>
      <c r="F68" s="1019"/>
      <c r="G68" s="857"/>
      <c r="H68" s="695"/>
      <c r="I68" s="1144"/>
      <c r="J68" s="697"/>
      <c r="K68" s="697"/>
      <c r="L68" s="697"/>
      <c r="M68" s="1145"/>
      <c r="N68" s="697"/>
      <c r="O68" s="697"/>
      <c r="P68" s="697"/>
    </row>
    <row r="69" spans="2:16" ht="31.5" customHeight="1" x14ac:dyDescent="0.25">
      <c r="B69" s="153" t="s">
        <v>1583</v>
      </c>
      <c r="C69" s="685" t="s">
        <v>806</v>
      </c>
      <c r="D69" s="749" t="s">
        <v>1572</v>
      </c>
      <c r="E69" s="281" t="s">
        <v>1063</v>
      </c>
      <c r="F69" s="855">
        <v>45839</v>
      </c>
      <c r="G69" s="855">
        <v>45992</v>
      </c>
      <c r="H69" s="626">
        <v>120000</v>
      </c>
      <c r="I69" s="1169">
        <v>0</v>
      </c>
      <c r="J69" s="468">
        <v>120000</v>
      </c>
      <c r="K69" s="468">
        <v>3444</v>
      </c>
      <c r="L69" s="468">
        <v>16809.87</v>
      </c>
      <c r="M69" s="1149">
        <v>3648</v>
      </c>
      <c r="N69" s="468">
        <v>2568.4</v>
      </c>
      <c r="O69" s="468">
        <f>+K69+L69+M69+N69</f>
        <v>26470.27</v>
      </c>
      <c r="P69" s="626">
        <f>+J69-O69</f>
        <v>93529.73</v>
      </c>
    </row>
    <row r="70" spans="2:16" s="259" customFormat="1" ht="21" customHeight="1" x14ac:dyDescent="0.25">
      <c r="B70" s="1251" t="s">
        <v>1750</v>
      </c>
      <c r="C70" s="1252" t="s">
        <v>807</v>
      </c>
      <c r="D70" s="1246" t="s">
        <v>1751</v>
      </c>
      <c r="E70" s="1247" t="s">
        <v>1063</v>
      </c>
      <c r="F70" s="855">
        <v>45839</v>
      </c>
      <c r="G70" s="855">
        <v>45992</v>
      </c>
      <c r="H70" s="1100">
        <v>50000</v>
      </c>
      <c r="I70" s="1249">
        <v>0</v>
      </c>
      <c r="J70" s="1100">
        <v>50000</v>
      </c>
      <c r="K70" s="1100">
        <v>1435</v>
      </c>
      <c r="L70" s="1103">
        <v>1854</v>
      </c>
      <c r="M70" s="1250">
        <v>1520</v>
      </c>
      <c r="N70" s="626">
        <v>25</v>
      </c>
      <c r="O70" s="468">
        <f>+K70+L70+M70+N70</f>
        <v>4834</v>
      </c>
      <c r="P70" s="675">
        <f>+J70-O70</f>
        <v>45166</v>
      </c>
    </row>
    <row r="71" spans="2:16" ht="21" customHeight="1" x14ac:dyDescent="0.25">
      <c r="B71" s="496" t="s">
        <v>1352</v>
      </c>
      <c r="C71" s="684" t="s">
        <v>806</v>
      </c>
      <c r="D71" s="286" t="s">
        <v>1635</v>
      </c>
      <c r="E71" s="281" t="s">
        <v>1063</v>
      </c>
      <c r="F71" s="855">
        <v>45931</v>
      </c>
      <c r="G71" s="855">
        <v>46082</v>
      </c>
      <c r="H71" s="626">
        <v>55000</v>
      </c>
      <c r="I71" s="1111">
        <v>0</v>
      </c>
      <c r="J71" s="457">
        <v>55000</v>
      </c>
      <c r="K71" s="457">
        <v>1578.5</v>
      </c>
      <c r="L71" s="457">
        <v>2559.6799999999998</v>
      </c>
      <c r="M71" s="1149">
        <v>1672</v>
      </c>
      <c r="N71" s="468">
        <v>25</v>
      </c>
      <c r="O71" s="468">
        <v>5835.18</v>
      </c>
      <c r="P71" s="498">
        <f>+J71-O71</f>
        <v>49164.82</v>
      </c>
    </row>
    <row r="72" spans="2:16" ht="21" customHeight="1" x14ac:dyDescent="0.25">
      <c r="B72" s="275" t="s">
        <v>875</v>
      </c>
      <c r="C72" s="1245" t="s">
        <v>807</v>
      </c>
      <c r="D72" s="1246" t="s">
        <v>1784</v>
      </c>
      <c r="E72" s="1247" t="s">
        <v>1063</v>
      </c>
      <c r="F72" s="855">
        <v>45839</v>
      </c>
      <c r="G72" s="855">
        <v>45992</v>
      </c>
      <c r="H72" s="626">
        <v>70000</v>
      </c>
      <c r="I72" s="1169">
        <v>0</v>
      </c>
      <c r="J72" s="626">
        <v>70000</v>
      </c>
      <c r="K72" s="626">
        <v>2009</v>
      </c>
      <c r="L72" s="626">
        <v>5368.48</v>
      </c>
      <c r="M72" s="1149">
        <v>2128</v>
      </c>
      <c r="N72" s="626">
        <v>2517.7399999999998</v>
      </c>
      <c r="O72" s="626">
        <f>SUM(K72:N72)</f>
        <v>12023.22</v>
      </c>
      <c r="P72" s="626">
        <f>+H72-O72</f>
        <v>57976.78</v>
      </c>
    </row>
    <row r="73" spans="2:16" ht="21" customHeight="1" x14ac:dyDescent="0.25">
      <c r="B73" s="466" t="s">
        <v>813</v>
      </c>
      <c r="C73" s="569"/>
      <c r="D73" s="492">
        <v>4</v>
      </c>
      <c r="E73" s="465"/>
      <c r="F73" s="500"/>
      <c r="G73" s="855"/>
      <c r="H73" s="697">
        <f>SUM(H69:H72)</f>
        <v>295000</v>
      </c>
      <c r="I73" s="1144">
        <v>0</v>
      </c>
      <c r="J73" s="697">
        <f t="shared" ref="J73:P73" si="8">SUM(J69:J72)</f>
        <v>295000</v>
      </c>
      <c r="K73" s="697">
        <f t="shared" si="8"/>
        <v>8466.5</v>
      </c>
      <c r="L73" s="697">
        <f t="shared" si="8"/>
        <v>26592.03</v>
      </c>
      <c r="M73" s="697">
        <f t="shared" si="8"/>
        <v>8968</v>
      </c>
      <c r="N73" s="697">
        <f t="shared" si="8"/>
        <v>5136.1399999999994</v>
      </c>
      <c r="O73" s="697">
        <f t="shared" si="8"/>
        <v>49162.67</v>
      </c>
      <c r="P73" s="697">
        <f t="shared" si="8"/>
        <v>245837.33</v>
      </c>
    </row>
    <row r="74" spans="2:16" ht="21" customHeight="1" x14ac:dyDescent="0.25">
      <c r="B74" s="466"/>
      <c r="C74" s="569"/>
      <c r="D74" s="492"/>
      <c r="E74" s="465"/>
      <c r="F74" s="500"/>
      <c r="G74" s="855"/>
      <c r="H74" s="697"/>
      <c r="I74" s="1144"/>
      <c r="J74" s="697"/>
      <c r="K74" s="697"/>
      <c r="L74" s="697"/>
      <c r="M74" s="1145"/>
      <c r="N74" s="697"/>
      <c r="O74" s="697"/>
      <c r="P74" s="697"/>
    </row>
    <row r="75" spans="2:16" ht="21" customHeight="1" x14ac:dyDescent="0.25">
      <c r="B75" s="466" t="s">
        <v>1791</v>
      </c>
      <c r="C75" s="569"/>
      <c r="D75" s="492"/>
      <c r="E75" s="465"/>
      <c r="F75" s="500"/>
      <c r="G75" s="855"/>
      <c r="H75" s="697"/>
      <c r="I75" s="1144"/>
      <c r="J75" s="697"/>
      <c r="K75" s="697"/>
      <c r="L75" s="697"/>
      <c r="M75" s="1145"/>
      <c r="N75" s="697"/>
      <c r="O75" s="697"/>
      <c r="P75" s="697"/>
    </row>
    <row r="76" spans="2:16" ht="21" customHeight="1" x14ac:dyDescent="0.25">
      <c r="B76" s="286" t="s">
        <v>1793</v>
      </c>
      <c r="C76" s="685" t="s">
        <v>807</v>
      </c>
      <c r="D76" s="282" t="s">
        <v>1794</v>
      </c>
      <c r="E76" s="281" t="s">
        <v>1063</v>
      </c>
      <c r="F76" s="855">
        <v>45839</v>
      </c>
      <c r="G76" s="855">
        <v>45992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</v>
      </c>
      <c r="O76" s="468">
        <f>SUM(K76:N76)</f>
        <v>23926.87</v>
      </c>
      <c r="P76" s="468">
        <f>+H76-O76</f>
        <v>96073.13</v>
      </c>
    </row>
    <row r="77" spans="2:16" ht="21" customHeight="1" x14ac:dyDescent="0.25">
      <c r="B77" s="466" t="s">
        <v>813</v>
      </c>
      <c r="C77" s="569"/>
      <c r="D77" s="492">
        <v>1</v>
      </c>
      <c r="E77" s="465"/>
      <c r="F77" s="500"/>
      <c r="G77" s="855"/>
      <c r="H77" s="695">
        <v>120000</v>
      </c>
      <c r="I77" s="1144">
        <v>0</v>
      </c>
      <c r="J77" s="697">
        <v>120000</v>
      </c>
      <c r="K77" s="697">
        <v>3444</v>
      </c>
      <c r="L77" s="697">
        <v>16809.87</v>
      </c>
      <c r="M77" s="1145">
        <v>3648</v>
      </c>
      <c r="N77" s="697">
        <v>25</v>
      </c>
      <c r="O77" s="697">
        <f>SUM(K77:N77)</f>
        <v>23926.87</v>
      </c>
      <c r="P77" s="697">
        <f>+H77-O77</f>
        <v>96073.13</v>
      </c>
    </row>
    <row r="78" spans="2:16" ht="21" customHeight="1" x14ac:dyDescent="0.25">
      <c r="B78" s="466"/>
      <c r="C78" s="569"/>
      <c r="D78" s="492"/>
      <c r="E78" s="465"/>
      <c r="F78" s="500"/>
      <c r="G78" s="855"/>
      <c r="H78" s="697"/>
      <c r="I78" s="1144"/>
      <c r="J78" s="697"/>
      <c r="K78" s="697"/>
      <c r="L78" s="697"/>
      <c r="M78" s="1145"/>
      <c r="N78" s="697"/>
      <c r="O78" s="697"/>
      <c r="P78" s="697"/>
    </row>
    <row r="79" spans="2:16" ht="21" customHeight="1" x14ac:dyDescent="0.25">
      <c r="B79" s="453" t="s">
        <v>1515</v>
      </c>
      <c r="C79" s="569"/>
      <c r="D79" s="492"/>
      <c r="E79" s="465"/>
      <c r="F79" s="1019"/>
      <c r="G79" s="857"/>
      <c r="H79" s="695"/>
      <c r="I79" s="1144"/>
      <c r="J79" s="697"/>
      <c r="K79" s="697"/>
      <c r="L79" s="697"/>
      <c r="M79" s="1145"/>
      <c r="N79" s="697"/>
      <c r="O79" s="697"/>
      <c r="P79" s="697"/>
    </row>
    <row r="80" spans="2:16" ht="32.25" customHeight="1" x14ac:dyDescent="0.25">
      <c r="B80" s="280" t="s">
        <v>1584</v>
      </c>
      <c r="C80" s="685" t="s">
        <v>806</v>
      </c>
      <c r="D80" s="282" t="s">
        <v>1357</v>
      </c>
      <c r="E80" s="281" t="s">
        <v>1063</v>
      </c>
      <c r="F80" s="855">
        <v>45778</v>
      </c>
      <c r="G80" s="855">
        <v>45931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ref="O80:O85" si="9">+K80+L80+M80+N80</f>
        <v>25398.49</v>
      </c>
      <c r="P80" s="498">
        <f t="shared" ref="P80:P85" si="10">+J80-O80</f>
        <v>99601.51</v>
      </c>
    </row>
    <row r="81" spans="2:16" ht="32.25" customHeight="1" x14ac:dyDescent="0.25">
      <c r="B81" s="280" t="s">
        <v>1585</v>
      </c>
      <c r="C81" s="685" t="s">
        <v>806</v>
      </c>
      <c r="D81" s="282" t="s">
        <v>1357</v>
      </c>
      <c r="E81" s="281" t="s">
        <v>1063</v>
      </c>
      <c r="F81" s="855">
        <v>45778</v>
      </c>
      <c r="G81" s="855">
        <v>45931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9"/>
        <v>25398.49</v>
      </c>
      <c r="P81" s="498">
        <f t="shared" si="10"/>
        <v>99601.51</v>
      </c>
    </row>
    <row r="82" spans="2:16" ht="32.25" customHeight="1" x14ac:dyDescent="0.25">
      <c r="B82" s="280" t="s">
        <v>1586</v>
      </c>
      <c r="C82" s="685" t="s">
        <v>806</v>
      </c>
      <c r="D82" s="282" t="s">
        <v>1355</v>
      </c>
      <c r="E82" s="281" t="s">
        <v>1063</v>
      </c>
      <c r="F82" s="855">
        <v>45931</v>
      </c>
      <c r="G82" s="855">
        <v>46082</v>
      </c>
      <c r="H82" s="626">
        <v>125000</v>
      </c>
      <c r="I82" s="1111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9"/>
        <v>25398.49</v>
      </c>
      <c r="P82" s="498">
        <f t="shared" si="10"/>
        <v>99601.51</v>
      </c>
    </row>
    <row r="83" spans="2:16" ht="32.25" customHeight="1" x14ac:dyDescent="0.25">
      <c r="B83" s="153" t="s">
        <v>1587</v>
      </c>
      <c r="C83" s="685" t="s">
        <v>806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125000</v>
      </c>
      <c r="I83" s="1111">
        <v>0</v>
      </c>
      <c r="J83" s="1038">
        <v>125000</v>
      </c>
      <c r="K83" s="1038">
        <v>3587.5</v>
      </c>
      <c r="L83" s="1037">
        <v>17985.990000000002</v>
      </c>
      <c r="M83" s="1150">
        <v>3800</v>
      </c>
      <c r="N83" s="1038">
        <v>25</v>
      </c>
      <c r="O83" s="468">
        <f t="shared" si="9"/>
        <v>25398.49</v>
      </c>
      <c r="P83" s="498">
        <f t="shared" si="10"/>
        <v>99601.51</v>
      </c>
    </row>
    <row r="84" spans="2:16" ht="32.25" customHeight="1" x14ac:dyDescent="0.25">
      <c r="B84" s="280" t="s">
        <v>1588</v>
      </c>
      <c r="C84" s="685" t="s">
        <v>806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69">
        <v>0</v>
      </c>
      <c r="J84" s="1038">
        <v>125000</v>
      </c>
      <c r="K84" s="1038">
        <v>3587.5</v>
      </c>
      <c r="L84" s="1037">
        <v>17985.990000000002</v>
      </c>
      <c r="M84" s="1150">
        <v>3800</v>
      </c>
      <c r="N84" s="1038">
        <v>25</v>
      </c>
      <c r="O84" s="468">
        <f t="shared" si="9"/>
        <v>25398.49</v>
      </c>
      <c r="P84" s="626">
        <f t="shared" si="10"/>
        <v>99601.51</v>
      </c>
    </row>
    <row r="85" spans="2:16" ht="32.25" customHeight="1" x14ac:dyDescent="0.25">
      <c r="B85" s="280" t="s">
        <v>1589</v>
      </c>
      <c r="C85" s="685" t="s">
        <v>807</v>
      </c>
      <c r="D85" s="282" t="s">
        <v>1357</v>
      </c>
      <c r="E85" s="281" t="s">
        <v>1063</v>
      </c>
      <c r="F85" s="855">
        <v>45931</v>
      </c>
      <c r="G85" s="855">
        <v>46082</v>
      </c>
      <c r="H85" s="626">
        <v>135000</v>
      </c>
      <c r="I85" s="1169">
        <v>0</v>
      </c>
      <c r="J85" s="1038">
        <v>135000</v>
      </c>
      <c r="K85" s="1038">
        <v>3874.5</v>
      </c>
      <c r="L85" s="1038">
        <v>19909.38</v>
      </c>
      <c r="M85" s="1150">
        <v>4104</v>
      </c>
      <c r="N85" s="1038">
        <v>1740.46</v>
      </c>
      <c r="O85" s="468">
        <f t="shared" si="9"/>
        <v>29628.34</v>
      </c>
      <c r="P85" s="626">
        <f t="shared" si="10"/>
        <v>105371.66</v>
      </c>
    </row>
    <row r="86" spans="2:16" ht="33" customHeight="1" x14ac:dyDescent="0.25">
      <c r="B86" s="153" t="s">
        <v>1590</v>
      </c>
      <c r="C86" s="685" t="s">
        <v>807</v>
      </c>
      <c r="D86" s="282" t="s">
        <v>1357</v>
      </c>
      <c r="E86" s="281" t="s">
        <v>1063</v>
      </c>
      <c r="F86" s="855">
        <v>45931</v>
      </c>
      <c r="G86" s="855">
        <v>46082</v>
      </c>
      <c r="H86" s="626">
        <v>125000</v>
      </c>
      <c r="I86" s="1111">
        <v>0</v>
      </c>
      <c r="J86" s="1038">
        <v>125000</v>
      </c>
      <c r="K86" s="1038">
        <v>3587.5</v>
      </c>
      <c r="L86" s="1038">
        <v>17985.990000000002</v>
      </c>
      <c r="M86" s="1150">
        <v>3800</v>
      </c>
      <c r="N86" s="1038">
        <v>25</v>
      </c>
      <c r="O86" s="468">
        <v>25398.49</v>
      </c>
      <c r="P86" s="498">
        <v>99601.51</v>
      </c>
    </row>
    <row r="87" spans="2:16" ht="21" customHeight="1" x14ac:dyDescent="0.25">
      <c r="B87" s="466" t="s">
        <v>813</v>
      </c>
      <c r="C87" s="569"/>
      <c r="D87" s="492">
        <v>7</v>
      </c>
      <c r="E87" s="465"/>
      <c r="F87" s="500"/>
      <c r="G87" s="855"/>
      <c r="H87" s="697">
        <f>SUM(H80:H86)</f>
        <v>885000</v>
      </c>
      <c r="I87" s="1112">
        <v>0</v>
      </c>
      <c r="J87" s="697">
        <f t="shared" ref="J87:P87" si="11">SUM(J80:J86)</f>
        <v>885000</v>
      </c>
      <c r="K87" s="697">
        <f t="shared" si="11"/>
        <v>25399.5</v>
      </c>
      <c r="L87" s="697">
        <f t="shared" si="11"/>
        <v>127825.32000000002</v>
      </c>
      <c r="M87" s="1145">
        <f t="shared" si="11"/>
        <v>26904</v>
      </c>
      <c r="N87" s="697">
        <f t="shared" si="11"/>
        <v>1890.46</v>
      </c>
      <c r="O87" s="697">
        <f t="shared" si="11"/>
        <v>182019.28</v>
      </c>
      <c r="P87" s="697">
        <f t="shared" si="11"/>
        <v>702980.72</v>
      </c>
    </row>
    <row r="88" spans="2:16" ht="21" customHeight="1" x14ac:dyDescent="0.25">
      <c r="B88" s="466"/>
      <c r="C88" s="569"/>
      <c r="D88" s="492"/>
      <c r="E88" s="465"/>
      <c r="F88" s="500"/>
      <c r="G88" s="855"/>
      <c r="H88" s="697"/>
      <c r="I88" s="1145"/>
      <c r="J88" s="697"/>
      <c r="K88" s="697"/>
      <c r="L88" s="697"/>
      <c r="M88" s="1145"/>
      <c r="N88" s="697"/>
      <c r="O88" s="697"/>
      <c r="P88" s="697"/>
    </row>
    <row r="89" spans="2:16" ht="21" customHeight="1" x14ac:dyDescent="0.25">
      <c r="B89" s="466" t="s">
        <v>821</v>
      </c>
      <c r="C89" s="569"/>
      <c r="D89" s="492"/>
      <c r="E89" s="465"/>
      <c r="F89" s="500"/>
      <c r="G89" s="855"/>
      <c r="H89" s="695"/>
      <c r="I89" s="1144"/>
      <c r="J89" s="697"/>
      <c r="K89" s="697"/>
      <c r="L89" s="697"/>
      <c r="M89" s="1145"/>
      <c r="N89" s="697"/>
      <c r="O89" s="697"/>
      <c r="P89" s="697"/>
    </row>
    <row r="90" spans="2:16" ht="30.75" customHeight="1" x14ac:dyDescent="0.25">
      <c r="B90" s="286" t="s">
        <v>593</v>
      </c>
      <c r="C90" s="685" t="s">
        <v>806</v>
      </c>
      <c r="D90" s="282" t="s">
        <v>1541</v>
      </c>
      <c r="E90" s="281" t="s">
        <v>1063</v>
      </c>
      <c r="F90" s="855">
        <v>45931</v>
      </c>
      <c r="G90" s="855">
        <v>46082</v>
      </c>
      <c r="H90" s="626">
        <v>150000</v>
      </c>
      <c r="I90" s="1169">
        <v>0</v>
      </c>
      <c r="J90" s="468">
        <v>150000</v>
      </c>
      <c r="K90" s="468">
        <v>4305</v>
      </c>
      <c r="L90" s="468">
        <v>23866.62</v>
      </c>
      <c r="M90" s="1149">
        <v>4560</v>
      </c>
      <c r="N90" s="468">
        <v>2568.4</v>
      </c>
      <c r="O90" s="468">
        <v>35300.019999999997</v>
      </c>
      <c r="P90" s="468">
        <f t="shared" ref="P90:P95" si="12">+J90-O90</f>
        <v>114699.98000000001</v>
      </c>
    </row>
    <row r="91" spans="2:16" ht="24.75" customHeight="1" x14ac:dyDescent="0.25">
      <c r="B91" s="286" t="s">
        <v>1591</v>
      </c>
      <c r="C91" s="684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11">
        <v>0</v>
      </c>
      <c r="J91" s="457">
        <v>70000</v>
      </c>
      <c r="K91" s="457">
        <v>2009</v>
      </c>
      <c r="L91" s="457">
        <v>5368.48</v>
      </c>
      <c r="M91" s="1149">
        <v>2128</v>
      </c>
      <c r="N91" s="468">
        <v>25</v>
      </c>
      <c r="O91" s="468">
        <f>+K91+L91+M91+N91</f>
        <v>9530.48</v>
      </c>
      <c r="P91" s="457">
        <f t="shared" si="12"/>
        <v>60469.520000000004</v>
      </c>
    </row>
    <row r="92" spans="2:16" ht="24.75" customHeight="1" x14ac:dyDescent="0.25">
      <c r="B92" s="286" t="s">
        <v>1288</v>
      </c>
      <c r="C92" s="685" t="s">
        <v>807</v>
      </c>
      <c r="D92" s="282" t="s">
        <v>417</v>
      </c>
      <c r="E92" s="281" t="s">
        <v>1063</v>
      </c>
      <c r="F92" s="855">
        <v>45931</v>
      </c>
      <c r="G92" s="855">
        <v>46082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5368.48</v>
      </c>
      <c r="M92" s="1149">
        <v>2128</v>
      </c>
      <c r="N92" s="468">
        <v>25</v>
      </c>
      <c r="O92" s="468">
        <f>+K92+L92+M92+N92</f>
        <v>9530.48</v>
      </c>
      <c r="P92" s="468">
        <f t="shared" si="12"/>
        <v>60469.520000000004</v>
      </c>
    </row>
    <row r="93" spans="2:16" ht="24.75" customHeight="1" x14ac:dyDescent="0.25">
      <c r="B93" s="286" t="s">
        <v>1496</v>
      </c>
      <c r="C93" s="685" t="s">
        <v>806</v>
      </c>
      <c r="D93" s="282" t="s">
        <v>489</v>
      </c>
      <c r="E93" s="281" t="s">
        <v>1063</v>
      </c>
      <c r="F93" s="855">
        <v>45931</v>
      </c>
      <c r="G93" s="855">
        <v>46082</v>
      </c>
      <c r="H93" s="626">
        <v>70000</v>
      </c>
      <c r="I93" s="1169">
        <v>0</v>
      </c>
      <c r="J93" s="468">
        <v>70000</v>
      </c>
      <c r="K93" s="468">
        <v>2009</v>
      </c>
      <c r="L93" s="468">
        <v>5368.48</v>
      </c>
      <c r="M93" s="1149">
        <v>2128</v>
      </c>
      <c r="N93" s="468">
        <v>25</v>
      </c>
      <c r="O93" s="468">
        <f>+K93+L93+M93+N93</f>
        <v>9530.48</v>
      </c>
      <c r="P93" s="468">
        <f t="shared" si="12"/>
        <v>60469.520000000004</v>
      </c>
    </row>
    <row r="94" spans="2:16" ht="21" customHeight="1" x14ac:dyDescent="0.25">
      <c r="B94" s="153" t="s">
        <v>1599</v>
      </c>
      <c r="C94" s="684" t="s">
        <v>806</v>
      </c>
      <c r="D94" s="282" t="s">
        <v>417</v>
      </c>
      <c r="E94" s="286" t="s">
        <v>1063</v>
      </c>
      <c r="F94" s="855">
        <v>45931</v>
      </c>
      <c r="G94" s="855">
        <v>46082</v>
      </c>
      <c r="H94" s="626">
        <v>70000</v>
      </c>
      <c r="I94" s="1111">
        <v>0</v>
      </c>
      <c r="J94" s="457">
        <v>70000</v>
      </c>
      <c r="K94" s="457">
        <v>2009</v>
      </c>
      <c r="L94" s="457">
        <v>5368.48</v>
      </c>
      <c r="M94" s="1149">
        <v>2128</v>
      </c>
      <c r="N94" s="468">
        <v>25</v>
      </c>
      <c r="O94" s="468">
        <f>+K94+L94+M94+N94</f>
        <v>9530.48</v>
      </c>
      <c r="P94" s="457">
        <f t="shared" si="12"/>
        <v>60469.520000000004</v>
      </c>
    </row>
    <row r="95" spans="2:16" ht="21" customHeight="1" x14ac:dyDescent="0.25">
      <c r="B95" s="153" t="s">
        <v>1786</v>
      </c>
      <c r="C95" s="684" t="s">
        <v>806</v>
      </c>
      <c r="D95" s="282" t="s">
        <v>417</v>
      </c>
      <c r="E95" s="286" t="s">
        <v>1063</v>
      </c>
      <c r="F95" s="855">
        <v>45839</v>
      </c>
      <c r="G95" s="855">
        <v>45992</v>
      </c>
      <c r="H95" s="626">
        <v>60000</v>
      </c>
      <c r="I95" s="1111">
        <v>0</v>
      </c>
      <c r="J95" s="457">
        <v>60000</v>
      </c>
      <c r="K95" s="457">
        <v>1722</v>
      </c>
      <c r="L95" s="457">
        <v>3486.68</v>
      </c>
      <c r="M95" s="1149">
        <v>1824</v>
      </c>
      <c r="N95" s="468">
        <v>25</v>
      </c>
      <c r="O95" s="468">
        <f>+K95+L95+M95+N95</f>
        <v>7057.68</v>
      </c>
      <c r="P95" s="457">
        <f t="shared" si="12"/>
        <v>52942.32</v>
      </c>
    </row>
    <row r="96" spans="2:16" ht="21" customHeight="1" x14ac:dyDescent="0.25">
      <c r="B96" s="466" t="s">
        <v>813</v>
      </c>
      <c r="C96" s="569"/>
      <c r="D96" s="492">
        <v>6</v>
      </c>
      <c r="E96" s="465"/>
      <c r="F96" s="500"/>
      <c r="G96" s="855"/>
      <c r="H96" s="695">
        <f>SUM(H90:H95)</f>
        <v>490000</v>
      </c>
      <c r="I96" s="1112">
        <v>0</v>
      </c>
      <c r="J96" s="695">
        <f t="shared" ref="J96:P96" si="13">SUM(J90:J95)</f>
        <v>490000</v>
      </c>
      <c r="K96" s="695">
        <f t="shared" si="13"/>
        <v>14063</v>
      </c>
      <c r="L96" s="695">
        <f t="shared" si="13"/>
        <v>48827.219999999994</v>
      </c>
      <c r="M96" s="695">
        <f t="shared" si="13"/>
        <v>14896</v>
      </c>
      <c r="N96" s="695">
        <f t="shared" si="13"/>
        <v>2693.4</v>
      </c>
      <c r="O96" s="695">
        <f t="shared" si="13"/>
        <v>80479.62</v>
      </c>
      <c r="P96" s="695">
        <f t="shared" si="13"/>
        <v>409520.38000000006</v>
      </c>
    </row>
    <row r="97" spans="2:16" ht="21" customHeight="1" x14ac:dyDescent="0.25">
      <c r="B97" s="490"/>
      <c r="C97" s="1223"/>
      <c r="D97" s="492"/>
      <c r="E97" s="465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ht="21" customHeight="1" x14ac:dyDescent="0.25">
      <c r="B98" s="490" t="s">
        <v>1542</v>
      </c>
      <c r="C98" s="1223"/>
      <c r="D98" s="492"/>
      <c r="E98" s="492"/>
      <c r="F98" s="856"/>
      <c r="G98" s="857"/>
      <c r="H98" s="695"/>
      <c r="I98" s="1112"/>
      <c r="J98" s="463"/>
      <c r="K98" s="463"/>
      <c r="L98" s="463"/>
      <c r="M98" s="1145"/>
      <c r="N98" s="697"/>
      <c r="O98" s="697"/>
      <c r="P98" s="463"/>
    </row>
    <row r="99" spans="2:16" ht="21" customHeight="1" x14ac:dyDescent="0.25">
      <c r="B99" s="496" t="s">
        <v>1592</v>
      </c>
      <c r="C99" s="684" t="s">
        <v>807</v>
      </c>
      <c r="D99" s="282" t="s">
        <v>1427</v>
      </c>
      <c r="E99" s="281" t="s">
        <v>1063</v>
      </c>
      <c r="F99" s="855">
        <v>45931</v>
      </c>
      <c r="G99" s="855">
        <v>46082</v>
      </c>
      <c r="H99" s="626">
        <v>185000</v>
      </c>
      <c r="I99" s="1111">
        <v>0</v>
      </c>
      <c r="J99" s="457">
        <v>185000</v>
      </c>
      <c r="K99" s="457">
        <v>5309.5</v>
      </c>
      <c r="L99" s="457">
        <v>32099.49</v>
      </c>
      <c r="M99" s="1149">
        <v>5624</v>
      </c>
      <c r="N99" s="468">
        <v>5010.4799999999996</v>
      </c>
      <c r="O99" s="468">
        <f>+K99+L99+M99+N99</f>
        <v>48043.47</v>
      </c>
      <c r="P99" s="457">
        <f>+J99-O99</f>
        <v>136956.53</v>
      </c>
    </row>
    <row r="100" spans="2:16" ht="21" customHeight="1" x14ac:dyDescent="0.25">
      <c r="B100" s="466" t="s">
        <v>813</v>
      </c>
      <c r="C100" s="569"/>
      <c r="D100" s="492">
        <v>1</v>
      </c>
      <c r="E100" s="492"/>
      <c r="F100" s="1016"/>
      <c r="G100" s="855"/>
      <c r="H100" s="695">
        <f>+H99</f>
        <v>185000</v>
      </c>
      <c r="I100" s="1144">
        <f t="shared" ref="I100:P100" si="14">SUM(I99)</f>
        <v>0</v>
      </c>
      <c r="J100" s="695">
        <f t="shared" si="14"/>
        <v>185000</v>
      </c>
      <c r="K100" s="695">
        <f t="shared" si="14"/>
        <v>5309.5</v>
      </c>
      <c r="L100" s="695">
        <f t="shared" si="14"/>
        <v>32099.49</v>
      </c>
      <c r="M100" s="1145">
        <f t="shared" si="14"/>
        <v>5624</v>
      </c>
      <c r="N100" s="695">
        <f>SUM(N99)</f>
        <v>5010.4799999999996</v>
      </c>
      <c r="O100" s="695">
        <f t="shared" si="14"/>
        <v>48043.47</v>
      </c>
      <c r="P100" s="695">
        <f t="shared" si="14"/>
        <v>136956.53</v>
      </c>
    </row>
    <row r="101" spans="2:16" ht="21" customHeight="1" x14ac:dyDescent="0.25">
      <c r="B101" s="490"/>
      <c r="C101" s="1223"/>
      <c r="D101" s="492"/>
      <c r="E101" s="492"/>
      <c r="F101" s="856"/>
      <c r="G101" s="857"/>
      <c r="H101" s="695"/>
      <c r="I101" s="1112"/>
      <c r="J101" s="494"/>
      <c r="K101" s="494"/>
      <c r="L101" s="494"/>
      <c r="M101" s="1145"/>
      <c r="N101" s="695"/>
      <c r="O101" s="695"/>
      <c r="P101" s="494"/>
    </row>
    <row r="102" spans="2:16" ht="30" customHeight="1" x14ac:dyDescent="0.25">
      <c r="B102" s="469" t="s">
        <v>1565</v>
      </c>
      <c r="C102" s="1223"/>
      <c r="D102" s="625"/>
      <c r="E102" s="281"/>
      <c r="F102" s="856"/>
      <c r="G102" s="857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s="259" customFormat="1" ht="21" customHeight="1" x14ac:dyDescent="0.25">
      <c r="B103" s="1251" t="s">
        <v>946</v>
      </c>
      <c r="C103" s="1252" t="s">
        <v>806</v>
      </c>
      <c r="D103" s="1246" t="s">
        <v>945</v>
      </c>
      <c r="E103" s="1247" t="s">
        <v>1063</v>
      </c>
      <c r="F103" s="855">
        <v>45931</v>
      </c>
      <c r="G103" s="855">
        <v>46082</v>
      </c>
      <c r="H103" s="1100">
        <v>65000</v>
      </c>
      <c r="I103" s="1249">
        <v>0</v>
      </c>
      <c r="J103" s="1100">
        <v>65000</v>
      </c>
      <c r="K103" s="1100">
        <v>1865.5</v>
      </c>
      <c r="L103" s="1103">
        <v>4427.58</v>
      </c>
      <c r="M103" s="1250">
        <v>1976</v>
      </c>
      <c r="N103" s="626">
        <v>8313.7999999999993</v>
      </c>
      <c r="O103" s="468">
        <f>SUM(K103:N103)</f>
        <v>16582.879999999997</v>
      </c>
      <c r="P103" s="675">
        <f>+J103-O103</f>
        <v>48417.120000000003</v>
      </c>
    </row>
    <row r="104" spans="2:16" ht="21" customHeight="1" x14ac:dyDescent="0.25">
      <c r="B104" s="1384" t="s">
        <v>1697</v>
      </c>
      <c r="C104" s="1322" t="s">
        <v>806</v>
      </c>
      <c r="D104" s="1246" t="s">
        <v>945</v>
      </c>
      <c r="E104" s="1247" t="s">
        <v>1063</v>
      </c>
      <c r="F104" s="855">
        <v>45839</v>
      </c>
      <c r="G104" s="855">
        <v>45992</v>
      </c>
      <c r="H104" s="626">
        <v>70000</v>
      </c>
      <c r="I104" s="1249">
        <v>0</v>
      </c>
      <c r="J104" s="1323">
        <v>70000</v>
      </c>
      <c r="K104" s="1323">
        <v>2009</v>
      </c>
      <c r="L104" s="1323">
        <v>5368.48</v>
      </c>
      <c r="M104" s="1150">
        <v>2128</v>
      </c>
      <c r="N104" s="1323">
        <v>25</v>
      </c>
      <c r="O104" s="1038">
        <f>SUM(K104:N104)</f>
        <v>9530.48</v>
      </c>
      <c r="P104" s="1038">
        <f>+H104-O104</f>
        <v>60469.520000000004</v>
      </c>
    </row>
    <row r="105" spans="2:16" ht="21" customHeight="1" x14ac:dyDescent="0.25">
      <c r="B105" s="460" t="s">
        <v>1593</v>
      </c>
      <c r="C105" s="1226" t="s">
        <v>806</v>
      </c>
      <c r="D105" s="625" t="s">
        <v>1773</v>
      </c>
      <c r="E105" s="281" t="s">
        <v>1063</v>
      </c>
      <c r="F105" s="855">
        <v>45931</v>
      </c>
      <c r="G105" s="855">
        <v>46082</v>
      </c>
      <c r="H105" s="626">
        <v>65000</v>
      </c>
      <c r="I105" s="1169">
        <v>0</v>
      </c>
      <c r="J105" s="626">
        <v>65000</v>
      </c>
      <c r="K105" s="626">
        <v>1865.5</v>
      </c>
      <c r="L105" s="626">
        <v>4427.58</v>
      </c>
      <c r="M105" s="1149">
        <v>1976</v>
      </c>
      <c r="N105" s="626">
        <v>25</v>
      </c>
      <c r="O105" s="468">
        <f>+K105+L105+M105+N105</f>
        <v>8294.08</v>
      </c>
      <c r="P105" s="468">
        <f>+J105-O105</f>
        <v>56705.919999999998</v>
      </c>
    </row>
    <row r="106" spans="2:16" ht="21" customHeight="1" x14ac:dyDescent="0.25">
      <c r="B106" s="466" t="s">
        <v>813</v>
      </c>
      <c r="C106" s="569"/>
      <c r="D106" s="492">
        <v>3</v>
      </c>
      <c r="E106" s="492"/>
      <c r="F106" s="1016"/>
      <c r="G106" s="860"/>
      <c r="H106" s="695">
        <f>SUM(H103:H105)</f>
        <v>200000</v>
      </c>
      <c r="I106" s="1144">
        <f>SUM(I105)</f>
        <v>0</v>
      </c>
      <c r="J106" s="695">
        <f t="shared" ref="J106:P106" si="15">SUM(J103:J105)</f>
        <v>200000</v>
      </c>
      <c r="K106" s="695">
        <f t="shared" si="15"/>
        <v>5740</v>
      </c>
      <c r="L106" s="695">
        <f t="shared" si="15"/>
        <v>14223.64</v>
      </c>
      <c r="M106" s="1145">
        <f t="shared" si="15"/>
        <v>6080</v>
      </c>
      <c r="N106" s="695">
        <f t="shared" si="15"/>
        <v>8363.7999999999993</v>
      </c>
      <c r="O106" s="695">
        <f t="shared" si="15"/>
        <v>34407.439999999995</v>
      </c>
      <c r="P106" s="695">
        <f t="shared" si="15"/>
        <v>165592.56</v>
      </c>
    </row>
    <row r="107" spans="2:16" ht="21" customHeight="1" x14ac:dyDescent="0.25">
      <c r="B107" s="490"/>
      <c r="C107" s="1223"/>
      <c r="D107" s="492"/>
      <c r="E107" s="492"/>
      <c r="F107" s="859"/>
      <c r="G107" s="860"/>
      <c r="H107" s="695"/>
      <c r="I107" s="1112"/>
      <c r="J107" s="494"/>
      <c r="K107" s="494"/>
      <c r="L107" s="494"/>
      <c r="M107" s="1145"/>
      <c r="N107" s="695"/>
      <c r="O107" s="695"/>
      <c r="P107" s="494"/>
    </row>
    <row r="108" spans="2:16" ht="21" customHeight="1" x14ac:dyDescent="0.25">
      <c r="B108" s="490" t="s">
        <v>1421</v>
      </c>
      <c r="C108" s="1223"/>
      <c r="D108" s="492"/>
      <c r="E108" s="492"/>
      <c r="F108" s="859"/>
      <c r="G108" s="860"/>
      <c r="H108" s="695"/>
      <c r="I108" s="1112"/>
      <c r="J108" s="494"/>
      <c r="K108" s="494"/>
      <c r="L108" s="494"/>
      <c r="M108" s="1145"/>
      <c r="N108" s="695"/>
      <c r="O108" s="695"/>
      <c r="P108" s="494"/>
    </row>
    <row r="109" spans="2:16" ht="30.75" customHeight="1" x14ac:dyDescent="0.25">
      <c r="B109" s="153" t="s">
        <v>1594</v>
      </c>
      <c r="C109" s="685" t="s">
        <v>807</v>
      </c>
      <c r="D109" s="282" t="s">
        <v>1422</v>
      </c>
      <c r="E109" s="281" t="s">
        <v>1063</v>
      </c>
      <c r="F109" s="855">
        <v>45931</v>
      </c>
      <c r="G109" s="855">
        <v>46082</v>
      </c>
      <c r="H109" s="626">
        <v>100000</v>
      </c>
      <c r="I109" s="1111">
        <v>0</v>
      </c>
      <c r="J109" s="498">
        <v>100000</v>
      </c>
      <c r="K109" s="498">
        <v>2870</v>
      </c>
      <c r="L109" s="498">
        <v>11676.5</v>
      </c>
      <c r="M109" s="1149">
        <v>3040</v>
      </c>
      <c r="N109" s="626">
        <v>5354.6</v>
      </c>
      <c r="O109" s="468">
        <f>+K109+L109+M109+N109</f>
        <v>22941.1</v>
      </c>
      <c r="P109" s="468">
        <f>+J109-O109</f>
        <v>77058.899999999994</v>
      </c>
    </row>
    <row r="110" spans="2:16" ht="21" customHeight="1" x14ac:dyDescent="0.25">
      <c r="B110" s="466" t="s">
        <v>813</v>
      </c>
      <c r="C110" s="685"/>
      <c r="D110" s="492">
        <v>1</v>
      </c>
      <c r="E110" s="281"/>
      <c r="F110" s="859"/>
      <c r="G110" s="860"/>
      <c r="H110" s="695">
        <v>100000</v>
      </c>
      <c r="I110" s="1112">
        <v>0</v>
      </c>
      <c r="J110" s="494">
        <v>100000</v>
      </c>
      <c r="K110" s="494">
        <v>2870</v>
      </c>
      <c r="L110" s="494">
        <v>11676.5</v>
      </c>
      <c r="M110" s="1145">
        <v>3040</v>
      </c>
      <c r="N110" s="695">
        <f>SUM(N109)</f>
        <v>5354.6</v>
      </c>
      <c r="O110" s="697">
        <f>SUM(O109)</f>
        <v>22941.1</v>
      </c>
      <c r="P110" s="494">
        <f>SUM(P109)</f>
        <v>77058.899999999994</v>
      </c>
    </row>
    <row r="111" spans="2:16" ht="21" customHeight="1" x14ac:dyDescent="0.25">
      <c r="B111" s="286"/>
      <c r="C111" s="685"/>
      <c r="D111" s="282"/>
      <c r="E111" s="492"/>
      <c r="F111" s="859"/>
      <c r="G111" s="860"/>
      <c r="H111" s="695"/>
      <c r="I111" s="1112"/>
      <c r="J111" s="494"/>
      <c r="K111" s="494"/>
      <c r="L111" s="494"/>
      <c r="M111" s="1145"/>
      <c r="N111" s="695"/>
      <c r="O111" s="695"/>
      <c r="P111" s="494"/>
    </row>
    <row r="112" spans="2:16" ht="28.5" customHeight="1" x14ac:dyDescent="0.25">
      <c r="B112" s="1014" t="s">
        <v>1477</v>
      </c>
      <c r="C112" s="570"/>
      <c r="D112" s="492"/>
      <c r="E112" s="465"/>
      <c r="F112" s="1016"/>
      <c r="G112" s="860"/>
      <c r="H112" s="695"/>
      <c r="I112" s="1144"/>
      <c r="J112" s="697"/>
      <c r="K112" s="697"/>
      <c r="L112" s="697"/>
      <c r="M112" s="1145"/>
      <c r="N112" s="697"/>
      <c r="O112" s="697"/>
      <c r="P112" s="697"/>
    </row>
    <row r="113" spans="2:16" s="259" customFormat="1" ht="33" customHeight="1" x14ac:dyDescent="0.25">
      <c r="B113" s="1251" t="s">
        <v>1752</v>
      </c>
      <c r="C113" s="1252" t="s">
        <v>807</v>
      </c>
      <c r="D113" s="1246" t="s">
        <v>1753</v>
      </c>
      <c r="E113" s="1247" t="s">
        <v>1063</v>
      </c>
      <c r="F113" s="855">
        <v>45839</v>
      </c>
      <c r="G113" s="855">
        <v>45992</v>
      </c>
      <c r="H113" s="1100">
        <v>120000</v>
      </c>
      <c r="I113" s="1249">
        <v>0</v>
      </c>
      <c r="J113" s="1100">
        <v>120000</v>
      </c>
      <c r="K113" s="1100">
        <v>3444</v>
      </c>
      <c r="L113" s="1103">
        <v>16809.87</v>
      </c>
      <c r="M113" s="1250">
        <v>3648</v>
      </c>
      <c r="N113" s="626">
        <v>1296.7</v>
      </c>
      <c r="O113" s="468">
        <f t="shared" ref="O113:O119" si="16">+K113+L113+M113+N113</f>
        <v>25198.57</v>
      </c>
      <c r="P113" s="675">
        <f>+J113-O113</f>
        <v>94801.43</v>
      </c>
    </row>
    <row r="114" spans="2:16" ht="21" customHeight="1" x14ac:dyDescent="0.25">
      <c r="B114" s="1017" t="s">
        <v>1595</v>
      </c>
      <c r="C114" s="1227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6"/>
        <v>9530.48</v>
      </c>
      <c r="P114" s="468">
        <f>+J114-O114</f>
        <v>60469.520000000004</v>
      </c>
    </row>
    <row r="115" spans="2:16" ht="21" customHeight="1" x14ac:dyDescent="0.25">
      <c r="B115" s="153" t="s">
        <v>1596</v>
      </c>
      <c r="C115" s="685" t="s">
        <v>807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5368.48</v>
      </c>
      <c r="M115" s="1149">
        <v>2128</v>
      </c>
      <c r="N115" s="468">
        <v>25</v>
      </c>
      <c r="O115" s="468">
        <f t="shared" si="16"/>
        <v>9530.48</v>
      </c>
      <c r="P115" s="468">
        <f t="shared" ref="P115:P119" si="17">+J115-O115</f>
        <v>60469.520000000004</v>
      </c>
    </row>
    <row r="116" spans="2:16" ht="21" customHeight="1" x14ac:dyDescent="0.25">
      <c r="B116" s="286" t="s">
        <v>610</v>
      </c>
      <c r="C116" s="685" t="s">
        <v>806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16"/>
        <v>9530.48</v>
      </c>
      <c r="P116" s="468">
        <f t="shared" si="17"/>
        <v>60469.520000000004</v>
      </c>
    </row>
    <row r="117" spans="2:16" ht="21" customHeight="1" x14ac:dyDescent="0.25">
      <c r="B117" s="153" t="s">
        <v>1792</v>
      </c>
      <c r="C117" s="685" t="s">
        <v>806</v>
      </c>
      <c r="D117" s="282" t="s">
        <v>414</v>
      </c>
      <c r="E117" s="281" t="s">
        <v>1063</v>
      </c>
      <c r="F117" s="855">
        <v>45931</v>
      </c>
      <c r="G117" s="855">
        <v>46082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16"/>
        <v>9530.48</v>
      </c>
      <c r="P117" s="468">
        <f t="shared" si="17"/>
        <v>60469.520000000004</v>
      </c>
    </row>
    <row r="118" spans="2:16" ht="21" customHeight="1" x14ac:dyDescent="0.25">
      <c r="B118" s="286" t="s">
        <v>1295</v>
      </c>
      <c r="C118" s="685" t="s">
        <v>1296</v>
      </c>
      <c r="D118" s="282" t="s">
        <v>414</v>
      </c>
      <c r="E118" s="281" t="s">
        <v>1063</v>
      </c>
      <c r="F118" s="855">
        <v>45931</v>
      </c>
      <c r="G118" s="855">
        <v>46082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5025.38</v>
      </c>
      <c r="M118" s="1149">
        <v>2128</v>
      </c>
      <c r="N118" s="468">
        <v>1740.46</v>
      </c>
      <c r="O118" s="468">
        <f t="shared" si="16"/>
        <v>10902.84</v>
      </c>
      <c r="P118" s="468">
        <f t="shared" si="17"/>
        <v>59097.16</v>
      </c>
    </row>
    <row r="119" spans="2:16" ht="21" customHeight="1" x14ac:dyDescent="0.25">
      <c r="B119" s="286" t="s">
        <v>1293</v>
      </c>
      <c r="C119" s="685" t="s">
        <v>807</v>
      </c>
      <c r="D119" s="282" t="s">
        <v>1294</v>
      </c>
      <c r="E119" s="281" t="s">
        <v>1063</v>
      </c>
      <c r="F119" s="1084">
        <v>45870</v>
      </c>
      <c r="G119" s="1084">
        <v>46023</v>
      </c>
      <c r="H119" s="626">
        <v>55000</v>
      </c>
      <c r="I119" s="1169">
        <v>0</v>
      </c>
      <c r="J119" s="468">
        <v>55000</v>
      </c>
      <c r="K119" s="468">
        <v>1578.5</v>
      </c>
      <c r="L119" s="468">
        <v>2559.6799999999998</v>
      </c>
      <c r="M119" s="1149">
        <v>1672</v>
      </c>
      <c r="N119" s="468">
        <v>25</v>
      </c>
      <c r="O119" s="468">
        <f t="shared" si="16"/>
        <v>5835.18</v>
      </c>
      <c r="P119" s="468">
        <f t="shared" si="17"/>
        <v>49164.82</v>
      </c>
    </row>
    <row r="120" spans="2:16" ht="21" customHeight="1" x14ac:dyDescent="0.25">
      <c r="B120" s="466" t="s">
        <v>813</v>
      </c>
      <c r="C120" s="569"/>
      <c r="D120" s="492">
        <v>7</v>
      </c>
      <c r="E120" s="465"/>
      <c r="F120" s="1016"/>
      <c r="G120" s="860"/>
      <c r="H120" s="695">
        <f>SUM(H113:H119)</f>
        <v>525000</v>
      </c>
      <c r="I120" s="1144">
        <f t="shared" ref="I120" si="18">SUM(I119)</f>
        <v>0</v>
      </c>
      <c r="J120" s="695">
        <f>SUM(J113:J119)</f>
        <v>525000</v>
      </c>
      <c r="K120" s="695">
        <f t="shared" ref="K120:P120" si="19">SUM(K113:K119)</f>
        <v>15067.5</v>
      </c>
      <c r="L120" s="695">
        <f t="shared" si="19"/>
        <v>45868.849999999991</v>
      </c>
      <c r="M120" s="695">
        <f t="shared" si="19"/>
        <v>15960</v>
      </c>
      <c r="N120" s="695">
        <f t="shared" si="19"/>
        <v>3162.16</v>
      </c>
      <c r="O120" s="695">
        <f t="shared" si="19"/>
        <v>80058.50999999998</v>
      </c>
      <c r="P120" s="695">
        <f t="shared" si="19"/>
        <v>444941.49000000005</v>
      </c>
    </row>
    <row r="121" spans="2:16" ht="21" customHeight="1" x14ac:dyDescent="0.25">
      <c r="B121" s="490"/>
      <c r="C121" s="1223"/>
      <c r="D121" s="492"/>
      <c r="E121" s="465"/>
      <c r="F121" s="856"/>
      <c r="G121" s="857"/>
      <c r="H121" s="695"/>
      <c r="I121" s="1112"/>
      <c r="J121" s="463"/>
      <c r="K121" s="463"/>
      <c r="L121" s="463"/>
      <c r="M121" s="1145"/>
      <c r="N121" s="697"/>
      <c r="O121" s="697"/>
      <c r="P121" s="463"/>
    </row>
    <row r="122" spans="2:16" ht="30" customHeight="1" x14ac:dyDescent="0.25">
      <c r="B122" s="1014" t="s">
        <v>1476</v>
      </c>
      <c r="C122" s="570"/>
      <c r="D122" s="492"/>
      <c r="E122" s="465"/>
      <c r="F122" s="1019"/>
      <c r="G122" s="857"/>
      <c r="H122" s="695"/>
      <c r="I122" s="1144"/>
      <c r="J122" s="697"/>
      <c r="K122" s="697"/>
      <c r="L122" s="697"/>
      <c r="M122" s="1145"/>
      <c r="N122" s="697"/>
      <c r="O122" s="697"/>
      <c r="P122" s="697"/>
    </row>
    <row r="123" spans="2:16" ht="28.5" customHeight="1" x14ac:dyDescent="0.25">
      <c r="B123" s="153" t="s">
        <v>1754</v>
      </c>
      <c r="C123" s="684" t="s">
        <v>807</v>
      </c>
      <c r="D123" s="749" t="s">
        <v>1755</v>
      </c>
      <c r="E123" s="282" t="s">
        <v>1281</v>
      </c>
      <c r="F123" s="855">
        <v>45809</v>
      </c>
      <c r="G123" s="855">
        <v>45992</v>
      </c>
      <c r="H123" s="626">
        <v>120000</v>
      </c>
      <c r="I123" s="1111">
        <v>0</v>
      </c>
      <c r="J123" s="498">
        <v>120000</v>
      </c>
      <c r="K123" s="498">
        <v>3444</v>
      </c>
      <c r="L123" s="498">
        <v>16809.87</v>
      </c>
      <c r="M123" s="1149">
        <v>3648</v>
      </c>
      <c r="N123" s="626">
        <v>2568.4</v>
      </c>
      <c r="O123" s="468">
        <f>+K123+L123+M123+N123</f>
        <v>26470.27</v>
      </c>
      <c r="P123" s="457">
        <f>+J123-O123</f>
        <v>93529.73</v>
      </c>
    </row>
    <row r="124" spans="2:16" ht="28.5" customHeight="1" x14ac:dyDescent="0.25">
      <c r="B124" s="466" t="s">
        <v>813</v>
      </c>
      <c r="C124" s="684"/>
      <c r="D124" s="492">
        <v>1</v>
      </c>
      <c r="E124" s="282"/>
      <c r="F124" s="855"/>
      <c r="G124" s="855"/>
      <c r="H124" s="695">
        <f>SUM(H122:H123)</f>
        <v>120000</v>
      </c>
      <c r="I124" s="1112">
        <v>0</v>
      </c>
      <c r="J124" s="695">
        <f t="shared" ref="J124:O124" si="20">SUM(J122:J123)</f>
        <v>120000</v>
      </c>
      <c r="K124" s="695">
        <f t="shared" si="20"/>
        <v>3444</v>
      </c>
      <c r="L124" s="695">
        <f t="shared" si="20"/>
        <v>16809.87</v>
      </c>
      <c r="M124" s="695">
        <f t="shared" si="20"/>
        <v>3648</v>
      </c>
      <c r="N124" s="695">
        <f>SUM(N122:N123)</f>
        <v>2568.4</v>
      </c>
      <c r="O124" s="695">
        <f t="shared" si="20"/>
        <v>26470.27</v>
      </c>
      <c r="P124" s="695">
        <f>SUM(P122:P123)</f>
        <v>93529.73</v>
      </c>
    </row>
    <row r="125" spans="2:16" ht="21" customHeight="1" x14ac:dyDescent="0.25">
      <c r="B125" s="490"/>
      <c r="C125" s="1223"/>
      <c r="D125" s="492"/>
      <c r="E125" s="465"/>
      <c r="F125" s="859"/>
      <c r="G125" s="860"/>
      <c r="H125" s="695"/>
      <c r="I125" s="1112"/>
      <c r="J125" s="494"/>
      <c r="K125" s="494"/>
      <c r="L125" s="494"/>
      <c r="M125" s="1145"/>
      <c r="N125" s="695"/>
      <c r="O125" s="695"/>
      <c r="P125" s="494"/>
    </row>
    <row r="126" spans="2:16" ht="21" customHeight="1" x14ac:dyDescent="0.25">
      <c r="B126" s="466" t="s">
        <v>827</v>
      </c>
      <c r="C126" s="569"/>
      <c r="D126" s="492"/>
      <c r="E126" s="465"/>
      <c r="F126" s="1272"/>
      <c r="G126" s="711"/>
      <c r="H126" s="695"/>
      <c r="I126" s="1144"/>
      <c r="J126" s="697"/>
      <c r="K126" s="697"/>
      <c r="L126" s="697"/>
      <c r="M126" s="1145"/>
      <c r="N126" s="697"/>
      <c r="O126" s="697"/>
      <c r="P126" s="697"/>
    </row>
    <row r="127" spans="2:16" ht="21" customHeight="1" x14ac:dyDescent="0.25">
      <c r="B127" s="490" t="s">
        <v>1788</v>
      </c>
      <c r="C127" s="1223"/>
      <c r="D127" s="492"/>
      <c r="E127" s="465"/>
      <c r="F127" s="710"/>
      <c r="G127" s="711"/>
      <c r="H127" s="695"/>
      <c r="I127" s="1112"/>
      <c r="J127" s="463"/>
      <c r="K127" s="463"/>
      <c r="L127" s="463"/>
      <c r="M127" s="1145"/>
      <c r="N127" s="697"/>
      <c r="O127" s="697"/>
      <c r="P127" s="463"/>
    </row>
    <row r="128" spans="2:16" ht="30" customHeight="1" x14ac:dyDescent="0.25">
      <c r="B128" s="153" t="s">
        <v>1602</v>
      </c>
      <c r="C128" s="281" t="s">
        <v>807</v>
      </c>
      <c r="D128" s="282" t="s">
        <v>1032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>+K128+L128+M128+N128</f>
        <v>9530.48</v>
      </c>
      <c r="P128" s="468">
        <f>+J128-O128</f>
        <v>60469.520000000004</v>
      </c>
    </row>
    <row r="129" spans="2:16" ht="30" customHeight="1" x14ac:dyDescent="0.25">
      <c r="B129" s="153" t="s">
        <v>1613</v>
      </c>
      <c r="C129" s="281" t="s">
        <v>807</v>
      </c>
      <c r="D129" s="282" t="s">
        <v>417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4682.29</v>
      </c>
      <c r="M129" s="1149">
        <v>2128</v>
      </c>
      <c r="N129" s="468">
        <v>3455.92</v>
      </c>
      <c r="O129" s="468">
        <f>+K129+L129+M129+N129</f>
        <v>12275.210000000001</v>
      </c>
      <c r="P129" s="468">
        <f>+J129-O129</f>
        <v>57724.79</v>
      </c>
    </row>
    <row r="130" spans="2:16" ht="30" customHeight="1" x14ac:dyDescent="0.25">
      <c r="B130" s="153" t="s">
        <v>1606</v>
      </c>
      <c r="C130" s="281" t="s">
        <v>807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861">
        <v>5025.38</v>
      </c>
      <c r="M130" s="1149">
        <v>2128</v>
      </c>
      <c r="N130" s="468">
        <v>1740.46</v>
      </c>
      <c r="O130" s="468">
        <f t="shared" ref="O130:O135" si="21">+K130+L130+M130+N130</f>
        <v>10902.84</v>
      </c>
      <c r="P130" s="468">
        <f t="shared" ref="P130:P137" si="22">+J130-O130</f>
        <v>59097.16</v>
      </c>
    </row>
    <row r="131" spans="2:16" ht="30" customHeight="1" x14ac:dyDescent="0.25">
      <c r="B131" s="286" t="s">
        <v>725</v>
      </c>
      <c r="C131" s="281" t="s">
        <v>806</v>
      </c>
      <c r="D131" s="282" t="s">
        <v>823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1"/>
        <v>9530.48</v>
      </c>
      <c r="P131" s="468">
        <f t="shared" si="22"/>
        <v>60469.520000000004</v>
      </c>
    </row>
    <row r="132" spans="2:16" ht="30" customHeight="1" x14ac:dyDescent="0.25">
      <c r="B132" s="153" t="s">
        <v>1735</v>
      </c>
      <c r="C132" s="281" t="s">
        <v>806</v>
      </c>
      <c r="D132" s="282" t="s">
        <v>414</v>
      </c>
      <c r="E132" s="281" t="s">
        <v>1063</v>
      </c>
      <c r="F132" s="855">
        <v>45931</v>
      </c>
      <c r="G132" s="855">
        <v>46082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1"/>
        <v>9530.48</v>
      </c>
      <c r="P132" s="468">
        <f t="shared" si="22"/>
        <v>60469.520000000004</v>
      </c>
    </row>
    <row r="133" spans="2:16" ht="30" customHeight="1" x14ac:dyDescent="0.25">
      <c r="B133" s="153" t="s">
        <v>1609</v>
      </c>
      <c r="C133" s="281" t="s">
        <v>807</v>
      </c>
      <c r="D133" s="282" t="s">
        <v>414</v>
      </c>
      <c r="E133" s="281" t="s">
        <v>1063</v>
      </c>
      <c r="F133" s="855">
        <v>45931</v>
      </c>
      <c r="G133" s="855">
        <v>46082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21"/>
        <v>9530.48</v>
      </c>
      <c r="P133" s="468">
        <f t="shared" si="22"/>
        <v>60469.520000000004</v>
      </c>
    </row>
    <row r="134" spans="2:16" ht="30" customHeight="1" x14ac:dyDescent="0.25">
      <c r="B134" s="286" t="s">
        <v>1409</v>
      </c>
      <c r="C134" s="281" t="s">
        <v>807</v>
      </c>
      <c r="D134" s="282" t="s">
        <v>414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si="21"/>
        <v>9530.48</v>
      </c>
      <c r="P134" s="468">
        <f t="shared" si="22"/>
        <v>60469.520000000004</v>
      </c>
    </row>
    <row r="135" spans="2:16" ht="30" customHeight="1" x14ac:dyDescent="0.25">
      <c r="B135" s="286" t="s">
        <v>1787</v>
      </c>
      <c r="C135" s="281" t="s">
        <v>806</v>
      </c>
      <c r="D135" s="282" t="s">
        <v>823</v>
      </c>
      <c r="E135" s="281" t="s">
        <v>1063</v>
      </c>
      <c r="F135" s="855">
        <v>45839</v>
      </c>
      <c r="G135" s="855">
        <v>45992</v>
      </c>
      <c r="H135" s="626">
        <v>70000</v>
      </c>
      <c r="I135" s="1169">
        <v>0</v>
      </c>
      <c r="J135" s="468">
        <v>70000</v>
      </c>
      <c r="K135" s="468">
        <v>2009</v>
      </c>
      <c r="L135" s="468">
        <v>5368.48</v>
      </c>
      <c r="M135" s="1149">
        <v>2128</v>
      </c>
      <c r="N135" s="468">
        <v>25</v>
      </c>
      <c r="O135" s="468">
        <f t="shared" si="21"/>
        <v>9530.48</v>
      </c>
      <c r="P135" s="468">
        <f t="shared" si="22"/>
        <v>60469.520000000004</v>
      </c>
    </row>
    <row r="136" spans="2:16" ht="30" customHeight="1" x14ac:dyDescent="0.25">
      <c r="B136" s="153" t="s">
        <v>1622</v>
      </c>
      <c r="C136" s="281" t="s">
        <v>806</v>
      </c>
      <c r="D136" s="282" t="s">
        <v>1357</v>
      </c>
      <c r="E136" s="281" t="s">
        <v>1063</v>
      </c>
      <c r="F136" s="855">
        <v>45931</v>
      </c>
      <c r="G136" s="855">
        <v>46082</v>
      </c>
      <c r="H136" s="626">
        <v>125000</v>
      </c>
      <c r="I136" s="1169">
        <v>0</v>
      </c>
      <c r="J136" s="468">
        <v>125000</v>
      </c>
      <c r="K136" s="1038">
        <v>3587.5</v>
      </c>
      <c r="L136" s="1037">
        <v>17985.990000000002</v>
      </c>
      <c r="M136" s="1150">
        <v>3800</v>
      </c>
      <c r="N136" s="1038">
        <v>25</v>
      </c>
      <c r="O136" s="468">
        <f>+K136+L136+M136+N136</f>
        <v>25398.49</v>
      </c>
      <c r="P136" s="468">
        <f t="shared" si="22"/>
        <v>99601.51</v>
      </c>
    </row>
    <row r="137" spans="2:16" ht="30" customHeight="1" x14ac:dyDescent="0.25">
      <c r="B137" s="153" t="s">
        <v>1624</v>
      </c>
      <c r="C137" s="281" t="s">
        <v>806</v>
      </c>
      <c r="D137" s="282" t="s">
        <v>1683</v>
      </c>
      <c r="E137" s="281" t="s">
        <v>1063</v>
      </c>
      <c r="F137" s="855">
        <v>45931</v>
      </c>
      <c r="G137" s="855">
        <v>46082</v>
      </c>
      <c r="H137" s="626">
        <v>55000</v>
      </c>
      <c r="I137" s="1169">
        <v>0</v>
      </c>
      <c r="J137" s="468">
        <v>55000</v>
      </c>
      <c r="K137" s="468">
        <v>1578.5</v>
      </c>
      <c r="L137" s="468">
        <v>2302.36</v>
      </c>
      <c r="M137" s="1149">
        <v>1672</v>
      </c>
      <c r="N137" s="468">
        <v>1740.46</v>
      </c>
      <c r="O137" s="468">
        <f t="shared" ref="O137" si="23">+K137+L137+M137+N137</f>
        <v>7293.3200000000006</v>
      </c>
      <c r="P137" s="468">
        <f t="shared" si="22"/>
        <v>47706.68</v>
      </c>
    </row>
    <row r="138" spans="2:16" ht="21" customHeight="1" x14ac:dyDescent="0.25">
      <c r="B138" s="466" t="s">
        <v>813</v>
      </c>
      <c r="C138" s="569"/>
      <c r="D138" s="492">
        <v>10</v>
      </c>
      <c r="E138" s="465"/>
      <c r="F138" s="1016"/>
      <c r="G138" s="860"/>
      <c r="H138" s="695">
        <f>SUM(H128:H137)</f>
        <v>740000</v>
      </c>
      <c r="I138" s="1144">
        <v>0</v>
      </c>
      <c r="J138" s="695">
        <f t="shared" ref="J138:P138" si="24">SUM(J128:J137)</f>
        <v>740000</v>
      </c>
      <c r="K138" s="695">
        <f t="shared" si="24"/>
        <v>21238</v>
      </c>
      <c r="L138" s="695">
        <f t="shared" si="24"/>
        <v>62206.900000000009</v>
      </c>
      <c r="M138" s="695">
        <f t="shared" si="24"/>
        <v>22496</v>
      </c>
      <c r="N138" s="695">
        <f t="shared" si="24"/>
        <v>7111.84</v>
      </c>
      <c r="O138" s="695">
        <f t="shared" si="24"/>
        <v>113052.74</v>
      </c>
      <c r="P138" s="695">
        <f t="shared" si="24"/>
        <v>626947.26000000013</v>
      </c>
    </row>
    <row r="139" spans="2:16" ht="28.5" customHeight="1" x14ac:dyDescent="0.25">
      <c r="B139" s="286"/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014" t="s">
        <v>1804</v>
      </c>
      <c r="C140" s="569"/>
      <c r="D140" s="282"/>
      <c r="E140" s="465"/>
      <c r="F140" s="1272"/>
      <c r="G140" s="711"/>
      <c r="H140" s="695"/>
      <c r="I140" s="1144"/>
      <c r="J140" s="697"/>
      <c r="K140" s="697"/>
      <c r="L140" s="697"/>
      <c r="M140" s="1145"/>
      <c r="N140" s="697"/>
      <c r="O140" s="697"/>
      <c r="P140" s="697"/>
    </row>
    <row r="141" spans="2:16" ht="28.5" customHeight="1" x14ac:dyDescent="0.25">
      <c r="B141" s="153" t="s">
        <v>1087</v>
      </c>
      <c r="C141" s="680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ref="O141:O147" si="25">+K141+L141+M141+N141</f>
        <v>9530.48</v>
      </c>
      <c r="P141" s="628">
        <f t="shared" ref="P141:P145" si="26">+J141-O141</f>
        <v>60469.520000000004</v>
      </c>
    </row>
    <row r="142" spans="2:16" ht="28.5" customHeight="1" x14ac:dyDescent="0.25">
      <c r="B142" s="153" t="s">
        <v>1603</v>
      </c>
      <c r="C142" s="281" t="s">
        <v>806</v>
      </c>
      <c r="D142" s="282" t="s">
        <v>489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5"/>
        <v>9530.48</v>
      </c>
      <c r="P142" s="628">
        <f t="shared" si="26"/>
        <v>60469.520000000004</v>
      </c>
    </row>
    <row r="143" spans="2:16" ht="28.5" customHeight="1" x14ac:dyDescent="0.25">
      <c r="B143" s="153" t="s">
        <v>1618</v>
      </c>
      <c r="C143" s="281" t="s">
        <v>807</v>
      </c>
      <c r="D143" s="282" t="s">
        <v>414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25"/>
        <v>9530.48</v>
      </c>
      <c r="P143" s="628">
        <f t="shared" si="26"/>
        <v>60469.520000000004</v>
      </c>
    </row>
    <row r="144" spans="2:16" ht="28.5" customHeight="1" x14ac:dyDescent="0.25">
      <c r="B144" s="153" t="s">
        <v>1612</v>
      </c>
      <c r="C144" s="281" t="s">
        <v>1296</v>
      </c>
      <c r="D144" s="282" t="s">
        <v>417</v>
      </c>
      <c r="E144" s="281" t="s">
        <v>1063</v>
      </c>
      <c r="F144" s="855">
        <v>45931</v>
      </c>
      <c r="G144" s="855">
        <v>46082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5368.48</v>
      </c>
      <c r="M144" s="1149">
        <v>2128</v>
      </c>
      <c r="N144" s="628">
        <v>25</v>
      </c>
      <c r="O144" s="628">
        <f t="shared" si="25"/>
        <v>9530.48</v>
      </c>
      <c r="P144" s="628">
        <f t="shared" si="26"/>
        <v>60469.520000000004</v>
      </c>
    </row>
    <row r="145" spans="2:16" ht="28.5" customHeight="1" x14ac:dyDescent="0.25">
      <c r="B145" s="153" t="s">
        <v>1619</v>
      </c>
      <c r="C145" s="281" t="s">
        <v>806</v>
      </c>
      <c r="D145" s="282" t="s">
        <v>823</v>
      </c>
      <c r="E145" s="281" t="s">
        <v>1063</v>
      </c>
      <c r="F145" s="855">
        <v>45931</v>
      </c>
      <c r="G145" s="855">
        <v>46082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5025.38</v>
      </c>
      <c r="M145" s="1149">
        <v>2128</v>
      </c>
      <c r="N145" s="628">
        <v>1740.46</v>
      </c>
      <c r="O145" s="628">
        <f t="shared" si="25"/>
        <v>10902.84</v>
      </c>
      <c r="P145" s="628">
        <f t="shared" si="26"/>
        <v>59097.16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45931</v>
      </c>
      <c r="G146" s="855">
        <v>46082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>+J146-O146</f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25"/>
        <v>1502.5</v>
      </c>
      <c r="P147" s="628">
        <f>+J147-O147</f>
        <v>23497.5</v>
      </c>
    </row>
    <row r="148" spans="2:16" ht="21" customHeight="1" x14ac:dyDescent="0.25">
      <c r="B148" s="466" t="s">
        <v>813</v>
      </c>
      <c r="C148" s="569"/>
      <c r="D148" s="492">
        <v>7</v>
      </c>
      <c r="E148" s="465"/>
      <c r="F148" s="1016"/>
      <c r="G148" s="860"/>
      <c r="H148" s="695">
        <f>SUM(H141:H147)</f>
        <v>418500</v>
      </c>
      <c r="I148" s="1144">
        <v>0</v>
      </c>
      <c r="J148" s="695">
        <f t="shared" ref="J148:P148" si="27">SUM(J141:J147)</f>
        <v>418500</v>
      </c>
      <c r="K148" s="695">
        <f t="shared" si="27"/>
        <v>12010.95</v>
      </c>
      <c r="L148" s="695">
        <f t="shared" si="27"/>
        <v>27435.919999999998</v>
      </c>
      <c r="M148" s="695">
        <f t="shared" si="27"/>
        <v>12722.4</v>
      </c>
      <c r="N148" s="695">
        <f t="shared" si="27"/>
        <v>1890.46</v>
      </c>
      <c r="O148" s="695">
        <f t="shared" si="27"/>
        <v>54059.729999999996</v>
      </c>
      <c r="P148" s="695">
        <f t="shared" si="27"/>
        <v>364440.27</v>
      </c>
    </row>
    <row r="149" spans="2:16" ht="25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497" t="s">
        <v>806</v>
      </c>
      <c r="D151" s="749" t="s">
        <v>1782</v>
      </c>
      <c r="E151" s="282" t="s">
        <v>1063</v>
      </c>
      <c r="F151" s="855">
        <v>45931</v>
      </c>
      <c r="G151" s="855">
        <v>46082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28">+K152+L152+M152+N152</f>
        <v>9530.48</v>
      </c>
      <c r="P152" s="468">
        <f t="shared" ref="P152:P157" si="29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8"/>
        <v>9530.48</v>
      </c>
      <c r="P153" s="468">
        <f t="shared" si="29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8"/>
        <v>9530.48</v>
      </c>
      <c r="P154" s="468">
        <f t="shared" si="29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8"/>
        <v>9530.48</v>
      </c>
      <c r="P155" s="468">
        <f t="shared" si="29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45931</v>
      </c>
      <c r="G156" s="855">
        <v>46082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28"/>
        <v>9530.48</v>
      </c>
      <c r="P156" s="468">
        <f t="shared" si="29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45931</v>
      </c>
      <c r="G157" s="855">
        <v>46082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28"/>
        <v>9530.48</v>
      </c>
      <c r="P157" s="468">
        <f t="shared" si="29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45931</v>
      </c>
      <c r="G158" s="855">
        <v>46082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45931</v>
      </c>
      <c r="G159" s="855">
        <v>46082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30">SUM(J151:J159)</f>
        <v>638500</v>
      </c>
      <c r="K160" s="695">
        <f t="shared" si="30"/>
        <v>18324.95</v>
      </c>
      <c r="L160" s="695">
        <f t="shared" si="30"/>
        <v>52088.179999999993</v>
      </c>
      <c r="M160" s="695">
        <f t="shared" si="30"/>
        <v>19410.400000000001</v>
      </c>
      <c r="N160" s="695">
        <f t="shared" si="30"/>
        <v>1940.46</v>
      </c>
      <c r="O160" s="695">
        <f t="shared" si="30"/>
        <v>91763.989999999991</v>
      </c>
      <c r="P160" s="695">
        <f t="shared" si="30"/>
        <v>546736.01</v>
      </c>
    </row>
    <row r="161" spans="2:17" ht="23.2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45931</v>
      </c>
      <c r="G163" s="855">
        <v>46082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69" si="31">+K163+L163+M163+N163</f>
        <v>23926.87</v>
      </c>
      <c r="P163" s="468">
        <f t="shared" ref="P163:P169" si="32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31"/>
        <v>10902.84</v>
      </c>
      <c r="P164" s="468">
        <f t="shared" si="32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31"/>
        <v>12275.210000000001</v>
      </c>
      <c r="P165" s="468">
        <f t="shared" si="32"/>
        <v>57724.79</v>
      </c>
    </row>
    <row r="166" spans="2:17" ht="24" customHeight="1" x14ac:dyDescent="0.25">
      <c r="B166" s="153" t="s">
        <v>1611</v>
      </c>
      <c r="C166" s="685" t="s">
        <v>806</v>
      </c>
      <c r="D166" s="282" t="s">
        <v>417</v>
      </c>
      <c r="E166" s="281" t="s">
        <v>1063</v>
      </c>
      <c r="F166" s="855">
        <v>45931</v>
      </c>
      <c r="G166" s="855">
        <v>46082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5025.38</v>
      </c>
      <c r="M166" s="1149">
        <v>2128</v>
      </c>
      <c r="N166" s="468">
        <v>1740.46</v>
      </c>
      <c r="O166" s="468">
        <f t="shared" si="31"/>
        <v>10902.84</v>
      </c>
      <c r="P166" s="468">
        <f t="shared" si="32"/>
        <v>59097.16</v>
      </c>
    </row>
    <row r="167" spans="2:17" ht="24" customHeight="1" x14ac:dyDescent="0.25">
      <c r="B167" s="153" t="s">
        <v>1610</v>
      </c>
      <c r="C167" s="685" t="s">
        <v>806</v>
      </c>
      <c r="D167" s="282" t="s">
        <v>417</v>
      </c>
      <c r="E167" s="281" t="s">
        <v>1063</v>
      </c>
      <c r="F167" s="855">
        <v>45931</v>
      </c>
      <c r="G167" s="855">
        <v>46082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31"/>
        <v>10902.84</v>
      </c>
      <c r="P167" s="468">
        <f t="shared" si="32"/>
        <v>59097.16</v>
      </c>
    </row>
    <row r="168" spans="2:17" ht="24" customHeight="1" x14ac:dyDescent="0.25">
      <c r="B168" s="153" t="s">
        <v>1616</v>
      </c>
      <c r="C168" s="685" t="s">
        <v>806</v>
      </c>
      <c r="D168" s="282" t="s">
        <v>414</v>
      </c>
      <c r="E168" s="281" t="s">
        <v>1063</v>
      </c>
      <c r="F168" s="1084">
        <v>45870</v>
      </c>
      <c r="G168" s="1084">
        <v>46023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5368.48</v>
      </c>
      <c r="M168" s="1149">
        <v>2128</v>
      </c>
      <c r="N168" s="468">
        <v>25</v>
      </c>
      <c r="O168" s="468">
        <f t="shared" si="31"/>
        <v>9530.48</v>
      </c>
      <c r="P168" s="468">
        <f t="shared" si="32"/>
        <v>60469.520000000004</v>
      </c>
    </row>
    <row r="169" spans="2:17" ht="24" customHeight="1" x14ac:dyDescent="0.25">
      <c r="B169" s="153" t="s">
        <v>1615</v>
      </c>
      <c r="C169" s="685" t="s">
        <v>1296</v>
      </c>
      <c r="D169" s="282" t="s">
        <v>414</v>
      </c>
      <c r="E169" s="281" t="s">
        <v>1063</v>
      </c>
      <c r="F169" s="1084">
        <v>45870</v>
      </c>
      <c r="G169" s="1084">
        <v>46023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31"/>
        <v>9530.48</v>
      </c>
      <c r="P169" s="468">
        <f t="shared" si="32"/>
        <v>60469.520000000004</v>
      </c>
    </row>
    <row r="170" spans="2:17" ht="24" customHeight="1" x14ac:dyDescent="0.25">
      <c r="B170" s="153" t="s">
        <v>1625</v>
      </c>
      <c r="C170" s="685" t="s">
        <v>1296</v>
      </c>
      <c r="D170" s="282" t="s">
        <v>1636</v>
      </c>
      <c r="E170" s="281" t="s">
        <v>1063</v>
      </c>
      <c r="F170" s="1084">
        <v>45870</v>
      </c>
      <c r="G170" s="1084">
        <v>46023</v>
      </c>
      <c r="H170" s="626">
        <v>43500</v>
      </c>
      <c r="I170" s="1169">
        <v>0</v>
      </c>
      <c r="J170" s="468">
        <v>43500</v>
      </c>
      <c r="K170" s="468">
        <v>1248.45</v>
      </c>
      <c r="L170" s="468">
        <v>936.62</v>
      </c>
      <c r="M170" s="1149">
        <v>1322.4</v>
      </c>
      <c r="N170" s="468">
        <v>25</v>
      </c>
      <c r="O170" s="468">
        <f>+K170+L170+M170+N170</f>
        <v>3532.4700000000003</v>
      </c>
      <c r="P170" s="468">
        <f>+J170-O170</f>
        <v>39967.53</v>
      </c>
    </row>
    <row r="171" spans="2:17" ht="21" customHeight="1" x14ac:dyDescent="0.25">
      <c r="B171" s="466" t="s">
        <v>813</v>
      </c>
      <c r="C171" s="569"/>
      <c r="D171" s="492">
        <v>8</v>
      </c>
      <c r="E171" s="465"/>
      <c r="F171" s="1016"/>
      <c r="G171" s="860"/>
      <c r="H171" s="695">
        <f>SUM(H163:H170)</f>
        <v>583500</v>
      </c>
      <c r="I171" s="1144">
        <v>0</v>
      </c>
      <c r="J171" s="695">
        <f t="shared" ref="J171:P171" si="33">SUM(J163:J170)</f>
        <v>583500</v>
      </c>
      <c r="K171" s="695">
        <f t="shared" si="33"/>
        <v>16746.45</v>
      </c>
      <c r="L171" s="695">
        <f t="shared" si="33"/>
        <v>48241.88</v>
      </c>
      <c r="M171" s="695">
        <f t="shared" si="33"/>
        <v>17738.400000000001</v>
      </c>
      <c r="N171" s="695">
        <f t="shared" si="33"/>
        <v>8777.2999999999993</v>
      </c>
      <c r="O171" s="695">
        <f t="shared" si="33"/>
        <v>91504.029999999984</v>
      </c>
      <c r="P171" s="695">
        <f t="shared" si="33"/>
        <v>491995.97000000009</v>
      </c>
    </row>
    <row r="172" spans="2:17" ht="21" customHeight="1" x14ac:dyDescent="0.25">
      <c r="B172" s="466"/>
      <c r="C172" s="569"/>
      <c r="D172" s="492"/>
      <c r="E172" s="465"/>
      <c r="F172" s="1016"/>
      <c r="G172" s="860"/>
      <c r="H172" s="695">
        <f>+H171+H160+H148+H138</f>
        <v>2380500</v>
      </c>
      <c r="I172" s="1144">
        <v>0</v>
      </c>
      <c r="J172" s="695">
        <f t="shared" ref="J172:P172" si="34">+J171+J160+J148+J138</f>
        <v>2380500</v>
      </c>
      <c r="K172" s="695">
        <f t="shared" si="34"/>
        <v>68320.350000000006</v>
      </c>
      <c r="L172" s="695">
        <f t="shared" si="34"/>
        <v>189972.88</v>
      </c>
      <c r="M172" s="695">
        <f t="shared" si="34"/>
        <v>72367.200000000012</v>
      </c>
      <c r="N172" s="695">
        <f t="shared" si="34"/>
        <v>19720.059999999998</v>
      </c>
      <c r="O172" s="695">
        <f t="shared" si="34"/>
        <v>350380.48999999993</v>
      </c>
      <c r="P172" s="695">
        <f t="shared" si="34"/>
        <v>2030119.5100000002</v>
      </c>
    </row>
    <row r="173" spans="2:17" ht="21" customHeight="1" x14ac:dyDescent="0.25">
      <c r="B173" s="490"/>
      <c r="C173" s="1223"/>
      <c r="D173" s="492"/>
      <c r="E173" s="465"/>
      <c r="F173" s="710"/>
      <c r="G173" s="711"/>
      <c r="H173" s="695"/>
      <c r="I173" s="1112"/>
      <c r="J173" s="463"/>
      <c r="K173" s="463"/>
      <c r="L173" s="463"/>
      <c r="M173" s="1145"/>
      <c r="N173" s="697"/>
      <c r="O173" s="697"/>
      <c r="P173" s="463"/>
    </row>
    <row r="174" spans="2:17" ht="23.25" customHeight="1" x14ac:dyDescent="0.25">
      <c r="B174" s="1048" t="s">
        <v>865</v>
      </c>
      <c r="C174" s="1053"/>
      <c r="D174" s="1125">
        <f>+D171+D160+D148+D138+D16+D20+D29+D33+D43+D47+D51+D59+D66+D73+D87+D96+D100+D106+D110+D120+D124+D38+D77+D24+D55+D63</f>
        <v>84</v>
      </c>
      <c r="E174" s="1125"/>
      <c r="F174" s="1125"/>
      <c r="G174" s="1125"/>
      <c r="H174" s="1126">
        <f>+H16+H20+H29+H33+H38+H43+H47+H51+H59+H66+H73+H87+H96+H100+H106+H110+H120+H124+H138+H148+H160+H171+H77+H63+H55+H24</f>
        <v>6910500</v>
      </c>
      <c r="I174" s="1114">
        <v>0</v>
      </c>
      <c r="J174" s="1126">
        <f t="shared" ref="J174:P174" si="35">+J16+J20+J29+J33+J38+J43+J47+J51+J59+J66+J73+J87+J96+J100+J106+J110+J120+J124+J138+J148+J160+J171+J77+J63+J55+J24</f>
        <v>6910500</v>
      </c>
      <c r="K174" s="1126">
        <f t="shared" si="35"/>
        <v>198331.35000000003</v>
      </c>
      <c r="L174" s="1126">
        <f t="shared" si="35"/>
        <v>699684.74000000011</v>
      </c>
      <c r="M174" s="1126">
        <f t="shared" si="35"/>
        <v>210079.19999999998</v>
      </c>
      <c r="N174" s="1126">
        <f t="shared" si="35"/>
        <v>111534.20000000003</v>
      </c>
      <c r="O174" s="1126">
        <f t="shared" si="35"/>
        <v>1219629.49</v>
      </c>
      <c r="P174" s="1126">
        <f t="shared" si="35"/>
        <v>5690870.5099999998</v>
      </c>
    </row>
    <row r="175" spans="2:17" x14ac:dyDescent="0.25">
      <c r="B175" s="259"/>
      <c r="C175" s="1220"/>
      <c r="D175" s="259"/>
      <c r="E175" s="546"/>
      <c r="F175" s="546"/>
      <c r="G175" s="546"/>
      <c r="H175" s="862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ht="17.25" customHeight="1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t="7.5" customHeight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9.7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ht="13.5" customHeight="1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hidden="1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 t="s">
        <v>641</v>
      </c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9.5" customHeight="1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20.25" customHeight="1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1.25" customHeight="1" x14ac:dyDescent="0.25">
      <c r="B190" s="537"/>
      <c r="C190" s="1062"/>
      <c r="D190" s="537"/>
      <c r="E190" s="692"/>
      <c r="F190" s="692"/>
      <c r="G190" s="692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ht="11.25" customHeight="1" x14ac:dyDescent="0.25">
      <c r="B192" s="537"/>
      <c r="C192" s="1062"/>
      <c r="D192" s="537"/>
      <c r="E192" s="537"/>
      <c r="F192" s="537"/>
      <c r="G192" s="537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x14ac:dyDescent="0.25">
      <c r="B193" s="542" t="s">
        <v>1449</v>
      </c>
      <c r="C193" s="1202"/>
      <c r="D193" s="542"/>
      <c r="E193" s="691"/>
      <c r="F193" s="691"/>
      <c r="G193" s="691"/>
      <c r="H193" s="866"/>
      <c r="I193" s="674" t="s">
        <v>1377</v>
      </c>
      <c r="K193" s="674"/>
      <c r="L193" s="674"/>
      <c r="M193" s="1153"/>
      <c r="N193" s="1097"/>
      <c r="P193" s="674"/>
      <c r="Q193" s="544"/>
    </row>
    <row r="194" spans="2:17" ht="20.25" customHeight="1" x14ac:dyDescent="0.25">
      <c r="B194" s="546" t="s">
        <v>935</v>
      </c>
      <c r="C194" s="1203"/>
      <c r="D194" s="546"/>
      <c r="E194" s="538"/>
      <c r="F194" s="538"/>
      <c r="G194" s="538"/>
      <c r="H194" s="467"/>
      <c r="I194" s="537"/>
      <c r="J194" s="1708" t="s">
        <v>1375</v>
      </c>
      <c r="K194" s="1708"/>
      <c r="L194" s="1708"/>
      <c r="M194" s="1708"/>
      <c r="N194" s="1708"/>
      <c r="O194" s="1708"/>
      <c r="P194" s="1708"/>
      <c r="Q194" s="539"/>
    </row>
    <row r="195" spans="2:17" ht="12" customHeight="1" x14ac:dyDescent="0.25">
      <c r="B195" s="542" t="s">
        <v>1231</v>
      </c>
      <c r="C195" s="1202"/>
      <c r="D195" s="542"/>
      <c r="E195" s="537"/>
      <c r="G195" s="1062"/>
      <c r="H195" s="1062"/>
      <c r="I195" s="1062"/>
      <c r="J195" s="1692" t="s">
        <v>1554</v>
      </c>
      <c r="K195" s="1692"/>
      <c r="L195" s="1692"/>
      <c r="M195" s="1692"/>
      <c r="N195" s="1692"/>
      <c r="O195" s="1692"/>
      <c r="P195" s="1692"/>
      <c r="Q195" s="537"/>
    </row>
    <row r="196" spans="2:17" ht="177.75" customHeight="1" x14ac:dyDescent="0.25">
      <c r="B196" s="546"/>
      <c r="C196" s="1203"/>
      <c r="D196" s="546"/>
      <c r="E196" s="547"/>
      <c r="F196" s="547"/>
      <c r="G196" s="547"/>
      <c r="H196" s="546"/>
      <c r="I196" s="541"/>
      <c r="J196" s="540"/>
      <c r="K196" s="537"/>
      <c r="L196" s="673" t="s">
        <v>1374</v>
      </c>
      <c r="M196" s="758"/>
      <c r="N196" s="513"/>
      <c r="O196" s="513"/>
      <c r="P196" s="673"/>
      <c r="Q196" s="673"/>
    </row>
    <row r="197" spans="2:17" ht="51" customHeight="1" x14ac:dyDescent="0.25">
      <c r="B197" s="267"/>
      <c r="C197" s="1228"/>
      <c r="D197" s="267"/>
      <c r="E197" s="268"/>
      <c r="F197" s="268"/>
      <c r="G197" s="268"/>
      <c r="H197" s="268"/>
      <c r="I197" s="269"/>
      <c r="J197" s="268"/>
      <c r="K197" s="268"/>
      <c r="L197" s="268"/>
      <c r="M197" s="267"/>
      <c r="N197" s="205"/>
      <c r="O197" s="1324"/>
      <c r="P197" s="271"/>
      <c r="Q197" s="259"/>
    </row>
    <row r="198" spans="2:17" s="259" customFormat="1" ht="24" customHeight="1" x14ac:dyDescent="0.25">
      <c r="C198" s="1220"/>
      <c r="E198" s="668"/>
      <c r="F198" s="668"/>
      <c r="G198" s="668"/>
      <c r="M198" s="531"/>
      <c r="N198"/>
      <c r="O198"/>
    </row>
    <row r="199" spans="2:17" x14ac:dyDescent="0.25">
      <c r="L199" s="259"/>
      <c r="M199" s="531"/>
    </row>
  </sheetData>
  <mergeCells count="21">
    <mergeCell ref="N11:N12"/>
    <mergeCell ref="O11:O12"/>
    <mergeCell ref="P11:P12"/>
    <mergeCell ref="J194:P194"/>
    <mergeCell ref="J195:P195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5" min="1" max="15" man="1"/>
    <brk id="105" min="1" max="15" man="1"/>
    <brk id="148" min="1" max="15" man="1"/>
  </rowBreaks>
  <drawing r:id="rId2"/>
</worksheet>
</file>

<file path=xl/worksheets/sheet3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19E77-A924-40E4-A142-A188C1F11E90}">
  <sheetPr>
    <pageSetUpPr fitToPage="1"/>
  </sheetPr>
  <dimension ref="B5:M50"/>
  <sheetViews>
    <sheetView showGridLines="0" zoomScale="124" zoomScaleNormal="124" zoomScaleSheetLayoutView="100" workbookViewId="0">
      <selection activeCell="E30" sqref="E3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693" t="s">
        <v>0</v>
      </c>
      <c r="C5" s="1693"/>
      <c r="D5" s="1693"/>
      <c r="E5" s="1693"/>
      <c r="F5" s="1693"/>
      <c r="G5" s="1693"/>
      <c r="H5" s="1693"/>
      <c r="I5" s="1693"/>
      <c r="J5" s="1693"/>
      <c r="K5" s="1693"/>
      <c r="L5" s="1693"/>
      <c r="M5" s="1693"/>
    </row>
    <row r="6" spans="2:13" ht="13.5" customHeight="1" x14ac:dyDescent="0.25">
      <c r="B6" s="1693" t="s">
        <v>1</v>
      </c>
      <c r="C6" s="1693"/>
      <c r="D6" s="1693"/>
      <c r="E6" s="1693"/>
      <c r="F6" s="1693"/>
      <c r="G6" s="1693"/>
      <c r="H6" s="1693"/>
      <c r="I6" s="1693"/>
      <c r="J6" s="1693"/>
      <c r="K6" s="1693"/>
      <c r="L6" s="1693"/>
      <c r="M6" s="1693"/>
    </row>
    <row r="7" spans="2:13" ht="12" customHeight="1" x14ac:dyDescent="0.25">
      <c r="B7" s="1693" t="s">
        <v>3</v>
      </c>
      <c r="C7" s="1693"/>
      <c r="D7" s="1693"/>
      <c r="E7" s="1693"/>
      <c r="F7" s="1693"/>
      <c r="G7" s="1693"/>
      <c r="H7" s="1693"/>
      <c r="I7" s="1693"/>
      <c r="J7" s="1693"/>
      <c r="K7" s="1693"/>
      <c r="L7" s="1693"/>
      <c r="M7" s="1693"/>
    </row>
    <row r="8" spans="2:13" x14ac:dyDescent="0.25">
      <c r="B8" s="1693" t="s">
        <v>1817</v>
      </c>
      <c r="C8" s="1693"/>
      <c r="D8" s="1693"/>
      <c r="E8" s="1693"/>
      <c r="F8" s="1693"/>
      <c r="G8" s="1693"/>
      <c r="H8" s="1693"/>
      <c r="I8" s="1693"/>
      <c r="J8" s="1693"/>
      <c r="K8" s="1693"/>
      <c r="L8" s="1693"/>
      <c r="M8" s="1693"/>
    </row>
    <row r="9" spans="2:13" x14ac:dyDescent="0.25">
      <c r="B9" s="1694" t="s">
        <v>886</v>
      </c>
      <c r="C9" s="1694"/>
      <c r="D9" s="1694"/>
      <c r="E9" s="1694"/>
      <c r="F9" s="1694"/>
      <c r="G9" s="1694"/>
      <c r="H9" s="1694"/>
      <c r="I9" s="1694"/>
      <c r="J9" s="1694"/>
      <c r="K9" s="1694"/>
      <c r="L9" s="1694"/>
      <c r="M9" s="1694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728"/>
      <c r="C11" s="1728" t="s">
        <v>802</v>
      </c>
      <c r="D11" s="1728" t="s">
        <v>9</v>
      </c>
      <c r="E11" s="1331" t="s">
        <v>12</v>
      </c>
      <c r="F11" s="1763" t="s">
        <v>13</v>
      </c>
      <c r="G11" s="1761" t="s">
        <v>14</v>
      </c>
      <c r="H11" s="1761" t="s">
        <v>15</v>
      </c>
      <c r="I11" s="1761" t="s">
        <v>16</v>
      </c>
      <c r="J11" s="1761" t="s">
        <v>17</v>
      </c>
      <c r="K11" s="1761" t="s">
        <v>18</v>
      </c>
      <c r="L11" s="1761" t="s">
        <v>19</v>
      </c>
      <c r="M11" s="1761" t="s">
        <v>20</v>
      </c>
    </row>
    <row r="12" spans="2:13" ht="16.5" customHeight="1" x14ac:dyDescent="0.25">
      <c r="B12" s="1729"/>
      <c r="C12" s="1729"/>
      <c r="D12" s="1729"/>
      <c r="E12" s="1331" t="s">
        <v>21</v>
      </c>
      <c r="F12" s="1764"/>
      <c r="G12" s="1762"/>
      <c r="H12" s="1762"/>
      <c r="I12" s="1762"/>
      <c r="J12" s="1762"/>
      <c r="K12" s="1762"/>
      <c r="L12" s="1762"/>
      <c r="M12" s="1762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 t="shared" ref="G19:I19" si="1">+G18</f>
        <v>46500</v>
      </c>
      <c r="H19" s="1341">
        <f t="shared" si="1"/>
        <v>1334.55</v>
      </c>
      <c r="I19" s="1341">
        <f t="shared" si="1"/>
        <v>8816.5</v>
      </c>
      <c r="J19" s="1341">
        <f>+J18</f>
        <v>1413.6</v>
      </c>
      <c r="K19" s="1342">
        <v>0</v>
      </c>
      <c r="L19" s="1341">
        <f t="shared" ref="L19" si="2"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3">+G19+G15</f>
        <v>93000</v>
      </c>
      <c r="H22" s="1383">
        <f t="shared" si="3"/>
        <v>2669.1</v>
      </c>
      <c r="I22" s="1383">
        <f t="shared" si="3"/>
        <v>17633</v>
      </c>
      <c r="J22" s="1383">
        <f t="shared" si="3"/>
        <v>2827.2</v>
      </c>
      <c r="K22" s="1355">
        <v>0</v>
      </c>
      <c r="L22" s="1383">
        <f t="shared" si="3"/>
        <v>23129.3</v>
      </c>
      <c r="M22" s="1383">
        <f t="shared" si="3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696" t="s">
        <v>1372</v>
      </c>
      <c r="H38" s="1696"/>
      <c r="I38" s="1696"/>
      <c r="J38" s="1696"/>
      <c r="K38" s="1696"/>
      <c r="L38" s="1696"/>
    </row>
    <row r="39" spans="2:13" x14ac:dyDescent="0.25">
      <c r="B39" s="1083" t="s">
        <v>1238</v>
      </c>
      <c r="C39" s="1083"/>
      <c r="D39" s="921"/>
      <c r="E39" s="915"/>
      <c r="F39" s="915"/>
      <c r="G39" s="1702" t="s">
        <v>1222</v>
      </c>
      <c r="H39" s="1702"/>
      <c r="I39" s="1702"/>
      <c r="J39" s="1702"/>
      <c r="K39" s="1702"/>
      <c r="L39" s="1702"/>
    </row>
    <row r="40" spans="2:13" x14ac:dyDescent="0.25">
      <c r="B40" s="916" t="s">
        <v>1239</v>
      </c>
      <c r="C40" s="916"/>
      <c r="D40" s="915"/>
      <c r="E40" s="915"/>
      <c r="F40" s="923"/>
      <c r="G40" s="1701" t="s">
        <v>1503</v>
      </c>
      <c r="H40" s="1701"/>
      <c r="I40" s="1701"/>
      <c r="J40" s="1701"/>
      <c r="K40" s="1701"/>
      <c r="L40" s="1701"/>
    </row>
    <row r="44" spans="2:13" ht="30" customHeight="1" x14ac:dyDescent="0.25"/>
    <row r="48" spans="2:13" x14ac:dyDescent="0.25">
      <c r="E48" s="924"/>
      <c r="F48" s="923"/>
      <c r="G48" s="915"/>
      <c r="H48" s="1698"/>
      <c r="I48" s="1698"/>
      <c r="J48" s="1698"/>
      <c r="K48" s="1698"/>
      <c r="L48" s="1698"/>
      <c r="M48" s="1698"/>
    </row>
    <row r="49" spans="5:13" x14ac:dyDescent="0.25">
      <c r="E49" s="925"/>
      <c r="F49" s="1694"/>
      <c r="G49" s="1694"/>
      <c r="H49" s="1694"/>
      <c r="I49" s="1694"/>
      <c r="J49" s="1694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8:M48"/>
    <mergeCell ref="F49:J49"/>
  </mergeCells>
  <pageMargins left="0.37" right="7.874015748031496E-2" top="0.11" bottom="0.08" header="0" footer="0"/>
  <pageSetup scale="67" orientation="landscape" r:id="rId1"/>
  <drawing r:id="rId2"/>
</worksheet>
</file>

<file path=xl/worksheets/sheet3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E8A563-9AB3-419F-B7F1-27F3E0168FFA}">
  <sheetPr>
    <pageSetUpPr fitToPage="1"/>
  </sheetPr>
  <dimension ref="A6:M78"/>
  <sheetViews>
    <sheetView showGridLines="0" topLeftCell="B1" zoomScale="110" zoomScaleNormal="110" workbookViewId="0">
      <selection activeCell="B3" sqref="B3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51" t="s">
        <v>0</v>
      </c>
      <c r="C6" s="1551"/>
      <c r="D6" s="1551"/>
      <c r="E6" s="1551"/>
      <c r="F6" s="1551"/>
      <c r="G6" s="1551"/>
      <c r="H6" s="1551"/>
      <c r="I6" s="1551"/>
      <c r="J6" s="1551"/>
      <c r="K6" s="1551"/>
      <c r="L6" s="1551"/>
      <c r="M6" s="1551"/>
    </row>
    <row r="7" spans="2:13" x14ac:dyDescent="0.25">
      <c r="B7" s="1551" t="s">
        <v>1</v>
      </c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2:13" x14ac:dyDescent="0.25">
      <c r="B8" s="1551" t="s">
        <v>3</v>
      </c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2:13" x14ac:dyDescent="0.25">
      <c r="B9" s="1551" t="s">
        <v>1818</v>
      </c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2:13" x14ac:dyDescent="0.25">
      <c r="B10" s="1552" t="s">
        <v>1197</v>
      </c>
      <c r="C10" s="1552"/>
      <c r="D10" s="1552"/>
      <c r="E10" s="1552"/>
      <c r="F10" s="1552"/>
      <c r="G10" s="1552"/>
      <c r="H10" s="1552"/>
      <c r="I10" s="1552"/>
      <c r="J10" s="1552"/>
      <c r="K10" s="1552"/>
      <c r="L10" s="1552"/>
      <c r="M10" s="1552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712" t="s">
        <v>7</v>
      </c>
      <c r="C12" s="1709" t="s">
        <v>802</v>
      </c>
      <c r="D12" s="1709" t="s">
        <v>9</v>
      </c>
      <c r="E12" s="1067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2:13" ht="15" customHeight="1" x14ac:dyDescent="0.25">
      <c r="B13" s="1712"/>
      <c r="C13" s="1709"/>
      <c r="D13" s="1709"/>
      <c r="E13" s="1067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34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 t="shared" ref="H24:J24" si="2">SUM(H23)</f>
        <v>574</v>
      </c>
      <c r="I24" s="697">
        <f t="shared" si="2"/>
        <v>4704.5</v>
      </c>
      <c r="J24" s="697">
        <f t="shared" si="2"/>
        <v>608</v>
      </c>
      <c r="K24" s="1112">
        <f t="shared" ref="K24" si="3"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8.75" customHeight="1" x14ac:dyDescent="0.3">
      <c r="B41" s="1375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4">+G16+G20+G24+G28+G32+G36+G39</f>
        <v>201500</v>
      </c>
      <c r="H41" s="1065">
        <f t="shared" si="4"/>
        <v>5783.05</v>
      </c>
      <c r="I41" s="1065">
        <f t="shared" si="4"/>
        <v>44236.94</v>
      </c>
      <c r="J41" s="1065">
        <f t="shared" si="4"/>
        <v>6125.6</v>
      </c>
      <c r="K41" s="1114">
        <v>0</v>
      </c>
      <c r="L41" s="1065">
        <f t="shared" si="4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682" t="s">
        <v>1250</v>
      </c>
      <c r="H52" s="1682"/>
      <c r="I52" s="1682"/>
      <c r="J52" s="1682"/>
      <c r="K52" s="1682"/>
      <c r="L52" s="1682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627" t="s">
        <v>852</v>
      </c>
      <c r="H53" s="1627"/>
      <c r="I53" s="1627"/>
      <c r="J53" s="1627"/>
      <c r="K53" s="1627"/>
      <c r="L53" s="1627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628" t="s">
        <v>1506</v>
      </c>
      <c r="H54" s="1628"/>
      <c r="I54" s="1628"/>
      <c r="J54" s="1628"/>
      <c r="K54" s="1628"/>
      <c r="L54" s="1628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629"/>
      <c r="I55" s="1629"/>
      <c r="J55" s="1629"/>
      <c r="K55" s="1629"/>
      <c r="L55" s="1629"/>
      <c r="M55" s="1629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552"/>
      <c r="G68" s="1552"/>
      <c r="H68" s="1552"/>
      <c r="I68" s="1552"/>
      <c r="J68" s="1552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2:L52"/>
    <mergeCell ref="G53:L53"/>
    <mergeCell ref="G54:L54"/>
    <mergeCell ref="H55:M55"/>
    <mergeCell ref="F68:J68"/>
  </mergeCells>
  <pageMargins left="0.75" right="0.21" top="0.15" bottom="0.01" header="0.12" footer="0.02"/>
  <pageSetup scale="52" fitToHeight="0" orientation="landscape" r:id="rId1"/>
  <drawing r:id="rId2"/>
</worksheet>
</file>

<file path=xl/worksheets/sheet3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15D070-2C98-4465-81D7-3C749385C341}">
  <sheetPr>
    <pageSetUpPr fitToPage="1"/>
  </sheetPr>
  <dimension ref="A1:M85"/>
  <sheetViews>
    <sheetView topLeftCell="A27" zoomScale="80" zoomScaleNormal="80" zoomScaleSheetLayoutView="80" workbookViewId="0">
      <selection activeCell="F32" sqref="F32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1:13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1:13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1:13" x14ac:dyDescent="0.25">
      <c r="A10" s="1551" t="s">
        <v>1819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</row>
    <row r="11" spans="1:13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713" t="s">
        <v>7</v>
      </c>
      <c r="B13" s="1713" t="s">
        <v>937</v>
      </c>
      <c r="C13" s="1713" t="s">
        <v>10</v>
      </c>
      <c r="D13" s="1713" t="s">
        <v>11</v>
      </c>
      <c r="E13" s="1047" t="s">
        <v>12</v>
      </c>
      <c r="F13" s="1713" t="s">
        <v>13</v>
      </c>
      <c r="G13" s="1713" t="s">
        <v>14</v>
      </c>
      <c r="H13" s="1713" t="s">
        <v>15</v>
      </c>
      <c r="I13" s="1713" t="s">
        <v>16</v>
      </c>
      <c r="J13" s="1713" t="s">
        <v>17</v>
      </c>
      <c r="K13" s="1713" t="s">
        <v>18</v>
      </c>
      <c r="L13" s="1713" t="s">
        <v>19</v>
      </c>
      <c r="M13" s="1713" t="s">
        <v>20</v>
      </c>
    </row>
    <row r="14" spans="1:13" x14ac:dyDescent="0.25">
      <c r="A14" s="1713"/>
      <c r="B14" s="1713"/>
      <c r="C14" s="1713"/>
      <c r="D14" s="1713"/>
      <c r="E14" s="1047" t="s">
        <v>21</v>
      </c>
      <c r="F14" s="1713"/>
      <c r="G14" s="1713"/>
      <c r="H14" s="1713"/>
      <c r="I14" s="1713"/>
      <c r="J14" s="1713"/>
      <c r="K14" s="1713"/>
      <c r="L14" s="1713"/>
      <c r="M14" s="1713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1827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>SUM(E16:E39)</f>
        <v>338000</v>
      </c>
      <c r="F40" s="1371">
        <f t="shared" ref="F40:L40" si="1">SUM(F16:F39)</f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 t="shared" ref="L44" si="2"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3">SUM(F44)</f>
        <v>0</v>
      </c>
      <c r="G45" s="1372">
        <f t="shared" si="3"/>
        <v>12000</v>
      </c>
      <c r="H45" s="1373">
        <f t="shared" si="3"/>
        <v>0</v>
      </c>
      <c r="I45" s="1373">
        <f t="shared" si="3"/>
        <v>0</v>
      </c>
      <c r="J45" s="1373">
        <f t="shared" si="3"/>
        <v>0</v>
      </c>
      <c r="K45" s="1373">
        <f t="shared" si="3"/>
        <v>0</v>
      </c>
      <c r="L45" s="1372">
        <f t="shared" si="3"/>
        <v>0</v>
      </c>
      <c r="M45" s="1372">
        <f t="shared" si="3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4">+F40+F45</f>
        <v>0</v>
      </c>
      <c r="G47" s="1376">
        <f t="shared" si="4"/>
        <v>350000</v>
      </c>
      <c r="H47" s="1376">
        <f t="shared" si="4"/>
        <v>0</v>
      </c>
      <c r="I47" s="1376">
        <f t="shared" si="4"/>
        <v>4195.88</v>
      </c>
      <c r="J47" s="1376">
        <f t="shared" si="4"/>
        <v>0</v>
      </c>
      <c r="K47" s="1376">
        <f t="shared" si="4"/>
        <v>0</v>
      </c>
      <c r="L47" s="1376">
        <f t="shared" si="4"/>
        <v>4195.88</v>
      </c>
      <c r="M47" s="1376">
        <f t="shared" si="4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21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690" t="s">
        <v>1269</v>
      </c>
      <c r="B69" s="1690"/>
      <c r="C69" s="753"/>
      <c r="D69" s="753"/>
      <c r="E69" s="754"/>
      <c r="F69" s="755"/>
      <c r="H69" s="1691" t="s">
        <v>852</v>
      </c>
      <c r="I69" s="1691"/>
      <c r="J69" s="1691"/>
      <c r="K69" s="1691"/>
      <c r="L69" s="1691"/>
      <c r="M69" s="1691"/>
    </row>
    <row r="70" spans="1:13" s="259" customFormat="1" ht="19.5" customHeight="1" x14ac:dyDescent="0.25">
      <c r="A70" s="1628" t="s">
        <v>1813</v>
      </c>
      <c r="B70" s="1628"/>
      <c r="C70" s="753"/>
      <c r="D70" s="753"/>
      <c r="E70" s="754"/>
      <c r="F70" s="755"/>
      <c r="H70" s="1692" t="s">
        <v>1505</v>
      </c>
      <c r="I70" s="1692"/>
      <c r="J70" s="1692"/>
      <c r="K70" s="1692"/>
      <c r="L70" s="1692"/>
      <c r="M70" s="1692"/>
    </row>
    <row r="71" spans="1:13" ht="108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50.2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hidden="1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39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629"/>
      <c r="I82" s="1629"/>
      <c r="J82" s="1629"/>
      <c r="K82" s="1629"/>
      <c r="L82" s="1629"/>
      <c r="M82" s="1629"/>
    </row>
    <row r="83" spans="1:13" ht="15.75" x14ac:dyDescent="0.25">
      <c r="A83" s="267"/>
      <c r="B83" s="267"/>
      <c r="C83" s="268"/>
      <c r="D83" s="268"/>
      <c r="E83" s="269"/>
      <c r="F83" s="1549"/>
      <c r="G83" s="1549"/>
      <c r="H83" s="1549"/>
      <c r="I83" s="1549"/>
      <c r="J83" s="1549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11" right="0.39370078740157483" top="0" bottom="0.01" header="0" footer="0.09"/>
  <pageSetup scale="30" orientation="landscape" r:id="rId1"/>
  <drawing r:id="rId2"/>
</worksheet>
</file>

<file path=xl/worksheets/sheet3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E2F5D-017E-41D3-BB58-D0FB76E9CED9}">
  <sheetPr>
    <pageSetUpPr fitToPage="1"/>
  </sheetPr>
  <dimension ref="A1:N280"/>
  <sheetViews>
    <sheetView showGridLines="0" topLeftCell="A5" zoomScale="84" zoomScaleNormal="84" workbookViewId="0">
      <pane ySplit="14" topLeftCell="A194" activePane="bottomLeft" state="frozen"/>
      <selection activeCell="A5" sqref="A5"/>
      <selection pane="bottomLeft" activeCell="A195" sqref="A195:XFD195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867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867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867"/>
      <c r="L10" s="1089"/>
      <c r="M10" s="867"/>
    </row>
    <row r="11" spans="1:14" ht="15.75" x14ac:dyDescent="0.25">
      <c r="A11" s="1685" t="s">
        <v>1502</v>
      </c>
      <c r="B11" s="1685"/>
      <c r="C11" s="1685"/>
      <c r="D11" s="1685"/>
      <c r="E11" s="1685"/>
      <c r="F11" s="1685"/>
      <c r="G11" s="1685"/>
      <c r="H11" s="1685"/>
      <c r="I11" s="1685"/>
      <c r="J11" s="1685"/>
      <c r="K11" s="1685"/>
      <c r="L11" s="1685"/>
      <c r="M11" s="1685"/>
    </row>
    <row r="12" spans="1:14" ht="0.75" customHeight="1" x14ac:dyDescent="0.25">
      <c r="A12" s="1685"/>
      <c r="B12" s="1685"/>
      <c r="C12" s="1685"/>
      <c r="D12" s="1685"/>
      <c r="E12" s="1685"/>
      <c r="F12" s="1685"/>
      <c r="G12" s="1685"/>
      <c r="H12" s="1685"/>
      <c r="I12" s="1685"/>
      <c r="J12" s="1685"/>
      <c r="K12" s="1685"/>
      <c r="L12" s="1685"/>
      <c r="M12" s="1685"/>
      <c r="N12" s="1685"/>
    </row>
    <row r="13" spans="1:14" ht="15.75" x14ac:dyDescent="0.25">
      <c r="A13" s="1685" t="s">
        <v>1460</v>
      </c>
      <c r="B13" s="1685"/>
      <c r="C13" s="1685"/>
      <c r="D13" s="1685"/>
      <c r="E13" s="1685"/>
      <c r="F13" s="1685"/>
      <c r="G13" s="1685"/>
      <c r="H13" s="1685"/>
      <c r="I13" s="1685"/>
      <c r="J13" s="1685"/>
      <c r="K13" s="1685"/>
      <c r="L13" s="1685"/>
      <c r="M13" s="1685"/>
    </row>
    <row r="14" spans="1:14" ht="15.75" x14ac:dyDescent="0.25">
      <c r="A14" s="1685" t="s">
        <v>1828</v>
      </c>
      <c r="B14" s="1685"/>
      <c r="C14" s="1685"/>
      <c r="D14" s="1685"/>
      <c r="E14" s="1685"/>
      <c r="F14" s="1685"/>
      <c r="G14" s="1685"/>
      <c r="H14" s="1685"/>
      <c r="I14" s="1685"/>
      <c r="J14" s="1685"/>
      <c r="K14" s="1685"/>
      <c r="L14" s="1685"/>
      <c r="M14" s="1685"/>
    </row>
    <row r="15" spans="1:14" ht="15.75" x14ac:dyDescent="0.25">
      <c r="A15" s="1706" t="s">
        <v>404</v>
      </c>
      <c r="B15" s="1706"/>
      <c r="C15" s="1706"/>
      <c r="D15" s="1706"/>
      <c r="E15" s="1706"/>
      <c r="F15" s="1706"/>
      <c r="G15" s="1706"/>
      <c r="H15" s="1706"/>
      <c r="I15" s="1706"/>
      <c r="J15" s="1706"/>
      <c r="K15" s="1706"/>
      <c r="L15" s="1706"/>
      <c r="M15" s="1706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851"/>
      <c r="L16" s="1090"/>
      <c r="M16" s="851"/>
    </row>
    <row r="17" spans="1:13" ht="15.75" x14ac:dyDescent="0.25">
      <c r="A17" s="1755" t="s">
        <v>7</v>
      </c>
      <c r="B17" s="1757" t="s">
        <v>802</v>
      </c>
      <c r="C17" s="1757" t="s">
        <v>9</v>
      </c>
      <c r="D17" s="1757" t="s">
        <v>11</v>
      </c>
      <c r="E17" s="1390" t="s">
        <v>12</v>
      </c>
      <c r="F17" s="1759" t="s">
        <v>13</v>
      </c>
      <c r="G17" s="1751" t="s">
        <v>14</v>
      </c>
      <c r="H17" s="1753" t="s">
        <v>15</v>
      </c>
      <c r="I17" s="1710" t="s">
        <v>16</v>
      </c>
      <c r="J17" s="1753" t="s">
        <v>17</v>
      </c>
      <c r="K17" s="1753" t="s">
        <v>18</v>
      </c>
      <c r="L17" s="1753" t="s">
        <v>19</v>
      </c>
      <c r="M17" s="1749" t="s">
        <v>20</v>
      </c>
    </row>
    <row r="18" spans="1:13" ht="16.5" thickBot="1" x14ac:dyDescent="0.3">
      <c r="A18" s="1756"/>
      <c r="B18" s="1758"/>
      <c r="C18" s="1758"/>
      <c r="D18" s="1758"/>
      <c r="E18" s="1391" t="s">
        <v>21</v>
      </c>
      <c r="F18" s="1760"/>
      <c r="G18" s="1752"/>
      <c r="H18" s="1754"/>
      <c r="I18" s="1710"/>
      <c r="J18" s="1754"/>
      <c r="K18" s="1754"/>
      <c r="L18" s="1754"/>
      <c r="M18" s="1750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92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4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4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4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4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4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>SUM(E20:E24)</f>
        <v>870000</v>
      </c>
      <c r="F25" s="964">
        <f t="shared" ref="F25:J25" si="0">SUM(F20:F24)</f>
        <v>0</v>
      </c>
      <c r="G25" s="965">
        <f t="shared" si="0"/>
        <v>870000</v>
      </c>
      <c r="H25" s="963">
        <f t="shared" si="0"/>
        <v>24969</v>
      </c>
      <c r="I25" s="963">
        <f>SUM(I20:I24)</f>
        <v>147821.39000000001</v>
      </c>
      <c r="J25" s="963">
        <f t="shared" si="0"/>
        <v>25133.14</v>
      </c>
      <c r="K25" s="966">
        <f>SUM(K20:K24)</f>
        <v>18481.86</v>
      </c>
      <c r="L25" s="963">
        <f>SUM(L20:L24)</f>
        <v>216405.38999999998</v>
      </c>
      <c r="M25" s="965">
        <f>SUM(M20:M24)</f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4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4"/>
      <c r="L27" s="951"/>
      <c r="M27" s="953"/>
    </row>
    <row r="28" spans="1:13" ht="39.7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4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4">
        <v>1125</v>
      </c>
      <c r="L29" s="951">
        <f>+H29+I29+J29+K29</f>
        <v>4632.47</v>
      </c>
      <c r="M29" s="953">
        <f>+G29-L29</f>
        <v>38867.53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4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4">
        <v>25</v>
      </c>
      <c r="L31" s="951">
        <f t="shared" ref="L31" si="1"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2">SUM(G28:G31)</f>
        <v>219500</v>
      </c>
      <c r="H32" s="963">
        <f>SUM(H28:H31)</f>
        <v>6299.65</v>
      </c>
      <c r="I32" s="963">
        <f t="shared" si="2"/>
        <v>12463.43</v>
      </c>
      <c r="J32" s="963">
        <f t="shared" si="2"/>
        <v>6672.7999999999993</v>
      </c>
      <c r="K32" s="966">
        <f>SUM(K28:K31)</f>
        <v>13685.37</v>
      </c>
      <c r="L32" s="963">
        <f t="shared" si="2"/>
        <v>39121.25</v>
      </c>
      <c r="M32" s="963">
        <f>SUM(M28:M31)</f>
        <v>180378.75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4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6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4">
        <v>5171.38</v>
      </c>
      <c r="L35" s="951">
        <f t="shared" ref="L35:L38" si="3"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4">
        <v>1740.46</v>
      </c>
      <c r="L36" s="951">
        <f t="shared" si="3"/>
        <v>4990.6100000000006</v>
      </c>
      <c r="M36" s="953">
        <f t="shared" ref="M36:M38" si="4"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4">
        <v>125</v>
      </c>
      <c r="L37" s="951">
        <f t="shared" si="3"/>
        <v>3632.4700000000003</v>
      </c>
      <c r="M37" s="953">
        <f t="shared" si="4"/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4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5">SUM(G35:G38)</f>
        <v>327000</v>
      </c>
      <c r="H39" s="963">
        <f t="shared" si="5"/>
        <v>9384.9</v>
      </c>
      <c r="I39" s="963">
        <f t="shared" si="5"/>
        <v>34988.5</v>
      </c>
      <c r="J39" s="963">
        <f t="shared" si="5"/>
        <v>9940.7999999999993</v>
      </c>
      <c r="K39" s="966">
        <f>SUM(K35:K38)</f>
        <v>7061.84</v>
      </c>
      <c r="L39" s="963">
        <f t="shared" si="5"/>
        <v>61376.04</v>
      </c>
      <c r="M39" s="963">
        <f t="shared" si="5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6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6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4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L43" si="6">SUM(H42)</f>
        <v>2152.5</v>
      </c>
      <c r="I43" s="963">
        <f t="shared" si="6"/>
        <v>6309.38</v>
      </c>
      <c r="J43" s="963">
        <f t="shared" si="6"/>
        <v>2280</v>
      </c>
      <c r="K43" s="966">
        <f>SUM(K42)</f>
        <v>25</v>
      </c>
      <c r="L43" s="963">
        <f t="shared" si="6"/>
        <v>10766.880000000001</v>
      </c>
      <c r="M43" s="965">
        <f>SUM(M42)</f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6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6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4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4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7">SUM(F46:F47)</f>
        <v>0</v>
      </c>
      <c r="G48" s="965">
        <f t="shared" si="7"/>
        <v>73500</v>
      </c>
      <c r="H48" s="963">
        <f t="shared" si="7"/>
        <v>2109.4499999999998</v>
      </c>
      <c r="I48" s="1071">
        <f t="shared" si="7"/>
        <v>936.62</v>
      </c>
      <c r="J48" s="963">
        <f t="shared" si="7"/>
        <v>2234.4</v>
      </c>
      <c r="K48" s="966">
        <f>SUM(K46:K47)</f>
        <v>1765.46</v>
      </c>
      <c r="L48" s="963">
        <f t="shared" si="7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6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6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1">
        <v>1322.4</v>
      </c>
      <c r="K51" s="954">
        <v>1296.7</v>
      </c>
      <c r="L51" s="951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4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94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4">
        <v>7721.54</v>
      </c>
      <c r="L54" s="951">
        <f t="shared" ref="L54" si="8"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4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4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9">SUM(G51:G56)</f>
        <v>222000</v>
      </c>
      <c r="H57" s="1233">
        <f t="shared" si="9"/>
        <v>6371.4</v>
      </c>
      <c r="I57" s="1233">
        <f t="shared" si="9"/>
        <v>1873.24</v>
      </c>
      <c r="J57" s="1233">
        <f t="shared" si="9"/>
        <v>6748.7999999999993</v>
      </c>
      <c r="K57" s="1395">
        <f>SUM(K51:K56)</f>
        <v>9118.24</v>
      </c>
      <c r="L57" s="1233">
        <f t="shared" si="9"/>
        <v>24111.68</v>
      </c>
      <c r="M57" s="1233">
        <f t="shared" si="9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234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41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1">
        <v>1322.4</v>
      </c>
      <c r="K60" s="954">
        <v>25</v>
      </c>
      <c r="L60" s="951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4">
        <v>525</v>
      </c>
      <c r="L61" s="951">
        <f>+H61+I61+J61+K61</f>
        <v>2831.06</v>
      </c>
      <c r="M61" s="951">
        <f t="shared" ref="M61:M62" si="10"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4">
        <v>2169.96</v>
      </c>
      <c r="L62" s="951">
        <f>SUM(H62:K62)</f>
        <v>4386.21</v>
      </c>
      <c r="M62" s="951">
        <f t="shared" si="10"/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11">SUM(H60:H62)</f>
        <v>3400.95</v>
      </c>
      <c r="I63" s="963">
        <f t="shared" si="11"/>
        <v>1026.43</v>
      </c>
      <c r="J63" s="963">
        <f t="shared" si="11"/>
        <v>3602.4</v>
      </c>
      <c r="K63" s="966">
        <f>SUM(K60:K62)</f>
        <v>2719.96</v>
      </c>
      <c r="L63" s="963">
        <f t="shared" si="11"/>
        <v>10749.740000000002</v>
      </c>
      <c r="M63" s="963">
        <f t="shared" si="11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6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6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4">
        <v>25</v>
      </c>
      <c r="L66" s="951">
        <f t="shared" ref="L66:L80" si="12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4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4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4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1">
        <v>912</v>
      </c>
      <c r="K70" s="954">
        <v>6341.6</v>
      </c>
      <c r="L70" s="951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4">
        <v>25</v>
      </c>
      <c r="L71" s="951">
        <f t="shared" si="12"/>
        <v>1798</v>
      </c>
      <c r="M71" s="953">
        <f t="shared" ref="M71:M80" si="13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4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4">
        <v>2568.4</v>
      </c>
      <c r="L73" s="951">
        <f t="shared" si="12"/>
        <v>4341.3999999999996</v>
      </c>
      <c r="M73" s="953">
        <f t="shared" si="13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4">
        <v>25</v>
      </c>
      <c r="L74" s="951">
        <f t="shared" si="12"/>
        <v>1798</v>
      </c>
      <c r="M74" s="953">
        <f t="shared" si="13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4">
        <v>25</v>
      </c>
      <c r="L75" s="951">
        <f t="shared" si="12"/>
        <v>1798</v>
      </c>
      <c r="M75" s="953">
        <f t="shared" si="13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4">
        <v>1740.46</v>
      </c>
      <c r="L76" s="951">
        <f t="shared" si="12"/>
        <v>3513.46</v>
      </c>
      <c r="M76" s="953">
        <f t="shared" si="13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4">
        <v>25</v>
      </c>
      <c r="L77" s="951">
        <f t="shared" si="12"/>
        <v>1798</v>
      </c>
      <c r="M77" s="953">
        <f t="shared" si="13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4">
        <v>25</v>
      </c>
      <c r="L78" s="951">
        <f t="shared" si="12"/>
        <v>1798</v>
      </c>
      <c r="M78" s="953">
        <f t="shared" si="13"/>
        <v>28202</v>
      </c>
    </row>
    <row r="79" spans="1:13" ht="18.75" x14ac:dyDescent="0.3">
      <c r="A79" s="955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4">
        <v>1740.46</v>
      </c>
      <c r="L79" s="951">
        <f t="shared" si="12"/>
        <v>3513.46</v>
      </c>
      <c r="M79" s="951">
        <f t="shared" si="13"/>
        <v>26486.54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4">
        <v>25</v>
      </c>
      <c r="L80" s="951">
        <f t="shared" si="12"/>
        <v>1798</v>
      </c>
      <c r="M80" s="953">
        <f t="shared" si="13"/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14">SUM(G66:G80)</f>
        <v>482000</v>
      </c>
      <c r="H81" s="963">
        <f t="shared" si="14"/>
        <v>13833.4</v>
      </c>
      <c r="I81" s="963">
        <f t="shared" si="14"/>
        <v>1873.24</v>
      </c>
      <c r="J81" s="963">
        <f t="shared" si="14"/>
        <v>14652.8</v>
      </c>
      <c r="K81" s="966">
        <f>SUM(K66:K80)</f>
        <v>12765.919999999998</v>
      </c>
      <c r="L81" s="963">
        <f t="shared" si="14"/>
        <v>43125.36</v>
      </c>
      <c r="M81" s="963">
        <f t="shared" si="14"/>
        <v>438874.63999999996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4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6"/>
      <c r="L83" s="963"/>
      <c r="M83" s="965"/>
    </row>
    <row r="84" spans="1:13" ht="18.75" x14ac:dyDescent="0.3">
      <c r="A84" s="955" t="s">
        <v>1666</v>
      </c>
      <c r="B84" s="950" t="s">
        <v>807</v>
      </c>
      <c r="C84" s="960" t="s">
        <v>1778</v>
      </c>
      <c r="D84" s="960" t="s">
        <v>307</v>
      </c>
      <c r="E84" s="951">
        <v>43500</v>
      </c>
      <c r="F84" s="952">
        <v>0</v>
      </c>
      <c r="G84" s="953">
        <v>43500</v>
      </c>
      <c r="H84" s="951">
        <v>1248.45</v>
      </c>
      <c r="I84" s="974">
        <v>936.62</v>
      </c>
      <c r="J84" s="951">
        <v>1322.4</v>
      </c>
      <c r="K84" s="954">
        <v>1125</v>
      </c>
      <c r="L84" s="951">
        <f t="shared" ref="L84:L92" si="15">+H84+I84+J84+K84</f>
        <v>4632.47</v>
      </c>
      <c r="M84" s="953">
        <f>+G84-L84</f>
        <v>38867.53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4">
        <v>125</v>
      </c>
      <c r="L85" s="951">
        <f t="shared" si="15"/>
        <v>1602.5</v>
      </c>
      <c r="M85" s="953">
        <f t="shared" ref="M85:M93" si="16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4">
        <v>828</v>
      </c>
      <c r="L86" s="951">
        <f t="shared" si="15"/>
        <v>2305.5</v>
      </c>
      <c r="M86" s="953">
        <f t="shared" si="16"/>
        <v>22694.5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4">
        <v>1296.7</v>
      </c>
      <c r="L87" s="951">
        <f t="shared" si="15"/>
        <v>2774.2</v>
      </c>
      <c r="M87" s="953">
        <f t="shared" si="16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4">
        <v>25</v>
      </c>
      <c r="L88" s="951">
        <f t="shared" si="15"/>
        <v>1502.5</v>
      </c>
      <c r="M88" s="953">
        <f t="shared" si="16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4">
        <v>25</v>
      </c>
      <c r="L89" s="951">
        <f t="shared" si="15"/>
        <v>1502.5</v>
      </c>
      <c r="M89" s="953">
        <f t="shared" si="16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4">
        <v>25</v>
      </c>
      <c r="L90" s="951">
        <f t="shared" si="15"/>
        <v>1502.5</v>
      </c>
      <c r="M90" s="953">
        <f t="shared" si="16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4">
        <v>25</v>
      </c>
      <c r="L91" s="951">
        <f t="shared" si="15"/>
        <v>1502.5</v>
      </c>
      <c r="M91" s="953">
        <f t="shared" si="16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4">
        <v>25</v>
      </c>
      <c r="L92" s="951">
        <f t="shared" si="15"/>
        <v>1502.5</v>
      </c>
      <c r="M92" s="953">
        <f t="shared" si="16"/>
        <v>23497.5</v>
      </c>
    </row>
    <row r="93" spans="1:13" s="259" customFormat="1" ht="19.5" customHeight="1" x14ac:dyDescent="0.3">
      <c r="A93" s="1258" t="s">
        <v>1075</v>
      </c>
      <c r="B93" s="1256" t="s">
        <v>807</v>
      </c>
      <c r="C93" s="1257" t="s">
        <v>105</v>
      </c>
      <c r="D93" s="1257" t="s">
        <v>1067</v>
      </c>
      <c r="E93" s="954">
        <v>25000</v>
      </c>
      <c r="F93" s="1191">
        <v>0</v>
      </c>
      <c r="G93" s="954">
        <v>25000</v>
      </c>
      <c r="H93" s="954">
        <v>717.5</v>
      </c>
      <c r="I93" s="1191">
        <v>0</v>
      </c>
      <c r="J93" s="954">
        <v>760</v>
      </c>
      <c r="K93" s="954">
        <v>5076.66</v>
      </c>
      <c r="L93" s="954">
        <f>+H93+I93+J93+K93</f>
        <v>6554.16</v>
      </c>
      <c r="M93" s="954">
        <f t="shared" si="16"/>
        <v>18445.84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17">SUM(G84:G93)</f>
        <v>268500</v>
      </c>
      <c r="H94" s="963">
        <f t="shared" si="17"/>
        <v>7705.95</v>
      </c>
      <c r="I94" s="963">
        <f t="shared" si="17"/>
        <v>936.62</v>
      </c>
      <c r="J94" s="963">
        <f t="shared" si="17"/>
        <v>8162.4</v>
      </c>
      <c r="K94" s="966">
        <f>SUM(K84:K93)</f>
        <v>8576.36</v>
      </c>
      <c r="L94" s="963">
        <f t="shared" si="17"/>
        <v>25381.33</v>
      </c>
      <c r="M94" s="963">
        <f t="shared" si="17"/>
        <v>243118.67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4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4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4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18">SUM(F97:F97)</f>
        <v>0</v>
      </c>
      <c r="G98" s="965">
        <f t="shared" si="18"/>
        <v>55000</v>
      </c>
      <c r="H98" s="963">
        <f t="shared" si="18"/>
        <v>1578.5</v>
      </c>
      <c r="I98" s="963">
        <f t="shared" si="18"/>
        <v>2559.6799999999998</v>
      </c>
      <c r="J98" s="963">
        <f t="shared" si="18"/>
        <v>1672</v>
      </c>
      <c r="K98" s="966">
        <f>SUM(K97:K97)</f>
        <v>25</v>
      </c>
      <c r="L98" s="963">
        <f t="shared" si="18"/>
        <v>5835.18</v>
      </c>
      <c r="M98" s="965">
        <f t="shared" si="18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4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4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4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4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9">SUM(G101:G102)</f>
        <v>98500</v>
      </c>
      <c r="H103" s="963">
        <f t="shared" si="19"/>
        <v>2826.95</v>
      </c>
      <c r="I103" s="963">
        <f t="shared" si="19"/>
        <v>3496.2999999999997</v>
      </c>
      <c r="J103" s="963">
        <f t="shared" si="19"/>
        <v>2994.4</v>
      </c>
      <c r="K103" s="966">
        <f t="shared" si="19"/>
        <v>2593.4</v>
      </c>
      <c r="L103" s="963">
        <f t="shared" si="19"/>
        <v>11911.05</v>
      </c>
      <c r="M103" s="963">
        <f t="shared" si="19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4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6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4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4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J108" si="20">SUM(G106:G107)</f>
        <v>140000</v>
      </c>
      <c r="H108" s="963">
        <f t="shared" si="20"/>
        <v>4018</v>
      </c>
      <c r="I108" s="963">
        <f>SUM(I106:I107)</f>
        <v>10050.77</v>
      </c>
      <c r="J108" s="963">
        <f t="shared" si="20"/>
        <v>4256</v>
      </c>
      <c r="K108" s="966">
        <f>SUM(K106:K107)</f>
        <v>3580.92</v>
      </c>
      <c r="L108" s="963">
        <f>SUM(L106:L107)</f>
        <v>21905.69</v>
      </c>
      <c r="M108" s="963">
        <f>SUM(M106:M107)</f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6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6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1">
        <v>2432</v>
      </c>
      <c r="K111" s="954">
        <v>2134</v>
      </c>
      <c r="L111" s="951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4">
        <v>1740.46</v>
      </c>
      <c r="L112" s="951">
        <f t="shared" ref="L112:L113" si="21"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4">
        <v>25</v>
      </c>
      <c r="L113" s="951">
        <f t="shared" si="21"/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22">SUM(G111:G113)</f>
        <v>167000</v>
      </c>
      <c r="H114" s="963">
        <f t="shared" si="22"/>
        <v>4792.8999999999996</v>
      </c>
      <c r="I114" s="963">
        <f t="shared" si="22"/>
        <v>9016.7900000000009</v>
      </c>
      <c r="J114" s="963">
        <f t="shared" si="22"/>
        <v>5076.8</v>
      </c>
      <c r="K114" s="966">
        <f>SUM(K111:K113)</f>
        <v>3899.46</v>
      </c>
      <c r="L114" s="963">
        <f>SUM(L111:L113)</f>
        <v>22785.95</v>
      </c>
      <c r="M114" s="963">
        <f t="shared" si="22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6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6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4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23">SUM(G117:G117)</f>
        <v>80000</v>
      </c>
      <c r="H118" s="963">
        <f t="shared" si="23"/>
        <v>2296</v>
      </c>
      <c r="I118" s="963">
        <f t="shared" si="23"/>
        <v>6972</v>
      </c>
      <c r="J118" s="963">
        <f t="shared" si="23"/>
        <v>2432</v>
      </c>
      <c r="K118" s="966">
        <f>SUM(K117:K117)</f>
        <v>1740.46</v>
      </c>
      <c r="L118" s="963">
        <f t="shared" si="23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6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6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4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5368.48</v>
      </c>
      <c r="J122" s="951">
        <v>2128</v>
      </c>
      <c r="K122" s="954">
        <v>125</v>
      </c>
      <c r="L122" s="951">
        <f>+H122+I122+J122+K122</f>
        <v>9630.48</v>
      </c>
      <c r="M122" s="953">
        <f t="shared" ref="M122:M125" si="24">+G122-L122</f>
        <v>60369.520000000004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4">
        <v>25</v>
      </c>
      <c r="L123" s="951">
        <f>+H123+I123+J123+K123</f>
        <v>12153.869999999999</v>
      </c>
      <c r="M123" s="953">
        <f t="shared" si="24"/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4">
        <v>25</v>
      </c>
      <c r="L124" s="951">
        <v>1886.65</v>
      </c>
      <c r="M124" s="953">
        <f t="shared" si="24"/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4">
        <v>25</v>
      </c>
      <c r="L125" s="951">
        <f>+H125+I125+J125+K125</f>
        <v>3532.4700000000003</v>
      </c>
      <c r="M125" s="953">
        <f t="shared" si="24"/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>SUM(E121:E125)</f>
        <v>410000</v>
      </c>
      <c r="F126" s="964">
        <f t="shared" ref="F126" si="25">SUM(F121:F125)</f>
        <v>0</v>
      </c>
      <c r="G126" s="963">
        <f>SUM(G121:G125)</f>
        <v>410000</v>
      </c>
      <c r="H126" s="963">
        <f t="shared" ref="H126:J126" si="26">SUM(H121:H125)</f>
        <v>11767</v>
      </c>
      <c r="I126" s="963">
        <f t="shared" si="26"/>
        <v>45805.460000000006</v>
      </c>
      <c r="J126" s="963">
        <f t="shared" si="26"/>
        <v>12464</v>
      </c>
      <c r="K126" s="966">
        <f>SUM(K121:K125)</f>
        <v>225</v>
      </c>
      <c r="L126" s="963">
        <f>SUM(L121:L125)</f>
        <v>70261.459999999992</v>
      </c>
      <c r="M126" s="963">
        <f>SUM(M121:M125)</f>
        <v>339738.54000000004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6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6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1">
        <v>2432</v>
      </c>
      <c r="K129" s="954">
        <v>5884.86</v>
      </c>
      <c r="L129" s="951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27">SUM(G129:G129)</f>
        <v>80000</v>
      </c>
      <c r="H130" s="963">
        <f t="shared" si="27"/>
        <v>2296</v>
      </c>
      <c r="I130" s="963">
        <f t="shared" si="27"/>
        <v>6972</v>
      </c>
      <c r="J130" s="963">
        <f t="shared" si="27"/>
        <v>2432</v>
      </c>
      <c r="K130" s="966">
        <f>SUM(K129:K129)</f>
        <v>5884.86</v>
      </c>
      <c r="L130" s="963">
        <f t="shared" si="27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6"/>
      <c r="L131" s="963"/>
      <c r="M131" s="965"/>
    </row>
    <row r="132" spans="1:13" ht="23.25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6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4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8">SUM(F133:F133)</f>
        <v>0</v>
      </c>
      <c r="G134" s="963">
        <f t="shared" si="28"/>
        <v>50000</v>
      </c>
      <c r="H134" s="963">
        <f t="shared" si="28"/>
        <v>1435</v>
      </c>
      <c r="I134" s="963">
        <f t="shared" si="28"/>
        <v>1854</v>
      </c>
      <c r="J134" s="963">
        <f t="shared" si="28"/>
        <v>1520</v>
      </c>
      <c r="K134" s="966">
        <f>SUM(K133:K133)</f>
        <v>728</v>
      </c>
      <c r="L134" s="963">
        <f t="shared" si="28"/>
        <v>5537</v>
      </c>
      <c r="M134" s="963">
        <f t="shared" si="28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4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6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4">
        <v>828</v>
      </c>
      <c r="L137" s="951">
        <f t="shared" ref="L137:L141" si="29"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4">
        <v>125</v>
      </c>
      <c r="L138" s="951">
        <v>5935.18</v>
      </c>
      <c r="M138" s="951">
        <f t="shared" ref="M138:M141" si="30"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4">
        <v>728</v>
      </c>
      <c r="L139" s="951">
        <f t="shared" si="29"/>
        <v>6538.18</v>
      </c>
      <c r="M139" s="951">
        <f t="shared" si="30"/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4">
        <v>25</v>
      </c>
      <c r="L140" s="951">
        <f t="shared" si="29"/>
        <v>3532.4700000000003</v>
      </c>
      <c r="M140" s="951">
        <f t="shared" si="30"/>
        <v>39967.53</v>
      </c>
    </row>
    <row r="141" spans="1:13" ht="18.75" x14ac:dyDescent="0.3">
      <c r="A141" s="955" t="s">
        <v>1820</v>
      </c>
      <c r="B141" s="950" t="s">
        <v>807</v>
      </c>
      <c r="C141" s="960" t="s">
        <v>276</v>
      </c>
      <c r="D141" s="960" t="s">
        <v>307</v>
      </c>
      <c r="E141" s="951">
        <v>43500</v>
      </c>
      <c r="F141" s="974">
        <v>0</v>
      </c>
      <c r="G141" s="951">
        <v>43500</v>
      </c>
      <c r="H141" s="951">
        <v>1248.45</v>
      </c>
      <c r="I141" s="974">
        <v>936.62</v>
      </c>
      <c r="J141" s="951">
        <v>1322.4</v>
      </c>
      <c r="K141" s="954">
        <v>25</v>
      </c>
      <c r="L141" s="951">
        <f t="shared" si="29"/>
        <v>3532.4700000000003</v>
      </c>
      <c r="M141" s="951">
        <f t="shared" si="30"/>
        <v>39967.53</v>
      </c>
    </row>
    <row r="142" spans="1:13" ht="18.75" x14ac:dyDescent="0.3">
      <c r="A142" s="961" t="s">
        <v>749</v>
      </c>
      <c r="B142" s="950"/>
      <c r="C142" s="962">
        <v>5</v>
      </c>
      <c r="D142" s="962"/>
      <c r="E142" s="963">
        <f>SUM(E137:E141)</f>
        <v>277000</v>
      </c>
      <c r="F142" s="1071">
        <v>0</v>
      </c>
      <c r="G142" s="963">
        <f t="shared" ref="G142:L142" si="31">SUM(G137:G141)</f>
        <v>277000</v>
      </c>
      <c r="H142" s="963">
        <f t="shared" si="31"/>
        <v>7949.9</v>
      </c>
      <c r="I142" s="963">
        <f t="shared" si="31"/>
        <v>14393.470000000001</v>
      </c>
      <c r="J142" s="963">
        <f t="shared" si="31"/>
        <v>8420.7999999999993</v>
      </c>
      <c r="K142" s="966">
        <f t="shared" si="31"/>
        <v>1731</v>
      </c>
      <c r="L142" s="963">
        <f t="shared" si="31"/>
        <v>32495.170000000002</v>
      </c>
      <c r="M142" s="963">
        <f>SUM(M137:M141)</f>
        <v>244504.83000000002</v>
      </c>
    </row>
    <row r="143" spans="1:13" ht="18.75" x14ac:dyDescent="0.3">
      <c r="A143" s="958"/>
      <c r="B143" s="950"/>
      <c r="C143" s="960"/>
      <c r="D143" s="960"/>
      <c r="E143" s="951"/>
      <c r="F143" s="952"/>
      <c r="G143" s="953"/>
      <c r="H143" s="951"/>
      <c r="I143" s="951"/>
      <c r="J143" s="951"/>
      <c r="K143" s="954"/>
      <c r="L143" s="951"/>
      <c r="M143" s="953"/>
    </row>
    <row r="144" spans="1:13" ht="18.75" x14ac:dyDescent="0.3">
      <c r="A144" s="961" t="s">
        <v>1515</v>
      </c>
      <c r="B144" s="950"/>
      <c r="C144" s="967"/>
      <c r="D144" s="967"/>
      <c r="E144" s="963"/>
      <c r="F144" s="964"/>
      <c r="G144" s="965"/>
      <c r="H144" s="963"/>
      <c r="I144" s="963"/>
      <c r="J144" s="963"/>
      <c r="K144" s="966"/>
      <c r="L144" s="963"/>
      <c r="M144" s="965"/>
    </row>
    <row r="145" spans="1:13" ht="18.75" x14ac:dyDescent="0.3">
      <c r="A145" s="958" t="s">
        <v>1686</v>
      </c>
      <c r="B145" s="950" t="s">
        <v>806</v>
      </c>
      <c r="C145" s="960" t="s">
        <v>1687</v>
      </c>
      <c r="D145" s="960" t="s">
        <v>307</v>
      </c>
      <c r="E145" s="951">
        <v>185000</v>
      </c>
      <c r="F145" s="952">
        <v>0</v>
      </c>
      <c r="G145" s="953">
        <v>185000</v>
      </c>
      <c r="H145" s="951">
        <v>5309.5</v>
      </c>
      <c r="I145" s="951">
        <v>32099.49</v>
      </c>
      <c r="J145" s="951">
        <v>5624</v>
      </c>
      <c r="K145" s="954">
        <v>2568.4</v>
      </c>
      <c r="L145" s="951">
        <f>+H145+I145+J145+K145</f>
        <v>45601.390000000007</v>
      </c>
      <c r="M145" s="953">
        <f>+G145-L145</f>
        <v>139398.60999999999</v>
      </c>
    </row>
    <row r="146" spans="1:13" ht="18.75" x14ac:dyDescent="0.3">
      <c r="A146" s="955" t="s">
        <v>77</v>
      </c>
      <c r="B146" s="986" t="s">
        <v>807</v>
      </c>
      <c r="C146" s="960" t="s">
        <v>1734</v>
      </c>
      <c r="D146" s="960" t="s">
        <v>1069</v>
      </c>
      <c r="E146" s="951">
        <v>70000</v>
      </c>
      <c r="F146" s="974">
        <v>0</v>
      </c>
      <c r="G146" s="1070">
        <v>70000</v>
      </c>
      <c r="H146" s="956">
        <v>2009</v>
      </c>
      <c r="I146" s="956">
        <v>5368.48</v>
      </c>
      <c r="J146" s="951">
        <v>2128</v>
      </c>
      <c r="K146" s="987">
        <v>828</v>
      </c>
      <c r="L146" s="951">
        <f>+H146+I146+J146+K146</f>
        <v>10333.48</v>
      </c>
      <c r="M146" s="953">
        <f>+G146-L146</f>
        <v>59666.520000000004</v>
      </c>
    </row>
    <row r="147" spans="1:13" ht="18.75" x14ac:dyDescent="0.3">
      <c r="A147" s="955" t="s">
        <v>1437</v>
      </c>
      <c r="B147" s="950" t="s">
        <v>807</v>
      </c>
      <c r="C147" s="960" t="s">
        <v>276</v>
      </c>
      <c r="D147" s="960" t="s">
        <v>307</v>
      </c>
      <c r="E147" s="951">
        <v>43500</v>
      </c>
      <c r="F147" s="974">
        <v>0</v>
      </c>
      <c r="G147" s="951">
        <v>43500</v>
      </c>
      <c r="H147" s="951">
        <v>1248.45</v>
      </c>
      <c r="I147" s="974">
        <v>936.62</v>
      </c>
      <c r="J147" s="951">
        <v>1322.4</v>
      </c>
      <c r="K147" s="954">
        <v>25</v>
      </c>
      <c r="L147" s="951">
        <f>+H147+I147+J147+K147</f>
        <v>3532.4700000000003</v>
      </c>
      <c r="M147" s="953">
        <f>+G147-L147</f>
        <v>39967.53</v>
      </c>
    </row>
    <row r="148" spans="1:13" ht="18.75" x14ac:dyDescent="0.3">
      <c r="A148" s="958" t="s">
        <v>310</v>
      </c>
      <c r="B148" s="950" t="s">
        <v>807</v>
      </c>
      <c r="C148" s="960" t="s">
        <v>276</v>
      </c>
      <c r="D148" s="960" t="s">
        <v>307</v>
      </c>
      <c r="E148" s="951">
        <v>50000</v>
      </c>
      <c r="F148" s="952">
        <v>0</v>
      </c>
      <c r="G148" s="953">
        <v>50000</v>
      </c>
      <c r="H148" s="951">
        <v>1435</v>
      </c>
      <c r="I148" s="951">
        <v>1854</v>
      </c>
      <c r="J148" s="951">
        <v>1520</v>
      </c>
      <c r="K148" s="954">
        <v>5944.07</v>
      </c>
      <c r="L148" s="951">
        <f>+H148+I148+J148+K148</f>
        <v>10753.07</v>
      </c>
      <c r="M148" s="953">
        <f t="shared" ref="M148" si="32">+G148-L148</f>
        <v>39246.93</v>
      </c>
    </row>
    <row r="149" spans="1:13" ht="18.75" x14ac:dyDescent="0.3">
      <c r="A149" s="961" t="s">
        <v>749</v>
      </c>
      <c r="B149" s="950"/>
      <c r="C149" s="962">
        <v>4</v>
      </c>
      <c r="D149" s="962"/>
      <c r="E149" s="963">
        <f>SUM(E145:E148)</f>
        <v>348500</v>
      </c>
      <c r="F149" s="964">
        <f ca="1">SUM(F145:F172)</f>
        <v>0</v>
      </c>
      <c r="G149" s="965">
        <f>SUM(G145:G148)</f>
        <v>348500</v>
      </c>
      <c r="H149" s="963">
        <f t="shared" ref="H149:L149" si="33">SUM(H145:H148)</f>
        <v>10001.950000000001</v>
      </c>
      <c r="I149" s="963">
        <f t="shared" si="33"/>
        <v>40258.590000000004</v>
      </c>
      <c r="J149" s="963">
        <f t="shared" si="33"/>
        <v>10594.4</v>
      </c>
      <c r="K149" s="966">
        <f>SUM(K145:K148)</f>
        <v>9365.4699999999993</v>
      </c>
      <c r="L149" s="963">
        <f t="shared" si="33"/>
        <v>70220.41</v>
      </c>
      <c r="M149" s="965">
        <f>SUM(M145:M148)</f>
        <v>278279.59000000003</v>
      </c>
    </row>
    <row r="150" spans="1:13" ht="18.75" x14ac:dyDescent="0.3">
      <c r="A150" s="961"/>
      <c r="B150" s="950"/>
      <c r="C150" s="962"/>
      <c r="D150" s="962"/>
      <c r="E150" s="963"/>
      <c r="F150" s="964"/>
      <c r="G150" s="965"/>
      <c r="H150" s="963"/>
      <c r="I150" s="963"/>
      <c r="J150" s="963"/>
      <c r="K150" s="966"/>
      <c r="L150" s="963"/>
      <c r="M150" s="965"/>
    </row>
    <row r="151" spans="1:13" ht="18.75" x14ac:dyDescent="0.3">
      <c r="A151" s="967" t="s">
        <v>1458</v>
      </c>
      <c r="B151" s="988"/>
      <c r="C151" s="989"/>
      <c r="D151" s="989"/>
      <c r="E151" s="949"/>
      <c r="F151" s="949"/>
      <c r="G151" s="990"/>
      <c r="H151" s="1379"/>
      <c r="I151" s="963"/>
      <c r="J151" s="963"/>
      <c r="K151" s="966"/>
      <c r="L151" s="963"/>
      <c r="M151" s="965"/>
    </row>
    <row r="152" spans="1:13" ht="18.75" x14ac:dyDescent="0.3">
      <c r="A152" s="960" t="s">
        <v>1689</v>
      </c>
      <c r="B152" s="950" t="s">
        <v>807</v>
      </c>
      <c r="C152" s="960" t="s">
        <v>1772</v>
      </c>
      <c r="D152" s="960" t="s">
        <v>1069</v>
      </c>
      <c r="E152" s="951">
        <v>80000</v>
      </c>
      <c r="F152" s="971">
        <v>0</v>
      </c>
      <c r="G152" s="972">
        <v>80000</v>
      </c>
      <c r="H152" s="951">
        <v>2296</v>
      </c>
      <c r="I152" s="951">
        <v>7400.87</v>
      </c>
      <c r="J152" s="951">
        <v>2432</v>
      </c>
      <c r="K152" s="954">
        <v>2097.1999999999998</v>
      </c>
      <c r="L152" s="951">
        <f>+H152+I152+J152+K152</f>
        <v>14226.07</v>
      </c>
      <c r="M152" s="953">
        <f>+G152-L152</f>
        <v>65773.929999999993</v>
      </c>
    </row>
    <row r="153" spans="1:13" ht="18.75" x14ac:dyDescent="0.3">
      <c r="A153" s="960" t="s">
        <v>1690</v>
      </c>
      <c r="B153" s="950" t="s">
        <v>807</v>
      </c>
      <c r="C153" s="960" t="s">
        <v>276</v>
      </c>
      <c r="D153" s="960" t="s">
        <v>307</v>
      </c>
      <c r="E153" s="951">
        <v>43500</v>
      </c>
      <c r="F153" s="974">
        <v>0</v>
      </c>
      <c r="G153" s="951">
        <v>43500</v>
      </c>
      <c r="H153" s="951">
        <v>1248.45</v>
      </c>
      <c r="I153" s="974">
        <v>679.3</v>
      </c>
      <c r="J153" s="951">
        <v>1322.4</v>
      </c>
      <c r="K153" s="954">
        <v>1740.46</v>
      </c>
      <c r="L153" s="951">
        <f>SUM(H153:K153)</f>
        <v>4990.6100000000006</v>
      </c>
      <c r="M153" s="951">
        <f>+E153-L153</f>
        <v>38509.39</v>
      </c>
    </row>
    <row r="154" spans="1:13" ht="18.75" x14ac:dyDescent="0.3">
      <c r="A154" s="961" t="s">
        <v>847</v>
      </c>
      <c r="B154" s="992"/>
      <c r="C154" s="962">
        <v>2</v>
      </c>
      <c r="D154" s="962"/>
      <c r="E154" s="963">
        <f>SUM(E152:E153)</f>
        <v>123500</v>
      </c>
      <c r="F154" s="1071">
        <v>0</v>
      </c>
      <c r="G154" s="963">
        <f t="shared" ref="G154:I154" si="34">SUM(G152:G153)</f>
        <v>123500</v>
      </c>
      <c r="H154" s="963">
        <f t="shared" si="34"/>
        <v>3544.45</v>
      </c>
      <c r="I154" s="963">
        <f t="shared" si="34"/>
        <v>8080.17</v>
      </c>
      <c r="J154" s="963">
        <f>SUM(J152:J153)</f>
        <v>3754.4</v>
      </c>
      <c r="K154" s="966">
        <f>SUM(K152:K153)</f>
        <v>3837.66</v>
      </c>
      <c r="L154" s="963">
        <f>SUM(L152:L153)</f>
        <v>19216.68</v>
      </c>
      <c r="M154" s="963">
        <f>SUM(M152:M153)</f>
        <v>104283.31999999999</v>
      </c>
    </row>
    <row r="155" spans="1:13" ht="18.75" x14ac:dyDescent="0.3">
      <c r="A155" s="961"/>
      <c r="B155" s="950"/>
      <c r="C155" s="962"/>
      <c r="D155" s="962"/>
      <c r="E155" s="963"/>
      <c r="F155" s="964"/>
      <c r="G155" s="965"/>
      <c r="H155" s="963"/>
      <c r="I155" s="963"/>
      <c r="J155" s="963"/>
      <c r="K155" s="966"/>
      <c r="L155" s="963"/>
      <c r="M155" s="965"/>
    </row>
    <row r="156" spans="1:13" ht="18.75" x14ac:dyDescent="0.3">
      <c r="A156" s="982" t="s">
        <v>1245</v>
      </c>
      <c r="B156" s="950"/>
      <c r="C156" s="967"/>
      <c r="D156" s="967"/>
      <c r="E156" s="963"/>
      <c r="F156" s="964"/>
      <c r="G156" s="965"/>
      <c r="H156" s="963"/>
      <c r="I156" s="963"/>
      <c r="J156" s="963"/>
      <c r="K156" s="966"/>
      <c r="L156" s="963"/>
      <c r="M156" s="965"/>
    </row>
    <row r="157" spans="1:13" ht="18.75" x14ac:dyDescent="0.3">
      <c r="A157" s="955" t="s">
        <v>1691</v>
      </c>
      <c r="B157" s="950" t="s">
        <v>806</v>
      </c>
      <c r="C157" s="960" t="s">
        <v>551</v>
      </c>
      <c r="D157" s="960" t="s">
        <v>307</v>
      </c>
      <c r="E157" s="951">
        <v>43500</v>
      </c>
      <c r="F157" s="952">
        <v>0</v>
      </c>
      <c r="G157" s="953">
        <v>43500</v>
      </c>
      <c r="H157" s="951">
        <v>1248.45</v>
      </c>
      <c r="I157" s="974">
        <v>936.62</v>
      </c>
      <c r="J157" s="951">
        <v>1322.4</v>
      </c>
      <c r="K157" s="954">
        <v>25</v>
      </c>
      <c r="L157" s="951">
        <f>SUM(H157:K157)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1</v>
      </c>
      <c r="D158" s="962"/>
      <c r="E158" s="963">
        <f>SUM(E157:E157)</f>
        <v>43500</v>
      </c>
      <c r="F158" s="964">
        <f t="shared" ref="F158:J158" si="35">SUM(F157:F157)</f>
        <v>0</v>
      </c>
      <c r="G158" s="965">
        <f t="shared" si="35"/>
        <v>43500</v>
      </c>
      <c r="H158" s="963">
        <f t="shared" si="35"/>
        <v>1248.45</v>
      </c>
      <c r="I158" s="1091">
        <f>SUM(I157:I157)</f>
        <v>936.62</v>
      </c>
      <c r="J158" s="1091">
        <f t="shared" si="35"/>
        <v>1322.4</v>
      </c>
      <c r="K158" s="966">
        <f>SUM(K157:K157)</f>
        <v>25</v>
      </c>
      <c r="L158" s="963">
        <f>SUM(L157)</f>
        <v>3532.4700000000003</v>
      </c>
      <c r="M158" s="965">
        <v>39967.53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1"/>
      <c r="I159" s="951"/>
      <c r="J159" s="951"/>
      <c r="K159" s="954"/>
      <c r="L159" s="951"/>
      <c r="M159" s="953"/>
    </row>
    <row r="160" spans="1:13" ht="18.75" x14ac:dyDescent="0.3">
      <c r="A160" s="997" t="s">
        <v>1692</v>
      </c>
      <c r="B160" s="950"/>
      <c r="C160" s="967"/>
      <c r="D160" s="967"/>
      <c r="E160" s="963"/>
      <c r="F160" s="964"/>
      <c r="G160" s="965"/>
      <c r="H160" s="963"/>
      <c r="I160" s="963"/>
      <c r="J160" s="963"/>
      <c r="K160" s="966"/>
      <c r="L160" s="963"/>
      <c r="M160" s="965"/>
    </row>
    <row r="161" spans="1:13" ht="18.75" x14ac:dyDescent="0.3">
      <c r="A161" s="955" t="s">
        <v>1693</v>
      </c>
      <c r="B161" s="950" t="s">
        <v>807</v>
      </c>
      <c r="C161" s="960" t="s">
        <v>1734</v>
      </c>
      <c r="D161" s="960" t="s">
        <v>307</v>
      </c>
      <c r="E161" s="951">
        <v>70000</v>
      </c>
      <c r="F161" s="974">
        <v>0</v>
      </c>
      <c r="G161" s="951">
        <v>70000</v>
      </c>
      <c r="H161" s="951">
        <v>2009</v>
      </c>
      <c r="I161" s="951">
        <v>5368.48</v>
      </c>
      <c r="J161" s="951">
        <v>2128</v>
      </c>
      <c r="K161" s="954">
        <v>1296.7</v>
      </c>
      <c r="L161" s="951">
        <f>+H161+I161+J161+K161</f>
        <v>10802.18</v>
      </c>
      <c r="M161" s="953">
        <f t="shared" ref="M161:M162" si="36">+G161-L161</f>
        <v>59197.82</v>
      </c>
    </row>
    <row r="162" spans="1:13" ht="18.75" x14ac:dyDescent="0.3">
      <c r="A162" s="955" t="s">
        <v>1694</v>
      </c>
      <c r="B162" s="950" t="s">
        <v>806</v>
      </c>
      <c r="C162" s="960" t="s">
        <v>551</v>
      </c>
      <c r="D162" s="960" t="s">
        <v>307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4">
        <v>2025</v>
      </c>
      <c r="L162" s="951">
        <f>+H162+I162+J162+K162</f>
        <v>5532.47</v>
      </c>
      <c r="M162" s="953">
        <f t="shared" si="36"/>
        <v>37967.53</v>
      </c>
    </row>
    <row r="163" spans="1:13" ht="18.75" x14ac:dyDescent="0.3">
      <c r="A163" s="955" t="s">
        <v>1695</v>
      </c>
      <c r="B163" s="950" t="s">
        <v>806</v>
      </c>
      <c r="C163" s="960" t="s">
        <v>551</v>
      </c>
      <c r="D163" s="960" t="s">
        <v>321</v>
      </c>
      <c r="E163" s="951">
        <v>43500</v>
      </c>
      <c r="F163" s="952">
        <v>0</v>
      </c>
      <c r="G163" s="953">
        <v>43500</v>
      </c>
      <c r="H163" s="951">
        <v>1248.45</v>
      </c>
      <c r="I163" s="974">
        <v>936.62</v>
      </c>
      <c r="J163" s="951">
        <v>1322.4</v>
      </c>
      <c r="K163" s="954">
        <v>25</v>
      </c>
      <c r="L163" s="951">
        <f>+H163+I163+J163+K163</f>
        <v>3532.4700000000003</v>
      </c>
      <c r="M163" s="953">
        <f>+G163-L163</f>
        <v>39967.53</v>
      </c>
    </row>
    <row r="164" spans="1:13" ht="18.75" x14ac:dyDescent="0.3">
      <c r="A164" s="961" t="s">
        <v>847</v>
      </c>
      <c r="B164" s="950"/>
      <c r="C164" s="962">
        <v>3</v>
      </c>
      <c r="D164" s="962"/>
      <c r="E164" s="963">
        <f>SUM(E161:E163)</f>
        <v>157000</v>
      </c>
      <c r="F164" s="993">
        <f t="shared" ref="F164" si="37">SUM(F163)</f>
        <v>0</v>
      </c>
      <c r="G164" s="963">
        <f t="shared" ref="G164:M164" si="38">SUM(G161:G163)</f>
        <v>157000</v>
      </c>
      <c r="H164" s="963">
        <f t="shared" si="38"/>
        <v>4505.8999999999996</v>
      </c>
      <c r="I164" s="963">
        <f t="shared" si="38"/>
        <v>7241.7199999999993</v>
      </c>
      <c r="J164" s="963">
        <f t="shared" si="38"/>
        <v>4772.8</v>
      </c>
      <c r="K164" s="966">
        <f>SUM(K161:K163)</f>
        <v>3346.7</v>
      </c>
      <c r="L164" s="963">
        <f t="shared" si="38"/>
        <v>19867.120000000003</v>
      </c>
      <c r="M164" s="963">
        <f t="shared" si="38"/>
        <v>137132.88</v>
      </c>
    </row>
    <row r="165" spans="1:13" ht="18.75" x14ac:dyDescent="0.3">
      <c r="A165" s="958"/>
      <c r="B165" s="950"/>
      <c r="C165" s="960"/>
      <c r="D165" s="960"/>
      <c r="E165" s="951"/>
      <c r="F165" s="952"/>
      <c r="G165" s="953"/>
      <c r="H165" s="951"/>
      <c r="I165" s="951"/>
      <c r="J165" s="951"/>
      <c r="K165" s="954"/>
      <c r="L165" s="951"/>
      <c r="M165" s="953"/>
    </row>
    <row r="166" spans="1:13" ht="29.25" customHeight="1" x14ac:dyDescent="0.3">
      <c r="A166" s="982" t="s">
        <v>1138</v>
      </c>
      <c r="B166" s="950"/>
      <c r="C166" s="967"/>
      <c r="D166" s="967"/>
      <c r="E166" s="963"/>
      <c r="F166" s="964"/>
      <c r="G166" s="965"/>
      <c r="H166" s="963"/>
      <c r="I166" s="963"/>
      <c r="J166" s="963"/>
      <c r="K166" s="966"/>
      <c r="L166" s="963"/>
      <c r="M166" s="965"/>
    </row>
    <row r="167" spans="1:13" ht="18.75" x14ac:dyDescent="0.3">
      <c r="A167" s="958" t="s">
        <v>1640</v>
      </c>
      <c r="B167" s="950" t="s">
        <v>806</v>
      </c>
      <c r="C167" s="960" t="s">
        <v>417</v>
      </c>
      <c r="D167" s="960" t="s">
        <v>1069</v>
      </c>
      <c r="E167" s="951">
        <v>80000</v>
      </c>
      <c r="F167" s="952">
        <v>0</v>
      </c>
      <c r="G167" s="953">
        <v>80000</v>
      </c>
      <c r="H167" s="951">
        <v>2296</v>
      </c>
      <c r="I167" s="951">
        <v>7400.87</v>
      </c>
      <c r="J167" s="951">
        <v>2432</v>
      </c>
      <c r="K167" s="954">
        <v>728</v>
      </c>
      <c r="L167" s="951">
        <f>+H167+I167+J167+K167</f>
        <v>12856.869999999999</v>
      </c>
      <c r="M167" s="953">
        <f>+G167-L167</f>
        <v>67143.13</v>
      </c>
    </row>
    <row r="168" spans="1:13" ht="18.75" x14ac:dyDescent="0.3">
      <c r="A168" s="961" t="s">
        <v>847</v>
      </c>
      <c r="B168" s="950"/>
      <c r="C168" s="962">
        <v>1</v>
      </c>
      <c r="D168" s="962"/>
      <c r="E168" s="963">
        <f>SUM(E167:E167)</f>
        <v>80000</v>
      </c>
      <c r="F168" s="1071">
        <v>0</v>
      </c>
      <c r="G168" s="963">
        <f t="shared" ref="G168:M168" si="39">SUM(G167:G167)</f>
        <v>80000</v>
      </c>
      <c r="H168" s="963">
        <f t="shared" si="39"/>
        <v>2296</v>
      </c>
      <c r="I168" s="963">
        <f t="shared" si="39"/>
        <v>7400.87</v>
      </c>
      <c r="J168" s="963">
        <f t="shared" si="39"/>
        <v>2432</v>
      </c>
      <c r="K168" s="966">
        <f>SUM(K167:K167)</f>
        <v>728</v>
      </c>
      <c r="L168" s="963">
        <f t="shared" si="39"/>
        <v>12856.869999999999</v>
      </c>
      <c r="M168" s="963">
        <f t="shared" si="39"/>
        <v>67143.13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1"/>
      <c r="I169" s="951"/>
      <c r="J169" s="951"/>
      <c r="K169" s="954"/>
      <c r="L169" s="951"/>
      <c r="M169" s="953"/>
    </row>
    <row r="170" spans="1:13" ht="18.75" customHeight="1" x14ac:dyDescent="0.3">
      <c r="A170" s="982" t="s">
        <v>1195</v>
      </c>
      <c r="B170" s="950"/>
      <c r="C170" s="967"/>
      <c r="D170" s="967"/>
      <c r="E170" s="963"/>
      <c r="F170" s="964"/>
      <c r="G170" s="965"/>
      <c r="H170" s="963"/>
      <c r="I170" s="963"/>
      <c r="J170" s="963"/>
      <c r="K170" s="966"/>
      <c r="L170" s="963"/>
      <c r="M170" s="965"/>
    </row>
    <row r="171" spans="1:13" ht="18.75" x14ac:dyDescent="0.3">
      <c r="A171" s="955" t="s">
        <v>217</v>
      </c>
      <c r="B171" s="950" t="s">
        <v>807</v>
      </c>
      <c r="C171" s="960" t="s">
        <v>1734</v>
      </c>
      <c r="D171" s="960" t="s">
        <v>1069</v>
      </c>
      <c r="E171" s="951">
        <v>80000</v>
      </c>
      <c r="F171" s="952">
        <v>0</v>
      </c>
      <c r="G171" s="953">
        <v>80000</v>
      </c>
      <c r="H171" s="951">
        <v>2296</v>
      </c>
      <c r="I171" s="951">
        <v>7400.87</v>
      </c>
      <c r="J171" s="951">
        <v>2432</v>
      </c>
      <c r="K171" s="954">
        <v>3639.14</v>
      </c>
      <c r="L171" s="951">
        <f>+H171+I171+J171+K171</f>
        <v>15768.009999999998</v>
      </c>
      <c r="M171" s="953">
        <f>+G171-L171</f>
        <v>64231.990000000005</v>
      </c>
    </row>
    <row r="172" spans="1:13" ht="18.75" x14ac:dyDescent="0.3">
      <c r="A172" s="955" t="s">
        <v>1688</v>
      </c>
      <c r="B172" s="950" t="s">
        <v>806</v>
      </c>
      <c r="C172" s="960" t="s">
        <v>1683</v>
      </c>
      <c r="D172" s="960" t="s">
        <v>1069</v>
      </c>
      <c r="E172" s="951">
        <v>55000</v>
      </c>
      <c r="F172" s="974">
        <v>0</v>
      </c>
      <c r="G172" s="951">
        <v>55000</v>
      </c>
      <c r="H172" s="951">
        <v>1578.5</v>
      </c>
      <c r="I172" s="951">
        <v>2559.6799999999998</v>
      </c>
      <c r="J172" s="951">
        <v>1672</v>
      </c>
      <c r="K172" s="954">
        <v>1396.7</v>
      </c>
      <c r="L172" s="951">
        <f>+H172+I172+J172+K172</f>
        <v>7206.88</v>
      </c>
      <c r="M172" s="953">
        <f>+G172-L172</f>
        <v>47793.120000000003</v>
      </c>
    </row>
    <row r="173" spans="1:13" ht="18.75" x14ac:dyDescent="0.3">
      <c r="A173" s="961" t="s">
        <v>749</v>
      </c>
      <c r="B173" s="950"/>
      <c r="C173" s="962">
        <v>2</v>
      </c>
      <c r="D173" s="962"/>
      <c r="E173" s="963">
        <f>SUM(E171:E172)</f>
        <v>135000</v>
      </c>
      <c r="F173" s="964">
        <f t="shared" ref="F173:M173" si="40">SUM(F171:F172)</f>
        <v>0</v>
      </c>
      <c r="G173" s="965">
        <f t="shared" si="40"/>
        <v>135000</v>
      </c>
      <c r="H173" s="963">
        <f t="shared" si="40"/>
        <v>3874.5</v>
      </c>
      <c r="I173" s="963">
        <f t="shared" si="40"/>
        <v>9960.5499999999993</v>
      </c>
      <c r="J173" s="963">
        <f t="shared" si="40"/>
        <v>4104</v>
      </c>
      <c r="K173" s="966">
        <f>SUM(K171:K172)</f>
        <v>5035.84</v>
      </c>
      <c r="L173" s="963">
        <f t="shared" si="40"/>
        <v>22974.89</v>
      </c>
      <c r="M173" s="965">
        <f t="shared" si="40"/>
        <v>112025.11000000002</v>
      </c>
    </row>
    <row r="174" spans="1:13" ht="18.75" x14ac:dyDescent="0.3">
      <c r="A174" s="961"/>
      <c r="B174" s="950"/>
      <c r="C174" s="962"/>
      <c r="D174" s="962"/>
      <c r="E174" s="963"/>
      <c r="F174" s="964"/>
      <c r="G174" s="965"/>
      <c r="H174" s="963"/>
      <c r="I174" s="963"/>
      <c r="J174" s="963"/>
      <c r="K174" s="966"/>
      <c r="L174" s="963"/>
      <c r="M174" s="965"/>
    </row>
    <row r="175" spans="1:13" ht="18.75" x14ac:dyDescent="0.3">
      <c r="A175" s="982" t="s">
        <v>1421</v>
      </c>
      <c r="B175" s="950"/>
      <c r="C175" s="962"/>
      <c r="D175" s="962"/>
      <c r="E175" s="963"/>
      <c r="F175" s="964"/>
      <c r="G175" s="965"/>
      <c r="H175" s="963"/>
      <c r="I175" s="963"/>
      <c r="J175" s="963"/>
      <c r="K175" s="966"/>
      <c r="L175" s="963"/>
      <c r="M175" s="965"/>
    </row>
    <row r="176" spans="1:13" ht="18.75" x14ac:dyDescent="0.3">
      <c r="A176" s="1319" t="s">
        <v>1780</v>
      </c>
      <c r="B176" s="950" t="s">
        <v>806</v>
      </c>
      <c r="C176" s="1320" t="s">
        <v>551</v>
      </c>
      <c r="D176" s="960" t="s">
        <v>307</v>
      </c>
      <c r="E176" s="951">
        <v>43500</v>
      </c>
      <c r="F176" s="952">
        <v>0</v>
      </c>
      <c r="G176" s="953">
        <v>43500</v>
      </c>
      <c r="H176" s="951">
        <v>1248.45</v>
      </c>
      <c r="I176" s="951">
        <v>936.62</v>
      </c>
      <c r="J176" s="951">
        <v>1322.4</v>
      </c>
      <c r="K176" s="954">
        <v>25</v>
      </c>
      <c r="L176" s="951">
        <v>3532.47</v>
      </c>
      <c r="M176" s="953">
        <v>39967.53</v>
      </c>
    </row>
    <row r="177" spans="1:13" ht="18.75" x14ac:dyDescent="0.3">
      <c r="A177" s="961" t="s">
        <v>749</v>
      </c>
      <c r="B177" s="950"/>
      <c r="C177" s="962">
        <v>1</v>
      </c>
      <c r="D177" s="962"/>
      <c r="E177" s="963">
        <v>43500</v>
      </c>
      <c r="F177" s="964">
        <v>0</v>
      </c>
      <c r="G177" s="965">
        <v>43500</v>
      </c>
      <c r="H177" s="963">
        <v>1248.45</v>
      </c>
      <c r="I177" s="963">
        <v>936.62</v>
      </c>
      <c r="J177" s="963">
        <v>1322.4</v>
      </c>
      <c r="K177" s="966">
        <v>25</v>
      </c>
      <c r="L177" s="963">
        <v>3532.47</v>
      </c>
      <c r="M177" s="965">
        <v>39967.53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5"/>
      <c r="H178" s="963"/>
      <c r="I178" s="963"/>
      <c r="J178" s="963"/>
      <c r="K178" s="966"/>
      <c r="L178" s="963"/>
      <c r="M178" s="965"/>
    </row>
    <row r="179" spans="1:13" ht="18.75" x14ac:dyDescent="0.3">
      <c r="A179" s="961" t="s">
        <v>803</v>
      </c>
      <c r="B179" s="950"/>
      <c r="C179" s="967"/>
      <c r="D179" s="967"/>
      <c r="E179" s="963"/>
      <c r="F179" s="964"/>
      <c r="G179" s="965"/>
      <c r="H179" s="963"/>
      <c r="I179" s="963"/>
      <c r="J179" s="963"/>
      <c r="K179" s="966"/>
      <c r="L179" s="963"/>
      <c r="M179" s="965"/>
    </row>
    <row r="180" spans="1:13" ht="18.75" x14ac:dyDescent="0.3">
      <c r="A180" s="955" t="s">
        <v>1698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4">
        <v>25</v>
      </c>
      <c r="L180" s="951">
        <f t="shared" ref="L180:L184" si="41">+H180+I180+J180+K180</f>
        <v>3532.4700000000003</v>
      </c>
      <c r="M180" s="951">
        <f t="shared" ref="M180:M184" si="42">+G180-L180</f>
        <v>39967.53</v>
      </c>
    </row>
    <row r="181" spans="1:13" ht="18.75" x14ac:dyDescent="0.3">
      <c r="A181" s="955" t="s">
        <v>1699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4">
        <v>25</v>
      </c>
      <c r="L181" s="951">
        <f t="shared" si="41"/>
        <v>3532.4700000000003</v>
      </c>
      <c r="M181" s="951">
        <f t="shared" si="42"/>
        <v>39967.53</v>
      </c>
    </row>
    <row r="182" spans="1:13" ht="18.75" x14ac:dyDescent="0.3">
      <c r="A182" s="955" t="s">
        <v>1700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4">
        <v>25</v>
      </c>
      <c r="L182" s="951">
        <f t="shared" si="41"/>
        <v>3532.4700000000003</v>
      </c>
      <c r="M182" s="951">
        <f t="shared" si="42"/>
        <v>39967.53</v>
      </c>
    </row>
    <row r="183" spans="1:13" ht="16.5" customHeight="1" x14ac:dyDescent="0.3">
      <c r="A183" s="1069" t="s">
        <v>1701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974">
        <v>421.98</v>
      </c>
      <c r="J183" s="951">
        <v>1322.4</v>
      </c>
      <c r="K183" s="954">
        <v>4861.92</v>
      </c>
      <c r="L183" s="951">
        <f t="shared" si="41"/>
        <v>7854.75</v>
      </c>
      <c r="M183" s="951">
        <f t="shared" si="42"/>
        <v>35645.25</v>
      </c>
    </row>
    <row r="184" spans="1:13" ht="18.75" x14ac:dyDescent="0.3">
      <c r="A184" s="998" t="s">
        <v>1702</v>
      </c>
      <c r="B184" s="950" t="s">
        <v>1296</v>
      </c>
      <c r="C184" s="1024" t="s">
        <v>1325</v>
      </c>
      <c r="D184" s="960" t="s">
        <v>321</v>
      </c>
      <c r="E184" s="951">
        <v>43500</v>
      </c>
      <c r="F184" s="952">
        <v>0</v>
      </c>
      <c r="G184" s="953">
        <v>43500</v>
      </c>
      <c r="H184" s="951">
        <v>1248.45</v>
      </c>
      <c r="I184" s="974">
        <v>936.62</v>
      </c>
      <c r="J184" s="951">
        <v>1322.4</v>
      </c>
      <c r="K184" s="954">
        <v>25</v>
      </c>
      <c r="L184" s="951">
        <f t="shared" si="41"/>
        <v>3532.4700000000003</v>
      </c>
      <c r="M184" s="951">
        <f t="shared" si="42"/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217500</v>
      </c>
      <c r="F185" s="964">
        <v>0</v>
      </c>
      <c r="G185" s="963">
        <f t="shared" ref="G185:M185" si="43">SUM(G180:G184)</f>
        <v>217500</v>
      </c>
      <c r="H185" s="963">
        <f t="shared" si="43"/>
        <v>6242.25</v>
      </c>
      <c r="I185" s="963">
        <f t="shared" si="43"/>
        <v>4168.46</v>
      </c>
      <c r="J185" s="963">
        <f t="shared" si="43"/>
        <v>6612</v>
      </c>
      <c r="K185" s="966">
        <f>SUM(K180:K184)</f>
        <v>4961.92</v>
      </c>
      <c r="L185" s="963">
        <f t="shared" si="43"/>
        <v>21984.63</v>
      </c>
      <c r="M185" s="963">
        <f t="shared" si="43"/>
        <v>195515.37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3"/>
      <c r="J186" s="963"/>
      <c r="K186" s="966"/>
      <c r="L186" s="963"/>
      <c r="M186" s="963"/>
    </row>
    <row r="187" spans="1:13" ht="18.75" x14ac:dyDescent="0.3">
      <c r="A187" s="961" t="s">
        <v>1490</v>
      </c>
      <c r="B187" s="950"/>
      <c r="C187" s="962"/>
      <c r="D187" s="962"/>
      <c r="E187" s="963"/>
      <c r="F187" s="964"/>
      <c r="G187" s="963"/>
      <c r="H187" s="963"/>
      <c r="I187" s="963"/>
      <c r="J187" s="963"/>
      <c r="K187" s="966"/>
      <c r="L187" s="963"/>
      <c r="M187" s="963"/>
    </row>
    <row r="188" spans="1:13" ht="21" customHeight="1" x14ac:dyDescent="0.3">
      <c r="A188" s="1069" t="s">
        <v>1386</v>
      </c>
      <c r="B188" s="950" t="s">
        <v>806</v>
      </c>
      <c r="C188" s="1024" t="s">
        <v>1325</v>
      </c>
      <c r="D188" s="960" t="s">
        <v>321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4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1704</v>
      </c>
      <c r="B189" s="950" t="s">
        <v>806</v>
      </c>
      <c r="C189" s="1024" t="s">
        <v>1325</v>
      </c>
      <c r="D189" s="960" t="s">
        <v>307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4">
        <v>25</v>
      </c>
      <c r="L189" s="951">
        <f>+H189+I189+J189+K189</f>
        <v>3532.4700000000003</v>
      </c>
      <c r="M189" s="951">
        <f>+G189-L189</f>
        <v>39967.53</v>
      </c>
    </row>
    <row r="190" spans="1:13" ht="21" customHeight="1" x14ac:dyDescent="0.3">
      <c r="A190" s="1069" t="s">
        <v>1328</v>
      </c>
      <c r="B190" s="950" t="s">
        <v>1296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974">
        <v>936.62</v>
      </c>
      <c r="J190" s="951">
        <v>1322.4</v>
      </c>
      <c r="K190" s="954">
        <v>25</v>
      </c>
      <c r="L190" s="951">
        <f>+H190+I190+J190+K190</f>
        <v>3532.4700000000003</v>
      </c>
      <c r="M190" s="951">
        <f>+G190-L190</f>
        <v>39967.53</v>
      </c>
    </row>
    <row r="191" spans="1:13" ht="18.75" x14ac:dyDescent="0.3">
      <c r="A191" s="1027" t="s">
        <v>1705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4">
        <v>25</v>
      </c>
      <c r="L191" s="1032">
        <v>3532.4700000000003</v>
      </c>
      <c r="M191" s="1032">
        <v>39967.53</v>
      </c>
    </row>
    <row r="192" spans="1:13" ht="18.75" x14ac:dyDescent="0.3">
      <c r="A192" s="1027" t="s">
        <v>1781</v>
      </c>
      <c r="B192" s="950" t="s">
        <v>807</v>
      </c>
      <c r="C192" s="1024" t="s">
        <v>1325</v>
      </c>
      <c r="D192" s="960" t="s">
        <v>307</v>
      </c>
      <c r="E192" s="951">
        <v>43500</v>
      </c>
      <c r="F192" s="974">
        <v>0</v>
      </c>
      <c r="G192" s="1032">
        <v>43500</v>
      </c>
      <c r="H192" s="951">
        <v>1248.45</v>
      </c>
      <c r="I192" s="1036">
        <v>936.62</v>
      </c>
      <c r="J192" s="951">
        <v>1322.4</v>
      </c>
      <c r="K192" s="954">
        <v>25</v>
      </c>
      <c r="L192" s="1032">
        <v>3532.4700000000003</v>
      </c>
      <c r="M192" s="1032">
        <v>39967.53</v>
      </c>
    </row>
    <row r="193" spans="1:13" ht="18.75" x14ac:dyDescent="0.3">
      <c r="A193" s="961" t="s">
        <v>847</v>
      </c>
      <c r="B193" s="950"/>
      <c r="C193" s="962">
        <v>5</v>
      </c>
      <c r="D193" s="962"/>
      <c r="E193" s="963">
        <f>SUM(E188:E192)</f>
        <v>217500</v>
      </c>
      <c r="F193" s="964">
        <v>0</v>
      </c>
      <c r="G193" s="963">
        <f t="shared" ref="G193:M193" si="44">SUM(G188:G192)</f>
        <v>217500</v>
      </c>
      <c r="H193" s="963">
        <f t="shared" si="44"/>
        <v>6242.25</v>
      </c>
      <c r="I193" s="963">
        <f t="shared" si="44"/>
        <v>4683.1000000000004</v>
      </c>
      <c r="J193" s="963">
        <f t="shared" si="44"/>
        <v>6612</v>
      </c>
      <c r="K193" s="966">
        <f>SUM(K188:K192)</f>
        <v>125</v>
      </c>
      <c r="L193" s="963">
        <f t="shared" si="44"/>
        <v>17662.350000000002</v>
      </c>
      <c r="M193" s="963">
        <f t="shared" si="44"/>
        <v>199837.65</v>
      </c>
    </row>
    <row r="194" spans="1:13" ht="18.75" x14ac:dyDescent="0.3">
      <c r="A194" s="961"/>
      <c r="B194" s="950"/>
      <c r="C194" s="962"/>
      <c r="D194" s="962"/>
      <c r="E194" s="963"/>
      <c r="F194" s="964"/>
      <c r="G194" s="963"/>
      <c r="H194" s="963"/>
      <c r="I194" s="963"/>
      <c r="J194" s="963"/>
      <c r="K194" s="966"/>
      <c r="L194" s="963"/>
      <c r="M194" s="963"/>
    </row>
    <row r="195" spans="1:13" ht="18.75" x14ac:dyDescent="0.3">
      <c r="A195" s="961" t="s">
        <v>1221</v>
      </c>
      <c r="B195" s="950"/>
      <c r="C195" s="967"/>
      <c r="D195" s="967"/>
      <c r="E195" s="963"/>
      <c r="F195" s="964"/>
      <c r="G195" s="965"/>
      <c r="H195" s="963"/>
      <c r="I195" s="963"/>
      <c r="J195" s="963"/>
      <c r="K195" s="966"/>
      <c r="L195" s="963"/>
      <c r="M195" s="965"/>
    </row>
    <row r="196" spans="1:13" ht="18.75" x14ac:dyDescent="0.3">
      <c r="A196" s="961" t="s">
        <v>1739</v>
      </c>
      <c r="B196" s="950"/>
      <c r="C196" s="1026"/>
      <c r="D196" s="960"/>
      <c r="E196" s="951"/>
      <c r="F196" s="974"/>
      <c r="G196" s="1032"/>
      <c r="H196" s="951"/>
      <c r="I196" s="1036"/>
      <c r="J196" s="951"/>
      <c r="K196" s="1393"/>
      <c r="L196" s="1032"/>
      <c r="M196" s="1032"/>
    </row>
    <row r="197" spans="1:13" ht="18.75" x14ac:dyDescent="0.3">
      <c r="A197" s="1027" t="s">
        <v>1478</v>
      </c>
      <c r="B197" s="950" t="s">
        <v>806</v>
      </c>
      <c r="C197" s="1024" t="s">
        <v>1706</v>
      </c>
      <c r="D197" s="960" t="s">
        <v>1069</v>
      </c>
      <c r="E197" s="951">
        <v>120000</v>
      </c>
      <c r="F197" s="974">
        <v>0</v>
      </c>
      <c r="G197" s="1032">
        <v>120000</v>
      </c>
      <c r="H197" s="951">
        <v>3444</v>
      </c>
      <c r="I197" s="1032">
        <v>16809.87</v>
      </c>
      <c r="J197" s="951">
        <v>3648</v>
      </c>
      <c r="K197" s="1393">
        <v>25</v>
      </c>
      <c r="L197" s="1032">
        <f>+H197+I197+J197+K197</f>
        <v>23926.87</v>
      </c>
      <c r="M197" s="1032">
        <f t="shared" ref="M197:M203" si="45">+G197-L197</f>
        <v>96073.13</v>
      </c>
    </row>
    <row r="198" spans="1:13" ht="18.75" x14ac:dyDescent="0.3">
      <c r="A198" s="1027" t="s">
        <v>244</v>
      </c>
      <c r="B198" s="950" t="s">
        <v>806</v>
      </c>
      <c r="C198" s="1024" t="s">
        <v>489</v>
      </c>
      <c r="D198" s="960" t="s">
        <v>1064</v>
      </c>
      <c r="E198" s="951">
        <v>80000</v>
      </c>
      <c r="F198" s="974">
        <v>0</v>
      </c>
      <c r="G198" s="1032">
        <v>80000</v>
      </c>
      <c r="H198" s="951">
        <v>2296</v>
      </c>
      <c r="I198" s="1032">
        <v>7400.87</v>
      </c>
      <c r="J198" s="951">
        <v>2432</v>
      </c>
      <c r="K198" s="1393">
        <v>25</v>
      </c>
      <c r="L198" s="1032">
        <f>+H198+I198+J198+K198</f>
        <v>12153.869999999999</v>
      </c>
      <c r="M198" s="1032">
        <f t="shared" si="45"/>
        <v>67846.13</v>
      </c>
    </row>
    <row r="199" spans="1:13" ht="18.75" x14ac:dyDescent="0.3">
      <c r="A199" s="1027" t="s">
        <v>84</v>
      </c>
      <c r="B199" s="950" t="s">
        <v>806</v>
      </c>
      <c r="C199" s="1024" t="s">
        <v>417</v>
      </c>
      <c r="D199" s="960" t="s">
        <v>307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5368.48</v>
      </c>
      <c r="J199" s="951">
        <v>2128</v>
      </c>
      <c r="K199" s="1393">
        <v>25</v>
      </c>
      <c r="L199" s="1032">
        <f>+H199+I199+J199+K199</f>
        <v>9530.48</v>
      </c>
      <c r="M199" s="1032">
        <f t="shared" si="45"/>
        <v>60469.520000000004</v>
      </c>
    </row>
    <row r="200" spans="1:13" ht="18.75" x14ac:dyDescent="0.3">
      <c r="A200" s="1027" t="s">
        <v>94</v>
      </c>
      <c r="B200" s="950" t="s">
        <v>807</v>
      </c>
      <c r="C200" s="1024" t="s">
        <v>417</v>
      </c>
      <c r="D200" s="960" t="s">
        <v>1069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5025.38</v>
      </c>
      <c r="J200" s="951">
        <v>2128</v>
      </c>
      <c r="K200" s="954">
        <v>1740.46</v>
      </c>
      <c r="L200" s="1032">
        <v>10902.84</v>
      </c>
      <c r="M200" s="1032">
        <f t="shared" si="45"/>
        <v>59097.16</v>
      </c>
    </row>
    <row r="201" spans="1:13" ht="18.75" x14ac:dyDescent="0.3">
      <c r="A201" s="1027" t="s">
        <v>156</v>
      </c>
      <c r="B201" s="950" t="s">
        <v>806</v>
      </c>
      <c r="C201" s="1024" t="s">
        <v>1773</v>
      </c>
      <c r="D201" s="960" t="s">
        <v>1069</v>
      </c>
      <c r="E201" s="951">
        <v>80000</v>
      </c>
      <c r="F201" s="974">
        <v>0</v>
      </c>
      <c r="G201" s="951">
        <v>80000</v>
      </c>
      <c r="H201" s="951">
        <v>2296</v>
      </c>
      <c r="I201" s="1032">
        <v>6972</v>
      </c>
      <c r="J201" s="951">
        <v>2432</v>
      </c>
      <c r="K201" s="954">
        <v>1740.46</v>
      </c>
      <c r="L201" s="1032">
        <f>+H201+I201+J201+K201</f>
        <v>13440.46</v>
      </c>
      <c r="M201" s="1032">
        <f t="shared" si="45"/>
        <v>66559.540000000008</v>
      </c>
    </row>
    <row r="202" spans="1:13" ht="18.75" x14ac:dyDescent="0.3">
      <c r="A202" s="1028" t="s">
        <v>177</v>
      </c>
      <c r="B202" s="1001" t="s">
        <v>807</v>
      </c>
      <c r="C202" s="1025" t="s">
        <v>1204</v>
      </c>
      <c r="D202" s="1024" t="s">
        <v>1069</v>
      </c>
      <c r="E202" s="951">
        <v>55000</v>
      </c>
      <c r="F202" s="974">
        <v>0</v>
      </c>
      <c r="G202" s="1032">
        <v>55000</v>
      </c>
      <c r="H202" s="956">
        <v>1578.5</v>
      </c>
      <c r="I202" s="1275">
        <v>2559.6799999999998</v>
      </c>
      <c r="J202" s="951">
        <v>1672</v>
      </c>
      <c r="K202" s="987">
        <v>2097.1999999999998</v>
      </c>
      <c r="L202" s="1032">
        <f>+H202+I202+J202+K202</f>
        <v>7907.38</v>
      </c>
      <c r="M202" s="1032">
        <f t="shared" si="45"/>
        <v>47092.62</v>
      </c>
    </row>
    <row r="203" spans="1:13" ht="18.75" x14ac:dyDescent="0.3">
      <c r="A203" s="955" t="s">
        <v>1710</v>
      </c>
      <c r="B203" s="968" t="s">
        <v>807</v>
      </c>
      <c r="C203" s="960" t="s">
        <v>521</v>
      </c>
      <c r="D203" s="960" t="s">
        <v>307</v>
      </c>
      <c r="E203" s="951">
        <v>43500</v>
      </c>
      <c r="F203" s="974">
        <v>0</v>
      </c>
      <c r="G203" s="951">
        <v>43500</v>
      </c>
      <c r="H203" s="951">
        <v>1248.45</v>
      </c>
      <c r="I203" s="974">
        <v>679.3</v>
      </c>
      <c r="J203" s="951">
        <v>1322.4</v>
      </c>
      <c r="K203" s="954">
        <v>1740.46</v>
      </c>
      <c r="L203" s="951">
        <f>+H203+I203+J203+K203</f>
        <v>4990.6100000000006</v>
      </c>
      <c r="M203" s="951">
        <f t="shared" si="45"/>
        <v>38509.39</v>
      </c>
    </row>
    <row r="204" spans="1:13" ht="18.75" x14ac:dyDescent="0.3">
      <c r="A204" s="1027" t="s">
        <v>1717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1393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1718</v>
      </c>
      <c r="B205" s="950" t="s">
        <v>806</v>
      </c>
      <c r="C205" s="1024" t="s">
        <v>1332</v>
      </c>
      <c r="D205" s="960" t="s">
        <v>321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936.62</v>
      </c>
      <c r="J205" s="951">
        <v>1322.4</v>
      </c>
      <c r="K205" s="1393">
        <v>25</v>
      </c>
      <c r="L205" s="1032">
        <f>+H205+I205+J205+K205</f>
        <v>3532.4700000000003</v>
      </c>
      <c r="M205" s="1032">
        <f t="shared" ref="M205:M210" si="46">+G205-L205</f>
        <v>39967.53</v>
      </c>
    </row>
    <row r="206" spans="1:13" ht="18.75" x14ac:dyDescent="0.3">
      <c r="A206" s="1027" t="s">
        <v>1721</v>
      </c>
      <c r="B206" s="950" t="s">
        <v>807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1393">
        <v>25</v>
      </c>
      <c r="L206" s="1032">
        <f>+H206+I206+J206+K206</f>
        <v>1502.5</v>
      </c>
      <c r="M206" s="1032">
        <f t="shared" si="46"/>
        <v>23497.5</v>
      </c>
    </row>
    <row r="207" spans="1:13" ht="18.75" x14ac:dyDescent="0.3">
      <c r="A207" s="1027" t="s">
        <v>1722</v>
      </c>
      <c r="B207" s="950" t="s">
        <v>1151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1393">
        <v>25</v>
      </c>
      <c r="L207" s="1032">
        <f>+H207+I207+J207+K207</f>
        <v>1502.5</v>
      </c>
      <c r="M207" s="1032">
        <f t="shared" si="46"/>
        <v>23497.5</v>
      </c>
    </row>
    <row r="208" spans="1:13" ht="18.75" x14ac:dyDescent="0.3">
      <c r="A208" s="1024" t="s">
        <v>830</v>
      </c>
      <c r="B208" s="950" t="s">
        <v>806</v>
      </c>
      <c r="C208" s="1026" t="s">
        <v>92</v>
      </c>
      <c r="D208" s="960" t="s">
        <v>1067</v>
      </c>
      <c r="E208" s="978">
        <v>30000</v>
      </c>
      <c r="F208" s="979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1393">
        <v>25</v>
      </c>
      <c r="L208" s="1032">
        <f>+H208+I208+J208+K208</f>
        <v>1798</v>
      </c>
      <c r="M208" s="1032">
        <f t="shared" si="46"/>
        <v>28202</v>
      </c>
    </row>
    <row r="209" spans="1:13" ht="18.75" x14ac:dyDescent="0.3">
      <c r="A209" s="1027" t="s">
        <v>1723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1393">
        <v>25</v>
      </c>
      <c r="L209" s="1032">
        <f>+H209+I209+J209+K209</f>
        <v>1798</v>
      </c>
      <c r="M209" s="1032">
        <f t="shared" si="46"/>
        <v>28202</v>
      </c>
    </row>
    <row r="210" spans="1:13" ht="18.75" x14ac:dyDescent="0.3">
      <c r="A210" s="1027" t="s">
        <v>1729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4">
        <v>1740.46</v>
      </c>
      <c r="L210" s="1032">
        <v>3513.46</v>
      </c>
      <c r="M210" s="1032">
        <f t="shared" si="46"/>
        <v>26486.54</v>
      </c>
    </row>
    <row r="211" spans="1:13" ht="18.75" x14ac:dyDescent="0.3">
      <c r="A211" s="949" t="s">
        <v>847</v>
      </c>
      <c r="B211" s="999"/>
      <c r="C211" s="962">
        <v>14</v>
      </c>
      <c r="D211" s="962"/>
      <c r="E211" s="963">
        <f>SUM(E197:E210)</f>
        <v>745500</v>
      </c>
      <c r="F211" s="964">
        <v>0</v>
      </c>
      <c r="G211" s="963">
        <f t="shared" ref="G211:M211" si="47">SUM(G197:G210)</f>
        <v>745500</v>
      </c>
      <c r="H211" s="963">
        <f t="shared" si="47"/>
        <v>21395.850000000002</v>
      </c>
      <c r="I211" s="963">
        <f t="shared" si="47"/>
        <v>46688.820000000007</v>
      </c>
      <c r="J211" s="963">
        <f t="shared" si="47"/>
        <v>22663.200000000001</v>
      </c>
      <c r="K211" s="966">
        <f>SUM(K197:K210)</f>
        <v>9284.0400000000009</v>
      </c>
      <c r="L211" s="963">
        <f t="shared" si="47"/>
        <v>100031.91</v>
      </c>
      <c r="M211" s="963">
        <f t="shared" si="47"/>
        <v>645468.0900000002</v>
      </c>
    </row>
    <row r="212" spans="1:13" ht="18.75" x14ac:dyDescent="0.3">
      <c r="A212" s="949"/>
      <c r="B212" s="999"/>
      <c r="C212" s="962"/>
      <c r="D212" s="962"/>
      <c r="E212" s="963"/>
      <c r="G212" s="963"/>
      <c r="H212" s="963"/>
      <c r="I212" s="963"/>
      <c r="J212" s="963"/>
      <c r="K212" s="966"/>
      <c r="L212" s="963"/>
      <c r="M212" s="963"/>
    </row>
    <row r="213" spans="1:13" ht="18.75" x14ac:dyDescent="0.3">
      <c r="A213" s="961" t="s">
        <v>1774</v>
      </c>
      <c r="B213" s="950"/>
      <c r="C213" s="967"/>
      <c r="D213" s="967"/>
      <c r="E213" s="963"/>
      <c r="F213" s="964"/>
      <c r="G213" s="965"/>
      <c r="H213" s="963"/>
      <c r="I213" s="963"/>
      <c r="J213" s="963"/>
      <c r="K213" s="966"/>
      <c r="L213" s="963"/>
      <c r="M213" s="965"/>
    </row>
    <row r="214" spans="1:13" ht="18.75" x14ac:dyDescent="0.3">
      <c r="A214" s="1027" t="s">
        <v>1707</v>
      </c>
      <c r="B214" s="950" t="s">
        <v>806</v>
      </c>
      <c r="C214" s="1024" t="s">
        <v>1708</v>
      </c>
      <c r="D214" s="960" t="s">
        <v>1069</v>
      </c>
      <c r="E214" s="951">
        <v>120000</v>
      </c>
      <c r="F214" s="974">
        <v>0</v>
      </c>
      <c r="G214" s="1032">
        <v>120000</v>
      </c>
      <c r="H214" s="951">
        <v>3444</v>
      </c>
      <c r="I214" s="1032">
        <v>16809.87</v>
      </c>
      <c r="J214" s="951">
        <v>3648</v>
      </c>
      <c r="K214" s="954">
        <v>25</v>
      </c>
      <c r="L214" s="1032">
        <f>+H214+I214+J214+K214</f>
        <v>23926.87</v>
      </c>
      <c r="M214" s="1031">
        <f>+G214-L214</f>
        <v>96073.13</v>
      </c>
    </row>
    <row r="215" spans="1:13" ht="18.75" x14ac:dyDescent="0.3">
      <c r="A215" s="1027" t="s">
        <v>1709</v>
      </c>
      <c r="B215" s="950" t="s">
        <v>807</v>
      </c>
      <c r="C215" s="1024" t="s">
        <v>417</v>
      </c>
      <c r="D215" s="960" t="s">
        <v>1069</v>
      </c>
      <c r="E215" s="951">
        <v>80000</v>
      </c>
      <c r="F215" s="974">
        <v>0</v>
      </c>
      <c r="G215" s="951">
        <v>80000</v>
      </c>
      <c r="H215" s="951">
        <v>2296</v>
      </c>
      <c r="I215" s="1032">
        <v>6564.09</v>
      </c>
      <c r="J215" s="951">
        <v>2432</v>
      </c>
      <c r="K215" s="954">
        <v>4158.92</v>
      </c>
      <c r="L215" s="1032">
        <f>+H215+I215+J215+K215</f>
        <v>15451.01</v>
      </c>
      <c r="M215" s="1031">
        <f>+G215-L215</f>
        <v>64548.99</v>
      </c>
    </row>
    <row r="216" spans="1:13" ht="18.75" x14ac:dyDescent="0.3">
      <c r="A216" s="1027" t="s">
        <v>1713</v>
      </c>
      <c r="B216" s="950" t="s">
        <v>807</v>
      </c>
      <c r="C216" s="1024" t="s">
        <v>276</v>
      </c>
      <c r="D216" s="960" t="s">
        <v>307</v>
      </c>
      <c r="E216" s="951">
        <v>37500</v>
      </c>
      <c r="F216" s="974">
        <v>0</v>
      </c>
      <c r="G216" s="1032">
        <v>37500</v>
      </c>
      <c r="H216" s="951">
        <v>1076.25</v>
      </c>
      <c r="I216" s="1036">
        <v>89.81</v>
      </c>
      <c r="J216" s="951">
        <v>1140</v>
      </c>
      <c r="K216" s="954">
        <v>25</v>
      </c>
      <c r="L216" s="1032">
        <f>+H216+I216+J216+K216</f>
        <v>2331.06</v>
      </c>
      <c r="M216" s="1032">
        <f>+G216-L216</f>
        <v>35168.94</v>
      </c>
    </row>
    <row r="217" spans="1:13" ht="18.75" x14ac:dyDescent="0.3">
      <c r="A217" s="1027" t="s">
        <v>1329</v>
      </c>
      <c r="B217" s="950" t="s">
        <v>1330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4">
        <v>25</v>
      </c>
      <c r="L217" s="1032">
        <f>+H217+I217+J217+K217</f>
        <v>3532.4700000000003</v>
      </c>
      <c r="M217" s="1032">
        <f>+G217-L217</f>
        <v>39967.53</v>
      </c>
    </row>
    <row r="218" spans="1:13" ht="18" customHeight="1" x14ac:dyDescent="0.3">
      <c r="A218" s="1027" t="s">
        <v>1716</v>
      </c>
      <c r="B218" s="950" t="s">
        <v>806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036">
        <v>936.62</v>
      </c>
      <c r="J218" s="951">
        <v>1322.4</v>
      </c>
      <c r="K218" s="954">
        <v>25</v>
      </c>
      <c r="L218" s="1032">
        <v>3532.4700000000003</v>
      </c>
      <c r="M218" s="1032">
        <v>39967.53</v>
      </c>
    </row>
    <row r="219" spans="1:13" ht="18.75" x14ac:dyDescent="0.3">
      <c r="A219" s="1027" t="s">
        <v>698</v>
      </c>
      <c r="B219" s="950" t="s">
        <v>807</v>
      </c>
      <c r="C219" s="1024" t="s">
        <v>105</v>
      </c>
      <c r="D219" s="960" t="s">
        <v>1067</v>
      </c>
      <c r="E219" s="951">
        <v>25000</v>
      </c>
      <c r="F219" s="974">
        <v>0</v>
      </c>
      <c r="G219" s="1032">
        <v>25000</v>
      </c>
      <c r="H219" s="951">
        <v>717.5</v>
      </c>
      <c r="I219" s="1036">
        <v>0</v>
      </c>
      <c r="J219" s="951">
        <v>760</v>
      </c>
      <c r="K219" s="954">
        <v>25</v>
      </c>
      <c r="L219" s="1032">
        <f>+H219+I219+J219+K219</f>
        <v>1502.5</v>
      </c>
      <c r="M219" s="1032">
        <f>+G219-L219</f>
        <v>23497.5</v>
      </c>
    </row>
    <row r="220" spans="1:13" ht="18.75" x14ac:dyDescent="0.3">
      <c r="A220" s="1027" t="s">
        <v>1725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4">
        <v>2134</v>
      </c>
      <c r="L220" s="1032">
        <f>+H220+I220+J220+K220</f>
        <v>3907</v>
      </c>
      <c r="M220" s="1032">
        <f>+G220-L220</f>
        <v>26093</v>
      </c>
    </row>
    <row r="221" spans="1:13" ht="17.25" customHeight="1" x14ac:dyDescent="0.3">
      <c r="A221" s="1027" t="s">
        <v>1727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4">
        <v>25</v>
      </c>
      <c r="L221" s="1032">
        <f>+H221+I221+J221+K221</f>
        <v>1798</v>
      </c>
      <c r="M221" s="1032">
        <f>+G221-L221</f>
        <v>28202</v>
      </c>
    </row>
    <row r="222" spans="1:13" ht="18.75" x14ac:dyDescent="0.3">
      <c r="A222" s="1027" t="s">
        <v>1730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4">
        <v>25</v>
      </c>
      <c r="L222" s="1032">
        <v>1798</v>
      </c>
      <c r="M222" s="1032">
        <f>+G222-L222</f>
        <v>28202</v>
      </c>
    </row>
    <row r="223" spans="1:13" ht="18.75" x14ac:dyDescent="0.3">
      <c r="A223" s="961" t="s">
        <v>847</v>
      </c>
      <c r="B223" s="950"/>
      <c r="C223" s="962">
        <v>9</v>
      </c>
      <c r="D223" s="960"/>
      <c r="E223" s="963">
        <f>SUM(E214:E222)</f>
        <v>439500</v>
      </c>
      <c r="F223" s="964">
        <v>0</v>
      </c>
      <c r="G223" s="963">
        <f>SUM(G214:G222)</f>
        <v>439500</v>
      </c>
      <c r="H223" s="963">
        <f t="shared" ref="H223:M223" si="48">SUM(H214:H222)</f>
        <v>12613.65</v>
      </c>
      <c r="I223" s="963">
        <f t="shared" si="48"/>
        <v>25337.01</v>
      </c>
      <c r="J223" s="963">
        <f t="shared" si="48"/>
        <v>13360.8</v>
      </c>
      <c r="K223" s="966">
        <f>SUM(K214:K222)</f>
        <v>6467.92</v>
      </c>
      <c r="L223" s="963">
        <f t="shared" si="48"/>
        <v>57779.38</v>
      </c>
      <c r="M223" s="963">
        <f t="shared" si="48"/>
        <v>381720.62</v>
      </c>
    </row>
    <row r="224" spans="1:13" ht="18.75" x14ac:dyDescent="0.3">
      <c r="A224" s="961"/>
      <c r="B224" s="950"/>
      <c r="C224" s="962"/>
      <c r="D224" s="960"/>
      <c r="F224" s="974"/>
      <c r="G224" s="1032"/>
      <c r="H224" s="951"/>
      <c r="I224" s="1036"/>
      <c r="J224" s="951"/>
      <c r="K224" s="954"/>
      <c r="L224" s="1032"/>
      <c r="M224" s="1032"/>
    </row>
    <row r="225" spans="1:13" ht="18.75" x14ac:dyDescent="0.3">
      <c r="A225" s="961" t="s">
        <v>1775</v>
      </c>
      <c r="B225" s="950"/>
      <c r="C225" s="1026"/>
      <c r="D225" s="960"/>
      <c r="E225" s="951"/>
      <c r="F225" s="974"/>
      <c r="G225" s="1032"/>
      <c r="H225" s="951"/>
      <c r="I225" s="1036"/>
      <c r="J225" s="951"/>
      <c r="K225" s="954"/>
      <c r="L225" s="1032"/>
      <c r="M225" s="1032"/>
    </row>
    <row r="226" spans="1:13" ht="18.75" x14ac:dyDescent="0.3">
      <c r="A226" s="1027" t="s">
        <v>1712</v>
      </c>
      <c r="B226" s="950" t="s">
        <v>807</v>
      </c>
      <c r="C226" s="1024" t="s">
        <v>276</v>
      </c>
      <c r="D226" s="960" t="s">
        <v>307</v>
      </c>
      <c r="E226" s="951">
        <v>37500</v>
      </c>
      <c r="F226" s="974">
        <v>0</v>
      </c>
      <c r="G226" s="1032">
        <v>37500</v>
      </c>
      <c r="H226" s="951">
        <v>1076.25</v>
      </c>
      <c r="I226" s="1036">
        <v>89.81</v>
      </c>
      <c r="J226" s="951">
        <v>1140</v>
      </c>
      <c r="K226" s="954">
        <v>25</v>
      </c>
      <c r="L226" s="1032">
        <f>+H226+I226+J226+K226</f>
        <v>2331.06</v>
      </c>
      <c r="M226" s="1032">
        <f>+G226-L226</f>
        <v>35168.94</v>
      </c>
    </row>
    <row r="227" spans="1:13" ht="18.75" x14ac:dyDescent="0.3">
      <c r="A227" s="1027" t="s">
        <v>1715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4">
        <v>25</v>
      </c>
      <c r="L227" s="1032">
        <f>+H227+I227+J227+K227</f>
        <v>3532.4700000000003</v>
      </c>
      <c r="M227" s="1032">
        <f>+G227-L227</f>
        <v>39967.53</v>
      </c>
    </row>
    <row r="228" spans="1:13" ht="18.75" x14ac:dyDescent="0.3">
      <c r="A228" s="1027" t="s">
        <v>1336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036">
        <v>936.62</v>
      </c>
      <c r="J228" s="951">
        <v>1322.4</v>
      </c>
      <c r="K228" s="954">
        <v>25</v>
      </c>
      <c r="L228" s="1032">
        <v>3532.4700000000003</v>
      </c>
      <c r="M228" s="1032">
        <v>39967.53</v>
      </c>
    </row>
    <row r="229" spans="1:13" ht="18.75" x14ac:dyDescent="0.3">
      <c r="A229" s="1027" t="s">
        <v>1719</v>
      </c>
      <c r="B229" s="999" t="s">
        <v>807</v>
      </c>
      <c r="C229" s="1024" t="s">
        <v>105</v>
      </c>
      <c r="D229" s="960" t="s">
        <v>1067</v>
      </c>
      <c r="E229" s="951">
        <v>25000</v>
      </c>
      <c r="F229" s="974">
        <v>0</v>
      </c>
      <c r="G229" s="1032">
        <v>25000</v>
      </c>
      <c r="H229" s="951">
        <v>717.5</v>
      </c>
      <c r="I229" s="1036">
        <v>0</v>
      </c>
      <c r="J229" s="951">
        <v>760</v>
      </c>
      <c r="K229" s="954">
        <v>25</v>
      </c>
      <c r="L229" s="1032">
        <f>+H229+I229+J229+K229</f>
        <v>1502.5</v>
      </c>
      <c r="M229" s="1032">
        <f>+G229-L229</f>
        <v>23497.5</v>
      </c>
    </row>
    <row r="230" spans="1:13" ht="18.75" x14ac:dyDescent="0.3">
      <c r="A230" s="1027" t="s">
        <v>1726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4">
        <v>25</v>
      </c>
      <c r="L230" s="1032">
        <f>+H230+I230+J230+K230</f>
        <v>1798</v>
      </c>
      <c r="M230" s="1032">
        <f>+G230-L230</f>
        <v>28202</v>
      </c>
    </row>
    <row r="231" spans="1:13" ht="18.75" x14ac:dyDescent="0.3">
      <c r="A231" s="1027" t="s">
        <v>1728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4">
        <v>25</v>
      </c>
      <c r="L231" s="1032">
        <v>1798</v>
      </c>
      <c r="M231" s="1032">
        <f>+G231-L231</f>
        <v>28202</v>
      </c>
    </row>
    <row r="232" spans="1:13" ht="18.75" x14ac:dyDescent="0.3">
      <c r="A232" s="1027" t="s">
        <v>1731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036">
        <v>0</v>
      </c>
      <c r="J232" s="951">
        <v>912</v>
      </c>
      <c r="K232" s="954">
        <v>25</v>
      </c>
      <c r="L232" s="1032">
        <v>1798</v>
      </c>
      <c r="M232" s="1032">
        <f>+G232-L232</f>
        <v>28202</v>
      </c>
    </row>
    <row r="233" spans="1:13" ht="18.75" x14ac:dyDescent="0.3">
      <c r="A233" s="961" t="s">
        <v>847</v>
      </c>
      <c r="B233" s="950"/>
      <c r="C233" s="962">
        <v>7</v>
      </c>
      <c r="D233" s="960"/>
      <c r="E233" s="963">
        <f>SUM(E226:E232)</f>
        <v>239500</v>
      </c>
      <c r="F233" s="964">
        <v>0</v>
      </c>
      <c r="G233" s="963">
        <f t="shared" ref="G233:M233" si="49">SUM(G226:G232)</f>
        <v>239500</v>
      </c>
      <c r="H233" s="963">
        <f t="shared" si="49"/>
        <v>6873.65</v>
      </c>
      <c r="I233" s="963">
        <f t="shared" si="49"/>
        <v>1963.0500000000002</v>
      </c>
      <c r="J233" s="963">
        <f t="shared" si="49"/>
        <v>7280.8</v>
      </c>
      <c r="K233" s="966">
        <f>SUM(K226:K232)</f>
        <v>175</v>
      </c>
      <c r="L233" s="963">
        <f t="shared" si="49"/>
        <v>16292.5</v>
      </c>
      <c r="M233" s="963">
        <f t="shared" si="49"/>
        <v>223207.5</v>
      </c>
    </row>
    <row r="234" spans="1:13" ht="18.75" x14ac:dyDescent="0.3">
      <c r="A234" s="961"/>
      <c r="B234" s="950"/>
      <c r="C234" s="962"/>
      <c r="D234" s="960"/>
      <c r="E234" s="951"/>
      <c r="F234" s="974"/>
      <c r="G234" s="1032"/>
      <c r="H234" s="951"/>
      <c r="I234" s="1036"/>
      <c r="J234" s="951"/>
      <c r="K234" s="954"/>
      <c r="L234" s="1032"/>
      <c r="M234" s="1032"/>
    </row>
    <row r="235" spans="1:13" ht="18.75" x14ac:dyDescent="0.3">
      <c r="A235" s="961" t="s">
        <v>1776</v>
      </c>
      <c r="B235" s="950"/>
      <c r="C235" s="1026"/>
      <c r="D235" s="960"/>
      <c r="E235" s="951"/>
      <c r="F235" s="974"/>
      <c r="G235" s="1032"/>
      <c r="H235" s="951"/>
      <c r="I235" s="1036"/>
      <c r="J235" s="951"/>
      <c r="K235" s="954"/>
      <c r="L235" s="1032"/>
      <c r="M235" s="1032"/>
    </row>
    <row r="236" spans="1:13" ht="18.75" x14ac:dyDescent="0.3">
      <c r="A236" s="1027" t="s">
        <v>1711</v>
      </c>
      <c r="B236" s="950" t="s">
        <v>807</v>
      </c>
      <c r="C236" s="1024" t="s">
        <v>521</v>
      </c>
      <c r="D236" s="960" t="s">
        <v>307</v>
      </c>
      <c r="E236" s="951">
        <v>37500</v>
      </c>
      <c r="F236" s="974">
        <v>0</v>
      </c>
      <c r="G236" s="1032">
        <v>37500</v>
      </c>
      <c r="H236" s="951">
        <v>1076.25</v>
      </c>
      <c r="I236" s="1036">
        <v>89.81</v>
      </c>
      <c r="J236" s="951">
        <v>1140</v>
      </c>
      <c r="K236" s="954">
        <v>25</v>
      </c>
      <c r="L236" s="1032">
        <f>+H236+I236+J236+K236</f>
        <v>2331.06</v>
      </c>
      <c r="M236" s="1032">
        <f t="shared" ref="M236:M241" si="50">+G236-L236</f>
        <v>35168.94</v>
      </c>
    </row>
    <row r="237" spans="1:13" ht="18.75" x14ac:dyDescent="0.3">
      <c r="A237" s="1027" t="s">
        <v>1714</v>
      </c>
      <c r="B237" s="950" t="s">
        <v>807</v>
      </c>
      <c r="C237" s="1024" t="s">
        <v>276</v>
      </c>
      <c r="D237" s="960" t="s">
        <v>307</v>
      </c>
      <c r="E237" s="951">
        <v>43500</v>
      </c>
      <c r="F237" s="974">
        <v>0</v>
      </c>
      <c r="G237" s="1032">
        <v>43500</v>
      </c>
      <c r="H237" s="951">
        <v>1248.45</v>
      </c>
      <c r="I237" s="1036">
        <v>936.62</v>
      </c>
      <c r="J237" s="951">
        <v>1322.4</v>
      </c>
      <c r="K237" s="954">
        <v>25</v>
      </c>
      <c r="L237" s="1032">
        <f>+H237+I237+J237+K237</f>
        <v>3532.4700000000003</v>
      </c>
      <c r="M237" s="1032">
        <f t="shared" si="50"/>
        <v>39967.53</v>
      </c>
    </row>
    <row r="238" spans="1:13" ht="18.75" x14ac:dyDescent="0.3">
      <c r="A238" s="1027" t="s">
        <v>1440</v>
      </c>
      <c r="B238" s="950" t="s">
        <v>807</v>
      </c>
      <c r="C238" s="1024" t="s">
        <v>276</v>
      </c>
      <c r="D238" s="960" t="s">
        <v>307</v>
      </c>
      <c r="E238" s="951">
        <v>37500</v>
      </c>
      <c r="F238" s="974">
        <v>0</v>
      </c>
      <c r="G238" s="1032">
        <v>37500</v>
      </c>
      <c r="H238" s="951">
        <v>1076.25</v>
      </c>
      <c r="I238" s="1036">
        <v>89.81</v>
      </c>
      <c r="J238" s="951">
        <v>1140</v>
      </c>
      <c r="K238" s="954">
        <v>25</v>
      </c>
      <c r="L238" s="1032">
        <v>2331.06</v>
      </c>
      <c r="M238" s="1032">
        <f t="shared" si="50"/>
        <v>35168.94</v>
      </c>
    </row>
    <row r="239" spans="1:13" ht="18.75" x14ac:dyDescent="0.3">
      <c r="A239" s="1027" t="s">
        <v>1720</v>
      </c>
      <c r="B239" s="999" t="s">
        <v>807</v>
      </c>
      <c r="C239" s="1024" t="s">
        <v>105</v>
      </c>
      <c r="D239" s="960" t="s">
        <v>1067</v>
      </c>
      <c r="E239" s="951">
        <v>25000</v>
      </c>
      <c r="F239" s="974">
        <v>0</v>
      </c>
      <c r="G239" s="1032">
        <v>25000</v>
      </c>
      <c r="H239" s="951">
        <v>717.5</v>
      </c>
      <c r="I239" s="1036">
        <v>0</v>
      </c>
      <c r="J239" s="951">
        <v>760</v>
      </c>
      <c r="K239" s="954">
        <v>25</v>
      </c>
      <c r="L239" s="1032">
        <f>+H239+I239+J239+K239</f>
        <v>1502.5</v>
      </c>
      <c r="M239" s="1032">
        <f t="shared" si="50"/>
        <v>23497.5</v>
      </c>
    </row>
    <row r="240" spans="1:13" ht="18.75" x14ac:dyDescent="0.3">
      <c r="A240" s="1024" t="s">
        <v>1056</v>
      </c>
      <c r="B240" s="950" t="s">
        <v>806</v>
      </c>
      <c r="C240" s="1026" t="s">
        <v>92</v>
      </c>
      <c r="D240" s="960" t="s">
        <v>1067</v>
      </c>
      <c r="E240" s="978">
        <v>30000</v>
      </c>
      <c r="F240" s="979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4">
        <v>25</v>
      </c>
      <c r="L240" s="1032">
        <f>+H240+I240+J240+K240</f>
        <v>1798</v>
      </c>
      <c r="M240" s="1032">
        <f t="shared" si="50"/>
        <v>28202</v>
      </c>
    </row>
    <row r="241" spans="1:13" ht="18.75" x14ac:dyDescent="0.3">
      <c r="A241" s="1027" t="s">
        <v>1724</v>
      </c>
      <c r="B241" s="950" t="s">
        <v>1296</v>
      </c>
      <c r="C241" s="1026" t="s">
        <v>92</v>
      </c>
      <c r="D241" s="960" t="s">
        <v>1067</v>
      </c>
      <c r="E241" s="951">
        <v>30000</v>
      </c>
      <c r="F241" s="974">
        <v>0</v>
      </c>
      <c r="G241" s="1032">
        <v>30000</v>
      </c>
      <c r="H241" s="951">
        <v>861</v>
      </c>
      <c r="I241" s="1036">
        <v>0</v>
      </c>
      <c r="J241" s="951">
        <v>912</v>
      </c>
      <c r="K241" s="954">
        <v>25</v>
      </c>
      <c r="L241" s="1032">
        <f>+H241+I241+J241+K241</f>
        <v>1798</v>
      </c>
      <c r="M241" s="1032">
        <f t="shared" si="50"/>
        <v>28202</v>
      </c>
    </row>
    <row r="242" spans="1:13" ht="18.75" x14ac:dyDescent="0.3">
      <c r="A242" s="961" t="s">
        <v>847</v>
      </c>
      <c r="B242" s="950"/>
      <c r="C242" s="962">
        <v>6</v>
      </c>
      <c r="D242" s="960"/>
      <c r="E242" s="963">
        <f>SUM(E236:E241)</f>
        <v>203500</v>
      </c>
      <c r="F242" s="1071">
        <v>0</v>
      </c>
      <c r="G242" s="963">
        <f t="shared" ref="G242:M242" si="51">SUM(G236:G241)</f>
        <v>203500</v>
      </c>
      <c r="H242" s="963">
        <f t="shared" si="51"/>
        <v>5840.45</v>
      </c>
      <c r="I242" s="963">
        <f t="shared" si="51"/>
        <v>1116.24</v>
      </c>
      <c r="J242" s="963">
        <f t="shared" si="51"/>
        <v>6186.4</v>
      </c>
      <c r="K242" s="966">
        <f>SUM(K236:K241)</f>
        <v>150</v>
      </c>
      <c r="L242" s="963">
        <f t="shared" si="51"/>
        <v>13293.09</v>
      </c>
      <c r="M242" s="963">
        <f t="shared" si="51"/>
        <v>190206.91</v>
      </c>
    </row>
    <row r="243" spans="1:13" ht="18.75" x14ac:dyDescent="0.3">
      <c r="A243" s="961"/>
      <c r="B243" s="950"/>
      <c r="C243" s="962"/>
      <c r="D243" s="960"/>
      <c r="E243" s="963">
        <f>+E211+E223+E233+E242</f>
        <v>1628000</v>
      </c>
      <c r="F243" s="964">
        <v>0</v>
      </c>
      <c r="G243" s="963">
        <f t="shared" ref="G243:M243" si="52">+G211+G223+G233+G242</f>
        <v>1628000</v>
      </c>
      <c r="H243" s="963">
        <f>+H211+H223+H233+H242</f>
        <v>46723.6</v>
      </c>
      <c r="I243" s="963">
        <f>+I211+I223+I233+I242</f>
        <v>75105.12000000001</v>
      </c>
      <c r="J243" s="963">
        <f t="shared" si="52"/>
        <v>49491.200000000004</v>
      </c>
      <c r="K243" s="966">
        <f>+K211+K223+K233+K242</f>
        <v>16076.960000000001</v>
      </c>
      <c r="L243" s="963">
        <f t="shared" si="52"/>
        <v>187396.88</v>
      </c>
      <c r="M243" s="963">
        <f t="shared" si="52"/>
        <v>1440603.12</v>
      </c>
    </row>
    <row r="244" spans="1:13" ht="18.75" x14ac:dyDescent="0.3">
      <c r="A244" s="961"/>
      <c r="B244" s="958"/>
      <c r="C244" s="962"/>
      <c r="D244" s="962"/>
      <c r="E244" s="963"/>
      <c r="F244" s="964"/>
      <c r="G244" s="965"/>
      <c r="H244" s="963"/>
      <c r="I244" s="963"/>
      <c r="J244" s="963"/>
      <c r="K244" s="966"/>
      <c r="L244" s="963"/>
      <c r="M244" s="965"/>
    </row>
    <row r="245" spans="1:13" ht="27.75" customHeight="1" x14ac:dyDescent="0.3">
      <c r="A245" s="1058" t="s">
        <v>865</v>
      </c>
      <c r="B245" s="1059"/>
      <c r="C245" s="1058">
        <f>+C223+C193+C185+C173+C168+C164+C158+C154+C149+C142+C134+C126+C118+C114+C103++C94+C81+C63+C57+C48+C43+C39+C25+C98+C108+C32+C130+C242+C233+C211+C177</f>
        <v>131</v>
      </c>
      <c r="D245" s="1058"/>
      <c r="E245" s="1076">
        <f>+E25+E32+E39+E43+E48+E57+E63+E81+E94+E98+E103+E108+E114+E118+E126+E130+E134+E142+E149+E154+E158+E164+E168+E173+E177+E185+E193+E211+E223+E233+E242</f>
        <v>7007500</v>
      </c>
      <c r="F245" s="1072">
        <v>0</v>
      </c>
      <c r="G245" s="1076">
        <f t="shared" ref="G245:M245" si="53">+G25+G32+G39+G43+G48+G57+G63+G81+G94+G98+G103+G108+G114+G118+G126+G130+G134+G142+G149+G154+G158+G164+G168+G173+G177+G185+G193+G211+G223+G233+G242</f>
        <v>7007500</v>
      </c>
      <c r="H245" s="1076">
        <f t="shared" si="53"/>
        <v>201115.25</v>
      </c>
      <c r="I245" s="1076">
        <f>+I25+I32+I39+I43+I48+I57+I63+I81+I94+I98+I103+I108+I114+I118+I126+I130+I134+I142+I149+I154+I158+I164+I168+I173+I177+I185+I193+I211+I223+I233+I242</f>
        <v>468121.1399999999</v>
      </c>
      <c r="J245" s="1076">
        <f t="shared" si="53"/>
        <v>211713.13999999996</v>
      </c>
      <c r="K245" s="1076">
        <f>+K242+K233+K223+K211++K193+K185++K177+K173+K168+K164+K158+K154+K149+K142+K134+K130+K126+K118+K114+K108+K103+K98+K94+K81+K63+K57+K48+K43+K39+K32+K25</f>
        <v>138135.66000000003</v>
      </c>
      <c r="L245" s="1076">
        <f t="shared" si="53"/>
        <v>1019085.1900000001</v>
      </c>
      <c r="M245" s="1076">
        <f t="shared" si="53"/>
        <v>5988414.8099999996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271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22"/>
      <c r="L247" s="1093"/>
      <c r="M247" s="1022"/>
    </row>
    <row r="248" spans="1:13" ht="15.75" x14ac:dyDescent="0.25">
      <c r="A248" s="853"/>
      <c r="B248" s="871"/>
      <c r="C248" s="853"/>
      <c r="D248" s="853"/>
      <c r="E248" s="1093"/>
      <c r="F248" s="853"/>
      <c r="G248" s="853"/>
      <c r="H248" s="869"/>
      <c r="I248" s="1092"/>
      <c r="J248" s="1093"/>
      <c r="K248" s="1022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22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22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22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53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53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53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53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53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53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53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53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53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53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873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873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200"/>
      <c r="L264" s="1095"/>
      <c r="M264" s="880"/>
    </row>
    <row r="265" spans="1:14" ht="15.75" x14ac:dyDescent="0.25">
      <c r="A265" s="1703" t="s">
        <v>1271</v>
      </c>
      <c r="B265" s="1703"/>
      <c r="C265" s="874"/>
      <c r="D265" s="874"/>
      <c r="E265" s="875"/>
      <c r="F265" s="873"/>
      <c r="G265" s="873"/>
      <c r="H265" s="1683" t="s">
        <v>852</v>
      </c>
      <c r="I265" s="1683"/>
      <c r="J265" s="1683"/>
      <c r="K265" s="1683"/>
      <c r="L265" s="1683"/>
      <c r="M265" s="1683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610" t="s">
        <v>1504</v>
      </c>
      <c r="J266" s="1610"/>
      <c r="K266" s="1684"/>
      <c r="L266" s="1610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928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928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928"/>
      <c r="L269" s="519"/>
      <c r="M269" s="928"/>
      <c r="N269" s="537"/>
    </row>
    <row r="270" spans="1:14" ht="28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928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928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928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928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885"/>
      <c r="L280" s="1096"/>
      <c r="M280" s="885"/>
    </row>
  </sheetData>
  <mergeCells count="20">
    <mergeCell ref="A11:M11"/>
    <mergeCell ref="A12:N12"/>
    <mergeCell ref="A13:M13"/>
    <mergeCell ref="A14:M14"/>
    <mergeCell ref="A15:M15"/>
    <mergeCell ref="M17:M18"/>
    <mergeCell ref="A265:B265"/>
    <mergeCell ref="H265:M265"/>
    <mergeCell ref="I266:L266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9" max="12" man="1"/>
    <brk id="234" max="12" man="1"/>
  </rowBreaks>
  <drawing r:id="rId2"/>
</worksheet>
</file>

<file path=xl/worksheets/sheet3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4EF5BF-DE91-48BB-B394-F6791CFC1DD0}">
  <dimension ref="A1:Q200"/>
  <sheetViews>
    <sheetView topLeftCell="B1" zoomScaleNormal="100" zoomScaleSheetLayoutView="89" workbookViewId="0">
      <pane ySplit="12" topLeftCell="A13" activePane="bottomLeft" state="frozen"/>
      <selection pane="bottomLeft" activeCell="J3" sqref="J3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556" t="s">
        <v>1502</v>
      </c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  <c r="P5" s="1556"/>
    </row>
    <row r="6" spans="1:16" x14ac:dyDescent="0.25">
      <c r="B6" s="1556" t="s">
        <v>1</v>
      </c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  <c r="P6" s="1556"/>
    </row>
    <row r="7" spans="1:16" x14ac:dyDescent="0.25">
      <c r="B7" s="1556" t="s">
        <v>3</v>
      </c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  <c r="P7" s="1556"/>
    </row>
    <row r="8" spans="1:16" x14ac:dyDescent="0.25">
      <c r="B8" s="1556" t="s">
        <v>1829</v>
      </c>
      <c r="C8" s="1556"/>
      <c r="D8" s="1556"/>
      <c r="E8" s="1556"/>
      <c r="F8" s="1556"/>
      <c r="G8" s="1556"/>
      <c r="H8" s="1556"/>
      <c r="I8" s="1556"/>
      <c r="J8" s="1556"/>
      <c r="K8" s="1556"/>
      <c r="L8" s="1556"/>
      <c r="M8" s="1556"/>
      <c r="N8" s="1556"/>
      <c r="O8" s="1556"/>
      <c r="P8" s="1556"/>
    </row>
    <row r="9" spans="1:16" x14ac:dyDescent="0.25">
      <c r="B9" s="1634" t="s">
        <v>441</v>
      </c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  <c r="O9" s="1634"/>
      <c r="P9" s="1634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709" t="s">
        <v>7</v>
      </c>
      <c r="C11" s="1709" t="s">
        <v>937</v>
      </c>
      <c r="D11" s="1712" t="s">
        <v>10</v>
      </c>
      <c r="E11" s="1709" t="s">
        <v>832</v>
      </c>
      <c r="F11" s="1709" t="s">
        <v>834</v>
      </c>
      <c r="G11" s="1709" t="s">
        <v>209</v>
      </c>
      <c r="H11" s="1051" t="s">
        <v>12</v>
      </c>
      <c r="I11" s="1711" t="s">
        <v>13</v>
      </c>
      <c r="J11" s="1710" t="s">
        <v>14</v>
      </c>
      <c r="K11" s="1710" t="s">
        <v>15</v>
      </c>
      <c r="L11" s="1710" t="s">
        <v>16</v>
      </c>
      <c r="M11" s="1722" t="s">
        <v>17</v>
      </c>
      <c r="N11" s="1722" t="s">
        <v>18</v>
      </c>
      <c r="O11" s="1722" t="s">
        <v>19</v>
      </c>
      <c r="P11" s="1710" t="s">
        <v>20</v>
      </c>
    </row>
    <row r="12" spans="1:16" x14ac:dyDescent="0.25">
      <c r="A12" s="1378"/>
      <c r="B12" s="1709"/>
      <c r="C12" s="1709"/>
      <c r="D12" s="1712"/>
      <c r="E12" s="1709"/>
      <c r="F12" s="1709"/>
      <c r="G12" s="1709"/>
      <c r="H12" s="1051" t="s">
        <v>21</v>
      </c>
      <c r="I12" s="1711"/>
      <c r="J12" s="1710"/>
      <c r="K12" s="1710"/>
      <c r="L12" s="1710"/>
      <c r="M12" s="1722"/>
      <c r="N12" s="1722"/>
      <c r="O12" s="1722"/>
      <c r="P12" s="1710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569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569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569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685" t="s">
        <v>807</v>
      </c>
      <c r="D23" s="749" t="s">
        <v>925</v>
      </c>
      <c r="E23" s="281" t="s">
        <v>1281</v>
      </c>
      <c r="F23" s="855">
        <v>45901</v>
      </c>
      <c r="G23" s="855">
        <v>46054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569"/>
      <c r="D24" s="707">
        <v>1</v>
      </c>
      <c r="E24" s="465"/>
      <c r="F24" s="465"/>
      <c r="G24" s="855"/>
      <c r="H24" s="1145">
        <v>80000</v>
      </c>
      <c r="I24" s="1144">
        <v>0</v>
      </c>
      <c r="J24" s="1145">
        <v>80000</v>
      </c>
      <c r="K24" s="1145">
        <v>2296</v>
      </c>
      <c r="L24" s="1145">
        <v>7400.87</v>
      </c>
      <c r="M24" s="1145">
        <v>2432</v>
      </c>
      <c r="N24" s="1145">
        <v>25</v>
      </c>
      <c r="O24" s="1145">
        <f>SUM(K24:N24)</f>
        <v>12153.869999999999</v>
      </c>
      <c r="P24" s="1145">
        <f>+J24-O24</f>
        <v>67846.13</v>
      </c>
    </row>
    <row r="25" spans="1:16" ht="21" customHeight="1" x14ac:dyDescent="0.25">
      <c r="B25" s="490" t="s">
        <v>837</v>
      </c>
      <c r="C25" s="1223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45901</v>
      </c>
      <c r="G27" s="855">
        <v>46054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7" spans="2:16" ht="21" customHeight="1" x14ac:dyDescent="0.25">
      <c r="B37" s="460" t="s">
        <v>1785</v>
      </c>
      <c r="C37" s="68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5025.38</v>
      </c>
      <c r="M37" s="1149">
        <v>2128</v>
      </c>
      <c r="N37" s="626">
        <v>1740.46</v>
      </c>
      <c r="O37" s="626">
        <f>SUM(K37:N37)</f>
        <v>10902.84</v>
      </c>
      <c r="P37" s="626">
        <f>+H37-O37</f>
        <v>59097.16</v>
      </c>
    </row>
    <row r="38" spans="2:16" ht="21" customHeight="1" x14ac:dyDescent="0.25">
      <c r="B38" s="466" t="s">
        <v>813</v>
      </c>
      <c r="C38" s="569"/>
      <c r="D38" s="492">
        <v>2</v>
      </c>
      <c r="E38" s="465"/>
      <c r="F38" s="500"/>
      <c r="G38" s="855"/>
      <c r="H38" s="695">
        <f>SUM(H36:H37)</f>
        <v>140000</v>
      </c>
      <c r="I38" s="1253">
        <v>0</v>
      </c>
      <c r="J38" s="695">
        <f t="shared" ref="J38:P38" si="3">SUM(J36:J37)</f>
        <v>140000</v>
      </c>
      <c r="K38" s="695">
        <f t="shared" si="3"/>
        <v>4018</v>
      </c>
      <c r="L38" s="695">
        <f t="shared" si="3"/>
        <v>10393.86</v>
      </c>
      <c r="M38" s="695">
        <f t="shared" si="3"/>
        <v>4256</v>
      </c>
      <c r="N38" s="695">
        <f t="shared" si="3"/>
        <v>1765.46</v>
      </c>
      <c r="O38" s="695">
        <f t="shared" si="3"/>
        <v>20433.32</v>
      </c>
      <c r="P38" s="695">
        <f t="shared" si="3"/>
        <v>119566.68000000001</v>
      </c>
    </row>
    <row r="39" spans="2:16" ht="21" customHeight="1" x14ac:dyDescent="0.25">
      <c r="B39" s="466"/>
      <c r="C39" s="569"/>
      <c r="D39" s="492"/>
      <c r="E39" s="465"/>
      <c r="F39" s="500"/>
      <c r="G39" s="855"/>
      <c r="H39" s="695"/>
      <c r="I39" s="695"/>
      <c r="J39" s="695"/>
      <c r="K39" s="695"/>
      <c r="L39" s="695"/>
      <c r="M39" s="695"/>
      <c r="N39" s="695"/>
      <c r="O39" s="695"/>
      <c r="P39" s="695"/>
    </row>
    <row r="40" spans="2:16" ht="21" customHeight="1" x14ac:dyDescent="0.25">
      <c r="B40" s="466" t="s">
        <v>1126</v>
      </c>
      <c r="C40" s="569"/>
      <c r="D40" s="492"/>
      <c r="E40" s="465"/>
      <c r="F40" s="695"/>
      <c r="G40" s="696"/>
      <c r="H40" s="695"/>
      <c r="I40" s="1145"/>
      <c r="J40" s="695"/>
      <c r="K40" s="695"/>
      <c r="L40" s="695"/>
      <c r="M40" s="1145"/>
      <c r="N40" s="695"/>
      <c r="O40" s="153"/>
      <c r="P40" s="153"/>
    </row>
    <row r="41" spans="2:16" s="259" customFormat="1" ht="21" customHeight="1" x14ac:dyDescent="0.25">
      <c r="B41" s="1251" t="s">
        <v>917</v>
      </c>
      <c r="C41" s="1252" t="s">
        <v>807</v>
      </c>
      <c r="D41" s="1246" t="s">
        <v>607</v>
      </c>
      <c r="E41" s="1247" t="s">
        <v>1063</v>
      </c>
      <c r="F41" s="855">
        <v>45931</v>
      </c>
      <c r="G41" s="855">
        <v>46082</v>
      </c>
      <c r="H41" s="1100">
        <v>80000</v>
      </c>
      <c r="I41" s="1249">
        <v>0</v>
      </c>
      <c r="J41" s="1100">
        <v>80000</v>
      </c>
      <c r="K41" s="1100">
        <v>2296</v>
      </c>
      <c r="L41" s="1103">
        <v>7400.87</v>
      </c>
      <c r="M41" s="1250">
        <v>2432</v>
      </c>
      <c r="N41" s="626">
        <v>8903.93</v>
      </c>
      <c r="O41" s="468">
        <f>SUM(K41:N41)</f>
        <v>21032.799999999999</v>
      </c>
      <c r="P41" s="675">
        <f>+J41-O41</f>
        <v>58967.199999999997</v>
      </c>
    </row>
    <row r="42" spans="2:16" s="259" customFormat="1" ht="21" customHeight="1" x14ac:dyDescent="0.25">
      <c r="B42" s="1251" t="s">
        <v>1674</v>
      </c>
      <c r="C42" s="1252" t="s">
        <v>807</v>
      </c>
      <c r="D42" s="1246" t="s">
        <v>607</v>
      </c>
      <c r="E42" s="1247" t="s">
        <v>1063</v>
      </c>
      <c r="F42" s="855">
        <v>45839</v>
      </c>
      <c r="G42" s="855">
        <v>45992</v>
      </c>
      <c r="H42" s="1100">
        <v>70000</v>
      </c>
      <c r="I42" s="1249">
        <v>0</v>
      </c>
      <c r="J42" s="1100">
        <v>70000</v>
      </c>
      <c r="K42" s="1100">
        <v>2009</v>
      </c>
      <c r="L42" s="1103">
        <v>5025.38</v>
      </c>
      <c r="M42" s="1250">
        <v>2128</v>
      </c>
      <c r="N42" s="626">
        <v>1740.46</v>
      </c>
      <c r="O42" s="468">
        <f>SUM(K42:N42)</f>
        <v>10902.84</v>
      </c>
      <c r="P42" s="675">
        <f>+H42-O42</f>
        <v>59097.16</v>
      </c>
    </row>
    <row r="43" spans="2:16" ht="21" customHeight="1" x14ac:dyDescent="0.25">
      <c r="B43" s="466" t="s">
        <v>813</v>
      </c>
      <c r="C43" s="569"/>
      <c r="D43" s="492">
        <v>2</v>
      </c>
      <c r="E43" s="465"/>
      <c r="F43" s="695"/>
      <c r="G43" s="696"/>
      <c r="H43" s="1099">
        <f>SUM(H41:H42)</f>
        <v>150000</v>
      </c>
      <c r="I43" s="1253">
        <v>0</v>
      </c>
      <c r="J43" s="1099">
        <f t="shared" ref="J43:P43" si="4">SUM(J41:J42)</f>
        <v>150000</v>
      </c>
      <c r="K43" s="1099">
        <f t="shared" si="4"/>
        <v>4305</v>
      </c>
      <c r="L43" s="1099">
        <f t="shared" si="4"/>
        <v>12426.25</v>
      </c>
      <c r="M43" s="1099">
        <f t="shared" si="4"/>
        <v>4560</v>
      </c>
      <c r="N43" s="695">
        <f t="shared" si="4"/>
        <v>10644.39</v>
      </c>
      <c r="O43" s="695">
        <f t="shared" si="4"/>
        <v>31935.64</v>
      </c>
      <c r="P43" s="1099">
        <f t="shared" si="4"/>
        <v>118064.36</v>
      </c>
    </row>
    <row r="44" spans="2:16" ht="21" customHeight="1" x14ac:dyDescent="0.25">
      <c r="B44" s="466"/>
      <c r="C44" s="569"/>
      <c r="D44" s="492"/>
      <c r="E44" s="465"/>
      <c r="F44" s="695"/>
      <c r="G44" s="696"/>
      <c r="H44" s="1099"/>
      <c r="I44" s="1253"/>
      <c r="J44" s="1099"/>
      <c r="K44" s="1099"/>
      <c r="L44" s="1099"/>
      <c r="M44" s="1099"/>
      <c r="N44" s="695"/>
      <c r="O44" s="695"/>
      <c r="P44" s="1099"/>
    </row>
    <row r="45" spans="2:16" ht="21" customHeight="1" x14ac:dyDescent="0.25">
      <c r="B45" s="466" t="s">
        <v>1443</v>
      </c>
      <c r="C45" s="569"/>
      <c r="D45" s="492"/>
      <c r="E45" s="465"/>
      <c r="F45" s="500"/>
      <c r="G45" s="855"/>
      <c r="H45" s="695"/>
      <c r="I45" s="1144"/>
      <c r="J45" s="695"/>
      <c r="K45" s="695"/>
      <c r="L45" s="695"/>
      <c r="M45" s="1145"/>
      <c r="N45" s="695"/>
      <c r="O45" s="695"/>
      <c r="P45" s="695"/>
    </row>
    <row r="46" spans="2:16" s="259" customFormat="1" ht="21" customHeight="1" x14ac:dyDescent="0.25">
      <c r="B46" s="1251" t="s">
        <v>382</v>
      </c>
      <c r="C46" s="1252" t="s">
        <v>807</v>
      </c>
      <c r="D46" s="1246" t="s">
        <v>1749</v>
      </c>
      <c r="E46" s="1247" t="s">
        <v>1063</v>
      </c>
      <c r="F46" s="1248">
        <v>45809</v>
      </c>
      <c r="G46" s="1248">
        <v>45992</v>
      </c>
      <c r="H46" s="1100">
        <v>70000</v>
      </c>
      <c r="I46" s="1249">
        <v>0</v>
      </c>
      <c r="J46" s="1100">
        <v>70000</v>
      </c>
      <c r="K46" s="1100">
        <v>2009</v>
      </c>
      <c r="L46" s="1103">
        <v>5368.48</v>
      </c>
      <c r="M46" s="1250">
        <v>2128</v>
      </c>
      <c r="N46" s="626">
        <v>25</v>
      </c>
      <c r="O46" s="468">
        <f>+K46+L46+M46+N46</f>
        <v>9530.48</v>
      </c>
      <c r="P46" s="675">
        <f>+J46-O46</f>
        <v>60469.520000000004</v>
      </c>
    </row>
    <row r="47" spans="2:16" s="259" customFormat="1" ht="21" customHeight="1" x14ac:dyDescent="0.25">
      <c r="B47" s="466" t="s">
        <v>813</v>
      </c>
      <c r="C47" s="1252"/>
      <c r="D47" s="1325">
        <v>1</v>
      </c>
      <c r="E47" s="1247"/>
      <c r="F47" s="1248"/>
      <c r="G47" s="1248"/>
      <c r="H47" s="1099">
        <v>70000</v>
      </c>
      <c r="I47" s="1253">
        <v>0</v>
      </c>
      <c r="J47" s="1099">
        <v>70000</v>
      </c>
      <c r="K47" s="1099">
        <v>2009</v>
      </c>
      <c r="L47" s="1099">
        <v>5368.48</v>
      </c>
      <c r="M47" s="1099">
        <v>2128</v>
      </c>
      <c r="N47" s="695">
        <v>25</v>
      </c>
      <c r="O47" s="695">
        <f>SUM(K47:N47)</f>
        <v>9530.48</v>
      </c>
      <c r="P47" s="1099">
        <f>+H47-O47</f>
        <v>60469.520000000004</v>
      </c>
    </row>
    <row r="48" spans="2:16" ht="23.25" customHeight="1" x14ac:dyDescent="0.25">
      <c r="B48" s="466"/>
      <c r="C48" s="569"/>
      <c r="D48" s="492"/>
      <c r="E48" s="1247"/>
      <c r="F48" s="500"/>
      <c r="G48" s="855"/>
      <c r="H48" s="1099"/>
      <c r="I48" s="1253"/>
      <c r="J48" s="1099"/>
      <c r="K48" s="1099"/>
      <c r="L48" s="1099"/>
      <c r="M48" s="1099"/>
      <c r="N48" s="695"/>
      <c r="O48" s="695"/>
      <c r="P48" s="1099"/>
    </row>
    <row r="49" spans="2:16" ht="21" customHeight="1" x14ac:dyDescent="0.25">
      <c r="B49" s="466" t="s">
        <v>839</v>
      </c>
      <c r="C49" s="569"/>
      <c r="D49" s="492"/>
      <c r="E49" s="465"/>
      <c r="F49" s="500"/>
      <c r="G49" s="855"/>
      <c r="H49" s="695"/>
      <c r="I49" s="1144"/>
      <c r="J49" s="695"/>
      <c r="K49" s="695"/>
      <c r="L49" s="695"/>
      <c r="M49" s="1145"/>
      <c r="N49" s="695"/>
      <c r="O49" s="695"/>
      <c r="P49" s="695"/>
    </row>
    <row r="50" spans="2:16" ht="27.75" customHeight="1" x14ac:dyDescent="0.25">
      <c r="B50" s="286" t="s">
        <v>1581</v>
      </c>
      <c r="C50" s="685" t="s">
        <v>807</v>
      </c>
      <c r="D50" s="282" t="s">
        <v>1570</v>
      </c>
      <c r="E50" s="281" t="s">
        <v>1063</v>
      </c>
      <c r="F50" s="855">
        <v>45931</v>
      </c>
      <c r="G50" s="855">
        <v>46082</v>
      </c>
      <c r="H50" s="626">
        <v>150000</v>
      </c>
      <c r="I50" s="1169">
        <v>0</v>
      </c>
      <c r="J50" s="626">
        <v>150000</v>
      </c>
      <c r="K50" s="626">
        <v>4305</v>
      </c>
      <c r="L50" s="626">
        <v>23437.75</v>
      </c>
      <c r="M50" s="1149">
        <v>4560</v>
      </c>
      <c r="N50" s="626">
        <v>3912.66</v>
      </c>
      <c r="O50" s="626">
        <v>36215.410000000003</v>
      </c>
      <c r="P50" s="626">
        <v>113784.59</v>
      </c>
    </row>
    <row r="51" spans="2:16" ht="21" customHeight="1" x14ac:dyDescent="0.25">
      <c r="B51" s="453" t="s">
        <v>813</v>
      </c>
      <c r="C51" s="569"/>
      <c r="D51" s="492">
        <v>1</v>
      </c>
      <c r="E51" s="465"/>
      <c r="F51" s="500"/>
      <c r="G51" s="855"/>
      <c r="H51" s="695">
        <v>150000</v>
      </c>
      <c r="I51" s="1144">
        <v>0</v>
      </c>
      <c r="J51" s="695">
        <v>150000</v>
      </c>
      <c r="K51" s="695">
        <v>4305</v>
      </c>
      <c r="L51" s="695">
        <v>23437.75</v>
      </c>
      <c r="M51" s="1145">
        <v>4560</v>
      </c>
      <c r="N51" s="695">
        <v>3912.66</v>
      </c>
      <c r="O51" s="695">
        <v>36215.410000000003</v>
      </c>
      <c r="P51" s="695">
        <v>113784.59</v>
      </c>
    </row>
    <row r="52" spans="2:16" ht="21" customHeight="1" x14ac:dyDescent="0.25">
      <c r="B52" s="453"/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ht="30" customHeight="1" x14ac:dyDescent="0.25">
      <c r="B53" s="492" t="s">
        <v>1822</v>
      </c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21" customHeight="1" x14ac:dyDescent="0.25">
      <c r="B54" s="280" t="s">
        <v>1823</v>
      </c>
      <c r="C54" s="685" t="s">
        <v>807</v>
      </c>
      <c r="D54" s="282" t="s">
        <v>1824</v>
      </c>
      <c r="E54" s="281" t="s">
        <v>1063</v>
      </c>
      <c r="F54" s="855">
        <v>45931</v>
      </c>
      <c r="G54" s="855">
        <v>46082</v>
      </c>
      <c r="H54" s="1100">
        <v>70000</v>
      </c>
      <c r="I54" s="1249">
        <v>0</v>
      </c>
      <c r="J54" s="1100">
        <v>70000</v>
      </c>
      <c r="K54" s="1100">
        <v>2009</v>
      </c>
      <c r="L54" s="1103">
        <v>5025.38</v>
      </c>
      <c r="M54" s="1250">
        <v>2128</v>
      </c>
      <c r="N54" s="626">
        <v>1740.46</v>
      </c>
      <c r="O54" s="468">
        <f>SUM(K54:N54)</f>
        <v>10902.84</v>
      </c>
      <c r="P54" s="675">
        <f>+H54-O54</f>
        <v>59097.16</v>
      </c>
    </row>
    <row r="55" spans="2:16" ht="21" customHeight="1" x14ac:dyDescent="0.25">
      <c r="B55" s="496"/>
      <c r="C55" s="684"/>
      <c r="D55" s="492">
        <v>1</v>
      </c>
      <c r="E55" s="281"/>
      <c r="F55" s="858"/>
      <c r="G55" s="855"/>
      <c r="H55" s="1099">
        <v>70000</v>
      </c>
      <c r="I55" s="1253">
        <v>0</v>
      </c>
      <c r="J55" s="1099">
        <v>70000</v>
      </c>
      <c r="K55" s="1099">
        <v>2009</v>
      </c>
      <c r="L55" s="1254">
        <v>5025.38</v>
      </c>
      <c r="M55" s="1146">
        <v>2128</v>
      </c>
      <c r="N55" s="695">
        <v>1740.46</v>
      </c>
      <c r="O55" s="697">
        <f>SUM(K55:N55)</f>
        <v>10902.84</v>
      </c>
      <c r="P55" s="676">
        <f>+H55-O55</f>
        <v>59097.16</v>
      </c>
    </row>
    <row r="56" spans="2:16" ht="21" customHeight="1" x14ac:dyDescent="0.25">
      <c r="B56" s="453" t="s">
        <v>1128</v>
      </c>
      <c r="C56" s="569"/>
      <c r="D56" s="280"/>
      <c r="E56" s="280"/>
      <c r="F56" s="858"/>
      <c r="G56" s="855"/>
      <c r="H56" s="280"/>
      <c r="I56" s="1113"/>
      <c r="J56" s="487"/>
      <c r="K56" s="457"/>
      <c r="L56" s="457"/>
      <c r="M56" s="1149"/>
      <c r="N56" s="468"/>
      <c r="O56" s="468"/>
      <c r="P56" s="457"/>
    </row>
    <row r="57" spans="2:16" ht="29.25" customHeight="1" x14ac:dyDescent="0.25">
      <c r="B57" s="280" t="s">
        <v>461</v>
      </c>
      <c r="C57" s="685" t="s">
        <v>807</v>
      </c>
      <c r="D57" s="282" t="s">
        <v>1574</v>
      </c>
      <c r="E57" s="281" t="s">
        <v>1063</v>
      </c>
      <c r="F57" s="855">
        <v>45931</v>
      </c>
      <c r="G57" s="855">
        <v>46082</v>
      </c>
      <c r="H57" s="468">
        <v>115000</v>
      </c>
      <c r="I57" s="1111">
        <v>0</v>
      </c>
      <c r="J57" s="489">
        <v>115000</v>
      </c>
      <c r="K57" s="489">
        <v>3300.5</v>
      </c>
      <c r="L57" s="489">
        <v>15633.74</v>
      </c>
      <c r="M57" s="1149">
        <v>3496</v>
      </c>
      <c r="N57" s="861">
        <v>1431</v>
      </c>
      <c r="O57" s="468">
        <f>+K57+L57+M57+N57</f>
        <v>23861.239999999998</v>
      </c>
      <c r="P57" s="457">
        <f>+J57-O57</f>
        <v>91138.760000000009</v>
      </c>
    </row>
    <row r="58" spans="2:16" ht="21" customHeight="1" x14ac:dyDescent="0.25">
      <c r="B58" s="280" t="s">
        <v>1283</v>
      </c>
      <c r="C58" s="685" t="s">
        <v>807</v>
      </c>
      <c r="D58" s="282" t="s">
        <v>1495</v>
      </c>
      <c r="E58" s="281" t="s">
        <v>1281</v>
      </c>
      <c r="F58" s="855">
        <v>45931</v>
      </c>
      <c r="G58" s="855">
        <v>46082</v>
      </c>
      <c r="H58" s="468">
        <v>60000</v>
      </c>
      <c r="I58" s="1169">
        <v>0</v>
      </c>
      <c r="J58" s="628">
        <v>60000</v>
      </c>
      <c r="K58" s="628">
        <v>1722</v>
      </c>
      <c r="L58" s="628">
        <v>3486.68</v>
      </c>
      <c r="M58" s="1149">
        <v>1824</v>
      </c>
      <c r="N58" s="861">
        <v>728</v>
      </c>
      <c r="O58" s="468">
        <f>+K58+L58+M58+N58</f>
        <v>7760.68</v>
      </c>
      <c r="P58" s="468">
        <f>+J58-O58</f>
        <v>52239.32</v>
      </c>
    </row>
    <row r="59" spans="2:16" ht="21" customHeight="1" x14ac:dyDescent="0.25">
      <c r="B59" s="453" t="s">
        <v>813</v>
      </c>
      <c r="C59" s="569"/>
      <c r="D59" s="453">
        <v>2</v>
      </c>
      <c r="E59" s="525"/>
      <c r="F59" s="500"/>
      <c r="G59" s="855"/>
      <c r="H59" s="695">
        <f>SUM(H57:H58)</f>
        <v>175000</v>
      </c>
      <c r="I59" s="1144">
        <f t="shared" ref="I59" si="5">SUM(I58)</f>
        <v>0</v>
      </c>
      <c r="J59" s="695">
        <f t="shared" ref="J59:P59" si="6">SUM(J57:J58)</f>
        <v>175000</v>
      </c>
      <c r="K59" s="695">
        <f t="shared" si="6"/>
        <v>5022.5</v>
      </c>
      <c r="L59" s="695">
        <f t="shared" si="6"/>
        <v>19120.419999999998</v>
      </c>
      <c r="M59" s="1145">
        <f t="shared" si="6"/>
        <v>5320</v>
      </c>
      <c r="N59" s="695">
        <f>SUM(N57:N58)</f>
        <v>2159</v>
      </c>
      <c r="O59" s="695">
        <f t="shared" si="6"/>
        <v>31621.919999999998</v>
      </c>
      <c r="P59" s="695">
        <f t="shared" si="6"/>
        <v>143378.08000000002</v>
      </c>
    </row>
    <row r="60" spans="2:16" ht="21" customHeight="1" x14ac:dyDescent="0.25">
      <c r="B60" s="453"/>
      <c r="C60" s="569"/>
      <c r="D60" s="453"/>
      <c r="E60" s="52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453" t="s">
        <v>1462</v>
      </c>
      <c r="C61" s="569"/>
      <c r="D61" s="453"/>
      <c r="E61" s="525"/>
      <c r="F61" s="500"/>
      <c r="G61" s="855"/>
      <c r="H61" s="695"/>
      <c r="I61" s="1144"/>
      <c r="J61" s="695"/>
      <c r="K61" s="695"/>
      <c r="L61" s="695"/>
      <c r="M61" s="1145"/>
      <c r="N61" s="695"/>
      <c r="O61" s="695"/>
      <c r="P61" s="695"/>
    </row>
    <row r="62" spans="2:16" ht="21" customHeight="1" x14ac:dyDescent="0.25">
      <c r="B62" s="280" t="s">
        <v>1825</v>
      </c>
      <c r="C62" s="685" t="s">
        <v>807</v>
      </c>
      <c r="D62" s="280" t="s">
        <v>1826</v>
      </c>
      <c r="E62" s="281" t="s">
        <v>1281</v>
      </c>
      <c r="F62" s="855">
        <v>45931</v>
      </c>
      <c r="G62" s="855">
        <v>46082</v>
      </c>
      <c r="H62" s="468">
        <v>60000</v>
      </c>
      <c r="I62" s="1169">
        <v>0</v>
      </c>
      <c r="J62" s="628">
        <v>60000</v>
      </c>
      <c r="K62" s="628">
        <v>1722</v>
      </c>
      <c r="L62" s="628">
        <v>3486.68</v>
      </c>
      <c r="M62" s="1149">
        <v>1824</v>
      </c>
      <c r="N62" s="861">
        <v>25</v>
      </c>
      <c r="O62" s="468">
        <f>+K62+L62+M62+N62</f>
        <v>7057.68</v>
      </c>
      <c r="P62" s="468">
        <f>+J62-O62</f>
        <v>52942.32</v>
      </c>
    </row>
    <row r="63" spans="2:16" ht="21" customHeight="1" x14ac:dyDescent="0.25">
      <c r="B63" s="461"/>
      <c r="C63" s="1223"/>
      <c r="D63" s="453">
        <v>1</v>
      </c>
      <c r="E63" s="525"/>
      <c r="F63" s="858"/>
      <c r="G63" s="855"/>
      <c r="H63" s="468">
        <v>60000</v>
      </c>
      <c r="I63" s="1169">
        <v>0</v>
      </c>
      <c r="J63" s="628">
        <v>60000</v>
      </c>
      <c r="K63" s="628">
        <v>1722</v>
      </c>
      <c r="L63" s="628">
        <v>3486.68</v>
      </c>
      <c r="M63" s="1149">
        <v>1824</v>
      </c>
      <c r="N63" s="861">
        <v>25</v>
      </c>
      <c r="O63" s="468">
        <f>+K63+L63+M63+N63</f>
        <v>7057.68</v>
      </c>
      <c r="P63" s="468">
        <f>+J63-O63</f>
        <v>52942.32</v>
      </c>
    </row>
    <row r="64" spans="2:16" ht="21" customHeight="1" x14ac:dyDescent="0.25">
      <c r="B64" s="1014" t="s">
        <v>1575</v>
      </c>
      <c r="C64" s="569"/>
      <c r="D64" s="492"/>
      <c r="E64" s="465"/>
      <c r="F64" s="500"/>
      <c r="G64" s="855"/>
      <c r="H64" s="695"/>
      <c r="I64" s="1144"/>
      <c r="J64" s="695"/>
      <c r="K64" s="695"/>
      <c r="L64" s="695"/>
      <c r="M64" s="1145"/>
      <c r="N64" s="695"/>
      <c r="O64" s="695"/>
      <c r="P64" s="695"/>
    </row>
    <row r="65" spans="2:16" s="259" customFormat="1" ht="30.75" customHeight="1" x14ac:dyDescent="0.25">
      <c r="B65" s="1251" t="s">
        <v>1582</v>
      </c>
      <c r="C65" s="1252" t="s">
        <v>807</v>
      </c>
      <c r="D65" s="1246" t="s">
        <v>1571</v>
      </c>
      <c r="E65" s="1247" t="s">
        <v>1063</v>
      </c>
      <c r="F65" s="1084">
        <v>45870</v>
      </c>
      <c r="G65" s="1084">
        <v>46023</v>
      </c>
      <c r="H65" s="1100">
        <v>95000</v>
      </c>
      <c r="I65" s="1249">
        <v>0</v>
      </c>
      <c r="J65" s="1100">
        <v>95000</v>
      </c>
      <c r="K65" s="1100">
        <v>2726.5</v>
      </c>
      <c r="L65" s="1103">
        <v>10929.24</v>
      </c>
      <c r="M65" s="1250">
        <v>2888</v>
      </c>
      <c r="N65" s="626">
        <v>18566.330000000002</v>
      </c>
      <c r="O65" s="468">
        <f>+K65+L65+M65+N65</f>
        <v>35110.07</v>
      </c>
      <c r="P65" s="675">
        <f>+J65-O65</f>
        <v>59889.93</v>
      </c>
    </row>
    <row r="66" spans="2:16" ht="21" customHeight="1" x14ac:dyDescent="0.25">
      <c r="B66" s="453" t="s">
        <v>813</v>
      </c>
      <c r="C66" s="685"/>
      <c r="D66" s="453">
        <v>1</v>
      </c>
      <c r="E66" s="281"/>
      <c r="F66" s="1019"/>
      <c r="G66" s="857"/>
      <c r="H66" s="697">
        <f>SUM(H65)</f>
        <v>95000</v>
      </c>
      <c r="I66" s="1144">
        <f>SUM(I65)</f>
        <v>0</v>
      </c>
      <c r="J66" s="697">
        <f t="shared" ref="J66:P66" si="7">SUM(J65)</f>
        <v>95000</v>
      </c>
      <c r="K66" s="697">
        <f t="shared" si="7"/>
        <v>2726.5</v>
      </c>
      <c r="L66" s="697">
        <f t="shared" si="7"/>
        <v>10929.24</v>
      </c>
      <c r="M66" s="1145">
        <f t="shared" si="7"/>
        <v>2888</v>
      </c>
      <c r="N66" s="697">
        <f>SUM(N65)</f>
        <v>18566.330000000002</v>
      </c>
      <c r="O66" s="697">
        <f t="shared" si="7"/>
        <v>35110.07</v>
      </c>
      <c r="P66" s="697">
        <f t="shared" si="7"/>
        <v>59889.93</v>
      </c>
    </row>
    <row r="67" spans="2:16" ht="21" customHeight="1" x14ac:dyDescent="0.25">
      <c r="B67" s="496"/>
      <c r="C67" s="684"/>
      <c r="D67" s="282"/>
      <c r="E67" s="281"/>
      <c r="F67" s="856"/>
      <c r="G67" s="857"/>
      <c r="H67" s="626"/>
      <c r="I67" s="1111"/>
      <c r="J67" s="457"/>
      <c r="K67" s="457"/>
      <c r="L67" s="457"/>
      <c r="M67" s="1149"/>
      <c r="N67" s="468"/>
      <c r="O67" s="468"/>
      <c r="P67" s="457"/>
    </row>
    <row r="68" spans="2:16" ht="32.25" customHeight="1" x14ac:dyDescent="0.25">
      <c r="B68" s="1014" t="s">
        <v>1136</v>
      </c>
      <c r="C68" s="570"/>
      <c r="D68" s="492"/>
      <c r="E68" s="465"/>
      <c r="F68" s="1019"/>
      <c r="G68" s="857"/>
      <c r="H68" s="695"/>
      <c r="I68" s="1144"/>
      <c r="J68" s="697"/>
      <c r="K68" s="697"/>
      <c r="L68" s="697"/>
      <c r="M68" s="1145"/>
      <c r="N68" s="697"/>
      <c r="O68" s="697"/>
      <c r="P68" s="697"/>
    </row>
    <row r="69" spans="2:16" ht="31.5" customHeight="1" x14ac:dyDescent="0.25">
      <c r="B69" s="153" t="s">
        <v>1583</v>
      </c>
      <c r="C69" s="685" t="s">
        <v>806</v>
      </c>
      <c r="D69" s="749" t="s">
        <v>1572</v>
      </c>
      <c r="E69" s="281" t="s">
        <v>1063</v>
      </c>
      <c r="F69" s="855">
        <v>45839</v>
      </c>
      <c r="G69" s="855">
        <v>45992</v>
      </c>
      <c r="H69" s="626">
        <v>120000</v>
      </c>
      <c r="I69" s="1169">
        <v>0</v>
      </c>
      <c r="J69" s="468">
        <v>120000</v>
      </c>
      <c r="K69" s="468">
        <v>3444</v>
      </c>
      <c r="L69" s="468">
        <v>16809.87</v>
      </c>
      <c r="M69" s="1149">
        <v>3648</v>
      </c>
      <c r="N69" s="468">
        <v>2568.4</v>
      </c>
      <c r="O69" s="468">
        <f>+K69+L69+M69+N69</f>
        <v>26470.27</v>
      </c>
      <c r="P69" s="626">
        <f>+J69-O69</f>
        <v>93529.73</v>
      </c>
    </row>
    <row r="70" spans="2:16" s="259" customFormat="1" ht="21" customHeight="1" x14ac:dyDescent="0.25">
      <c r="B70" s="1251" t="s">
        <v>1750</v>
      </c>
      <c r="C70" s="1252" t="s">
        <v>807</v>
      </c>
      <c r="D70" s="1246" t="s">
        <v>1751</v>
      </c>
      <c r="E70" s="1247" t="s">
        <v>1063</v>
      </c>
      <c r="F70" s="855">
        <v>45839</v>
      </c>
      <c r="G70" s="855">
        <v>45992</v>
      </c>
      <c r="H70" s="1100">
        <v>50000</v>
      </c>
      <c r="I70" s="1249">
        <v>0</v>
      </c>
      <c r="J70" s="1100">
        <v>50000</v>
      </c>
      <c r="K70" s="1100">
        <v>1435</v>
      </c>
      <c r="L70" s="1103">
        <v>1854</v>
      </c>
      <c r="M70" s="1250">
        <v>1520</v>
      </c>
      <c r="N70" s="626">
        <v>25</v>
      </c>
      <c r="O70" s="468">
        <f>+K70+L70+M70+N70</f>
        <v>4834</v>
      </c>
      <c r="P70" s="675">
        <f>+J70-O70</f>
        <v>45166</v>
      </c>
    </row>
    <row r="71" spans="2:16" ht="21" customHeight="1" x14ac:dyDescent="0.25">
      <c r="B71" s="496" t="s">
        <v>1352</v>
      </c>
      <c r="C71" s="684" t="s">
        <v>806</v>
      </c>
      <c r="D71" s="286" t="s">
        <v>1635</v>
      </c>
      <c r="E71" s="281" t="s">
        <v>1063</v>
      </c>
      <c r="F71" s="855">
        <v>45931</v>
      </c>
      <c r="G71" s="855">
        <v>46082</v>
      </c>
      <c r="H71" s="626">
        <v>55000</v>
      </c>
      <c r="I71" s="1111">
        <v>0</v>
      </c>
      <c r="J71" s="457">
        <v>55000</v>
      </c>
      <c r="K71" s="457">
        <v>1578.5</v>
      </c>
      <c r="L71" s="457">
        <v>2559.6799999999998</v>
      </c>
      <c r="M71" s="1149">
        <v>1672</v>
      </c>
      <c r="N71" s="468">
        <v>25</v>
      </c>
      <c r="O71" s="468">
        <v>5835.18</v>
      </c>
      <c r="P71" s="498">
        <f>+J71-O71</f>
        <v>49164.82</v>
      </c>
    </row>
    <row r="72" spans="2:16" ht="21" customHeight="1" x14ac:dyDescent="0.25">
      <c r="B72" s="275" t="s">
        <v>875</v>
      </c>
      <c r="C72" s="1245" t="s">
        <v>807</v>
      </c>
      <c r="D72" s="1246" t="s">
        <v>1784</v>
      </c>
      <c r="E72" s="1247" t="s">
        <v>1063</v>
      </c>
      <c r="F72" s="855">
        <v>45839</v>
      </c>
      <c r="G72" s="855">
        <v>45992</v>
      </c>
      <c r="H72" s="626">
        <v>70000</v>
      </c>
      <c r="I72" s="1169">
        <v>0</v>
      </c>
      <c r="J72" s="626">
        <v>70000</v>
      </c>
      <c r="K72" s="626">
        <v>2009</v>
      </c>
      <c r="L72" s="626">
        <v>5368.48</v>
      </c>
      <c r="M72" s="1149">
        <v>2128</v>
      </c>
      <c r="N72" s="626">
        <v>2517.7399999999998</v>
      </c>
      <c r="O72" s="626">
        <f>SUM(K72:N72)</f>
        <v>12023.22</v>
      </c>
      <c r="P72" s="626">
        <f>+H72-O72</f>
        <v>57976.78</v>
      </c>
    </row>
    <row r="73" spans="2:16" ht="21" customHeight="1" x14ac:dyDescent="0.25">
      <c r="B73" s="466" t="s">
        <v>813</v>
      </c>
      <c r="C73" s="569"/>
      <c r="D73" s="492">
        <v>4</v>
      </c>
      <c r="E73" s="465"/>
      <c r="F73" s="500"/>
      <c r="G73" s="855"/>
      <c r="H73" s="697">
        <f>SUM(H69:H72)</f>
        <v>295000</v>
      </c>
      <c r="I73" s="1144">
        <v>0</v>
      </c>
      <c r="J73" s="697">
        <f t="shared" ref="J73:P73" si="8">SUM(J69:J72)</f>
        <v>295000</v>
      </c>
      <c r="K73" s="697">
        <f t="shared" si="8"/>
        <v>8466.5</v>
      </c>
      <c r="L73" s="697">
        <f t="shared" si="8"/>
        <v>26592.03</v>
      </c>
      <c r="M73" s="697">
        <f t="shared" si="8"/>
        <v>8968</v>
      </c>
      <c r="N73" s="697">
        <f t="shared" si="8"/>
        <v>5136.1399999999994</v>
      </c>
      <c r="O73" s="697">
        <f t="shared" si="8"/>
        <v>49162.67</v>
      </c>
      <c r="P73" s="697">
        <f t="shared" si="8"/>
        <v>245837.33</v>
      </c>
    </row>
    <row r="74" spans="2:16" ht="21" customHeight="1" x14ac:dyDescent="0.25">
      <c r="B74" s="466"/>
      <c r="C74" s="569"/>
      <c r="D74" s="492"/>
      <c r="E74" s="465"/>
      <c r="F74" s="500"/>
      <c r="G74" s="855"/>
      <c r="H74" s="697"/>
      <c r="I74" s="1144"/>
      <c r="J74" s="697"/>
      <c r="K74" s="697"/>
      <c r="L74" s="697"/>
      <c r="M74" s="1145"/>
      <c r="N74" s="697"/>
      <c r="O74" s="697"/>
      <c r="P74" s="697"/>
    </row>
    <row r="75" spans="2:16" ht="21" customHeight="1" x14ac:dyDescent="0.25">
      <c r="B75" s="466" t="s">
        <v>1791</v>
      </c>
      <c r="C75" s="569"/>
      <c r="D75" s="492"/>
      <c r="E75" s="465"/>
      <c r="F75" s="500"/>
      <c r="G75" s="855"/>
      <c r="H75" s="697"/>
      <c r="I75" s="1144"/>
      <c r="J75" s="697"/>
      <c r="K75" s="697"/>
      <c r="L75" s="697"/>
      <c r="M75" s="1145"/>
      <c r="N75" s="697"/>
      <c r="O75" s="697"/>
      <c r="P75" s="697"/>
    </row>
    <row r="76" spans="2:16" ht="21" customHeight="1" x14ac:dyDescent="0.25">
      <c r="B76" s="286" t="s">
        <v>1793</v>
      </c>
      <c r="C76" s="685" t="s">
        <v>807</v>
      </c>
      <c r="D76" s="282" t="s">
        <v>1794</v>
      </c>
      <c r="E76" s="281" t="s">
        <v>1063</v>
      </c>
      <c r="F76" s="855">
        <v>45839</v>
      </c>
      <c r="G76" s="855">
        <v>45992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</v>
      </c>
      <c r="O76" s="468">
        <f>SUM(K76:N76)</f>
        <v>23926.87</v>
      </c>
      <c r="P76" s="468">
        <f>+H76-O76</f>
        <v>96073.13</v>
      </c>
    </row>
    <row r="77" spans="2:16" ht="21" customHeight="1" x14ac:dyDescent="0.25">
      <c r="B77" s="466" t="s">
        <v>813</v>
      </c>
      <c r="C77" s="569"/>
      <c r="D77" s="492">
        <v>1</v>
      </c>
      <c r="E77" s="465"/>
      <c r="F77" s="500"/>
      <c r="G77" s="855"/>
      <c r="H77" s="695">
        <v>120000</v>
      </c>
      <c r="I77" s="1144">
        <v>0</v>
      </c>
      <c r="J77" s="697">
        <v>120000</v>
      </c>
      <c r="K77" s="697">
        <v>3444</v>
      </c>
      <c r="L77" s="697">
        <v>16809.87</v>
      </c>
      <c r="M77" s="1145">
        <v>3648</v>
      </c>
      <c r="N77" s="697">
        <v>25</v>
      </c>
      <c r="O77" s="697">
        <f>SUM(K77:N77)</f>
        <v>23926.87</v>
      </c>
      <c r="P77" s="697">
        <f>+H77-O77</f>
        <v>96073.13</v>
      </c>
    </row>
    <row r="78" spans="2:16" ht="21" customHeight="1" x14ac:dyDescent="0.25">
      <c r="B78" s="466"/>
      <c r="C78" s="569"/>
      <c r="D78" s="492"/>
      <c r="E78" s="465"/>
      <c r="F78" s="500"/>
      <c r="G78" s="855"/>
      <c r="H78" s="697"/>
      <c r="I78" s="1144"/>
      <c r="J78" s="697"/>
      <c r="K78" s="697"/>
      <c r="L78" s="697"/>
      <c r="M78" s="1145"/>
      <c r="N78" s="697"/>
      <c r="O78" s="697"/>
      <c r="P78" s="697"/>
    </row>
    <row r="79" spans="2:16" ht="21" customHeight="1" x14ac:dyDescent="0.25">
      <c r="B79" s="453" t="s">
        <v>1515</v>
      </c>
      <c r="C79" s="569"/>
      <c r="D79" s="492"/>
      <c r="E79" s="465"/>
      <c r="F79" s="1019"/>
      <c r="G79" s="857"/>
      <c r="H79" s="695"/>
      <c r="I79" s="1144"/>
      <c r="J79" s="697"/>
      <c r="K79" s="697"/>
      <c r="L79" s="697"/>
      <c r="M79" s="1145"/>
      <c r="N79" s="697"/>
      <c r="O79" s="697"/>
      <c r="P79" s="697"/>
    </row>
    <row r="80" spans="2:16" ht="32.25" customHeight="1" x14ac:dyDescent="0.25">
      <c r="B80" s="280" t="s">
        <v>1584</v>
      </c>
      <c r="C80" s="685" t="s">
        <v>806</v>
      </c>
      <c r="D80" s="282" t="s">
        <v>1357</v>
      </c>
      <c r="E80" s="281" t="s">
        <v>1063</v>
      </c>
      <c r="F80" s="855">
        <v>45931</v>
      </c>
      <c r="G80" s="855">
        <v>46082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ref="O80:O85" si="9">+K80+L80+M80+N80</f>
        <v>25398.49</v>
      </c>
      <c r="P80" s="498">
        <f t="shared" ref="P80:P85" si="10">+J80-O80</f>
        <v>99601.51</v>
      </c>
    </row>
    <row r="81" spans="2:16" ht="32.25" customHeight="1" x14ac:dyDescent="0.25">
      <c r="B81" s="280" t="s">
        <v>1585</v>
      </c>
      <c r="C81" s="685" t="s">
        <v>806</v>
      </c>
      <c r="D81" s="282" t="s">
        <v>1357</v>
      </c>
      <c r="E81" s="281" t="s">
        <v>1063</v>
      </c>
      <c r="F81" s="855">
        <v>45778</v>
      </c>
      <c r="G81" s="855">
        <v>45931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9"/>
        <v>25398.49</v>
      </c>
      <c r="P81" s="498">
        <f t="shared" si="10"/>
        <v>99601.51</v>
      </c>
    </row>
    <row r="82" spans="2:16" ht="32.25" customHeight="1" x14ac:dyDescent="0.25">
      <c r="B82" s="280" t="s">
        <v>1586</v>
      </c>
      <c r="C82" s="685" t="s">
        <v>806</v>
      </c>
      <c r="D82" s="282" t="s">
        <v>1355</v>
      </c>
      <c r="E82" s="281" t="s">
        <v>1063</v>
      </c>
      <c r="F82" s="855">
        <v>45931</v>
      </c>
      <c r="G82" s="855">
        <v>46082</v>
      </c>
      <c r="H82" s="626">
        <v>125000</v>
      </c>
      <c r="I82" s="1111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9"/>
        <v>25398.49</v>
      </c>
      <c r="P82" s="498">
        <f t="shared" si="10"/>
        <v>99601.51</v>
      </c>
    </row>
    <row r="83" spans="2:16" ht="32.25" customHeight="1" x14ac:dyDescent="0.25">
      <c r="B83" s="153" t="s">
        <v>1587</v>
      </c>
      <c r="C83" s="685" t="s">
        <v>806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125000</v>
      </c>
      <c r="I83" s="1111">
        <v>0</v>
      </c>
      <c r="J83" s="1038">
        <v>125000</v>
      </c>
      <c r="K83" s="1038">
        <v>3587.5</v>
      </c>
      <c r="L83" s="1037">
        <v>17985.990000000002</v>
      </c>
      <c r="M83" s="1150">
        <v>3800</v>
      </c>
      <c r="N83" s="1038">
        <v>25</v>
      </c>
      <c r="O83" s="468">
        <f t="shared" si="9"/>
        <v>25398.49</v>
      </c>
      <c r="P83" s="498">
        <f t="shared" si="10"/>
        <v>99601.51</v>
      </c>
    </row>
    <row r="84" spans="2:16" ht="32.25" customHeight="1" x14ac:dyDescent="0.25">
      <c r="B84" s="280" t="s">
        <v>1588</v>
      </c>
      <c r="C84" s="685" t="s">
        <v>806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69">
        <v>0</v>
      </c>
      <c r="J84" s="1038">
        <v>125000</v>
      </c>
      <c r="K84" s="1038">
        <v>3587.5</v>
      </c>
      <c r="L84" s="1037">
        <v>17985.990000000002</v>
      </c>
      <c r="M84" s="1150">
        <v>3800</v>
      </c>
      <c r="N84" s="1038">
        <v>25</v>
      </c>
      <c r="O84" s="468">
        <f t="shared" si="9"/>
        <v>25398.49</v>
      </c>
      <c r="P84" s="626">
        <f t="shared" si="10"/>
        <v>99601.51</v>
      </c>
    </row>
    <row r="85" spans="2:16" ht="32.25" customHeight="1" x14ac:dyDescent="0.25">
      <c r="B85" s="280" t="s">
        <v>1589</v>
      </c>
      <c r="C85" s="685" t="s">
        <v>807</v>
      </c>
      <c r="D85" s="282" t="s">
        <v>1357</v>
      </c>
      <c r="E85" s="281" t="s">
        <v>1063</v>
      </c>
      <c r="F85" s="855">
        <v>45931</v>
      </c>
      <c r="G85" s="855">
        <v>46082</v>
      </c>
      <c r="H85" s="626">
        <v>135000</v>
      </c>
      <c r="I85" s="1169">
        <v>0</v>
      </c>
      <c r="J85" s="1038">
        <v>135000</v>
      </c>
      <c r="K85" s="1038">
        <v>3874.5</v>
      </c>
      <c r="L85" s="1038">
        <v>19909.38</v>
      </c>
      <c r="M85" s="1150">
        <v>4104</v>
      </c>
      <c r="N85" s="1038">
        <v>1740.46</v>
      </c>
      <c r="O85" s="468">
        <f t="shared" si="9"/>
        <v>29628.34</v>
      </c>
      <c r="P85" s="626">
        <f t="shared" si="10"/>
        <v>105371.66</v>
      </c>
    </row>
    <row r="86" spans="2:16" ht="33" customHeight="1" x14ac:dyDescent="0.25">
      <c r="B86" s="153" t="s">
        <v>1590</v>
      </c>
      <c r="C86" s="685" t="s">
        <v>807</v>
      </c>
      <c r="D86" s="282" t="s">
        <v>1357</v>
      </c>
      <c r="E86" s="281" t="s">
        <v>1063</v>
      </c>
      <c r="F86" s="855">
        <v>45931</v>
      </c>
      <c r="G86" s="855">
        <v>46082</v>
      </c>
      <c r="H86" s="626">
        <v>125000</v>
      </c>
      <c r="I86" s="1111">
        <v>0</v>
      </c>
      <c r="J86" s="1038">
        <v>125000</v>
      </c>
      <c r="K86" s="1038">
        <v>3587.5</v>
      </c>
      <c r="L86" s="1038">
        <v>17985.990000000002</v>
      </c>
      <c r="M86" s="1150">
        <v>3800</v>
      </c>
      <c r="N86" s="1038">
        <v>25</v>
      </c>
      <c r="O86" s="468">
        <v>25398.49</v>
      </c>
      <c r="P86" s="498">
        <v>99601.51</v>
      </c>
    </row>
    <row r="87" spans="2:16" ht="21" customHeight="1" x14ac:dyDescent="0.25">
      <c r="B87" s="466" t="s">
        <v>813</v>
      </c>
      <c r="C87" s="569"/>
      <c r="D87" s="492">
        <v>7</v>
      </c>
      <c r="E87" s="465"/>
      <c r="F87" s="500"/>
      <c r="G87" s="855"/>
      <c r="H87" s="697">
        <f>SUM(H80:H86)</f>
        <v>885000</v>
      </c>
      <c r="I87" s="1112">
        <v>0</v>
      </c>
      <c r="J87" s="697">
        <f t="shared" ref="J87:P87" si="11">SUM(J80:J86)</f>
        <v>885000</v>
      </c>
      <c r="K87" s="697">
        <f t="shared" si="11"/>
        <v>25399.5</v>
      </c>
      <c r="L87" s="697">
        <f t="shared" si="11"/>
        <v>127825.32000000002</v>
      </c>
      <c r="M87" s="1145">
        <f t="shared" si="11"/>
        <v>26904</v>
      </c>
      <c r="N87" s="697">
        <f t="shared" si="11"/>
        <v>1890.46</v>
      </c>
      <c r="O87" s="697">
        <f t="shared" si="11"/>
        <v>182019.28</v>
      </c>
      <c r="P87" s="697">
        <f t="shared" si="11"/>
        <v>702980.72</v>
      </c>
    </row>
    <row r="88" spans="2:16" ht="21" customHeight="1" x14ac:dyDescent="0.25">
      <c r="B88" s="466"/>
      <c r="C88" s="569"/>
      <c r="D88" s="492"/>
      <c r="E88" s="465"/>
      <c r="F88" s="500"/>
      <c r="G88" s="855"/>
      <c r="H88" s="697"/>
      <c r="I88" s="1145"/>
      <c r="J88" s="697"/>
      <c r="K88" s="697"/>
      <c r="L88" s="697"/>
      <c r="M88" s="1145"/>
      <c r="N88" s="697"/>
      <c r="O88" s="697"/>
      <c r="P88" s="697"/>
    </row>
    <row r="89" spans="2:16" ht="21" customHeight="1" x14ac:dyDescent="0.25">
      <c r="B89" s="466" t="s">
        <v>821</v>
      </c>
      <c r="C89" s="569"/>
      <c r="D89" s="492"/>
      <c r="E89" s="465"/>
      <c r="F89" s="500"/>
      <c r="G89" s="855"/>
      <c r="H89" s="695"/>
      <c r="I89" s="1144"/>
      <c r="J89" s="697"/>
      <c r="K89" s="697"/>
      <c r="L89" s="697"/>
      <c r="M89" s="1145"/>
      <c r="N89" s="697"/>
      <c r="O89" s="697"/>
      <c r="P89" s="697"/>
    </row>
    <row r="90" spans="2:16" ht="30.75" customHeight="1" x14ac:dyDescent="0.25">
      <c r="B90" s="286" t="s">
        <v>593</v>
      </c>
      <c r="C90" s="685" t="s">
        <v>806</v>
      </c>
      <c r="D90" s="282" t="s">
        <v>1541</v>
      </c>
      <c r="E90" s="281" t="s">
        <v>1063</v>
      </c>
      <c r="F90" s="855">
        <v>45931</v>
      </c>
      <c r="G90" s="855">
        <v>46082</v>
      </c>
      <c r="H90" s="626">
        <v>150000</v>
      </c>
      <c r="I90" s="1169">
        <v>0</v>
      </c>
      <c r="J90" s="468">
        <v>150000</v>
      </c>
      <c r="K90" s="468">
        <v>4305</v>
      </c>
      <c r="L90" s="468">
        <v>23866.62</v>
      </c>
      <c r="M90" s="1149">
        <v>4560</v>
      </c>
      <c r="N90" s="468">
        <v>2568.4</v>
      </c>
      <c r="O90" s="468">
        <v>35300.019999999997</v>
      </c>
      <c r="P90" s="468">
        <f t="shared" ref="P90:P95" si="12">+J90-O90</f>
        <v>114699.98000000001</v>
      </c>
    </row>
    <row r="91" spans="2:16" ht="24.75" customHeight="1" x14ac:dyDescent="0.25">
      <c r="B91" s="286" t="s">
        <v>1591</v>
      </c>
      <c r="C91" s="684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11">
        <v>0</v>
      </c>
      <c r="J91" s="457">
        <v>70000</v>
      </c>
      <c r="K91" s="457">
        <v>2009</v>
      </c>
      <c r="L91" s="457">
        <v>5368.48</v>
      </c>
      <c r="M91" s="1149">
        <v>2128</v>
      </c>
      <c r="N91" s="468">
        <v>25</v>
      </c>
      <c r="O91" s="468">
        <f>+K91+L91+M91+N91</f>
        <v>9530.48</v>
      </c>
      <c r="P91" s="457">
        <f t="shared" si="12"/>
        <v>60469.520000000004</v>
      </c>
    </row>
    <row r="92" spans="2:16" ht="24.75" customHeight="1" x14ac:dyDescent="0.25">
      <c r="B92" s="286" t="s">
        <v>1288</v>
      </c>
      <c r="C92" s="685" t="s">
        <v>807</v>
      </c>
      <c r="D92" s="282" t="s">
        <v>417</v>
      </c>
      <c r="E92" s="281" t="s">
        <v>1063</v>
      </c>
      <c r="F92" s="855">
        <v>45931</v>
      </c>
      <c r="G92" s="855">
        <v>46082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5368.48</v>
      </c>
      <c r="M92" s="1149">
        <v>2128</v>
      </c>
      <c r="N92" s="468">
        <v>25</v>
      </c>
      <c r="O92" s="468">
        <f>+K92+L92+M92+N92</f>
        <v>9530.48</v>
      </c>
      <c r="P92" s="468">
        <f t="shared" si="12"/>
        <v>60469.520000000004</v>
      </c>
    </row>
    <row r="93" spans="2:16" ht="24.75" customHeight="1" x14ac:dyDescent="0.25">
      <c r="B93" s="286" t="s">
        <v>1496</v>
      </c>
      <c r="C93" s="685" t="s">
        <v>806</v>
      </c>
      <c r="D93" s="282" t="s">
        <v>489</v>
      </c>
      <c r="E93" s="281" t="s">
        <v>1063</v>
      </c>
      <c r="F93" s="855">
        <v>45931</v>
      </c>
      <c r="G93" s="855">
        <v>46082</v>
      </c>
      <c r="H93" s="626">
        <v>70000</v>
      </c>
      <c r="I93" s="1169">
        <v>0</v>
      </c>
      <c r="J93" s="468">
        <v>70000</v>
      </c>
      <c r="K93" s="468">
        <v>2009</v>
      </c>
      <c r="L93" s="468">
        <v>5368.48</v>
      </c>
      <c r="M93" s="1149">
        <v>2128</v>
      </c>
      <c r="N93" s="468">
        <v>25</v>
      </c>
      <c r="O93" s="468">
        <f>+K93+L93+M93+N93</f>
        <v>9530.48</v>
      </c>
      <c r="P93" s="468">
        <f t="shared" si="12"/>
        <v>60469.520000000004</v>
      </c>
    </row>
    <row r="94" spans="2:16" ht="21" customHeight="1" x14ac:dyDescent="0.25">
      <c r="B94" s="153" t="s">
        <v>1599</v>
      </c>
      <c r="C94" s="684" t="s">
        <v>806</v>
      </c>
      <c r="D94" s="282" t="s">
        <v>417</v>
      </c>
      <c r="E94" s="286" t="s">
        <v>1063</v>
      </c>
      <c r="F94" s="855">
        <v>45931</v>
      </c>
      <c r="G94" s="855">
        <v>46082</v>
      </c>
      <c r="H94" s="626">
        <v>70000</v>
      </c>
      <c r="I94" s="1111">
        <v>0</v>
      </c>
      <c r="J94" s="457">
        <v>70000</v>
      </c>
      <c r="K94" s="457">
        <v>2009</v>
      </c>
      <c r="L94" s="457">
        <v>5368.48</v>
      </c>
      <c r="M94" s="1149">
        <v>2128</v>
      </c>
      <c r="N94" s="468">
        <v>25</v>
      </c>
      <c r="O94" s="468">
        <f>+K94+L94+M94+N94</f>
        <v>9530.48</v>
      </c>
      <c r="P94" s="457">
        <f t="shared" si="12"/>
        <v>60469.520000000004</v>
      </c>
    </row>
    <row r="95" spans="2:16" ht="21" customHeight="1" x14ac:dyDescent="0.25">
      <c r="B95" s="153" t="s">
        <v>1786</v>
      </c>
      <c r="C95" s="684" t="s">
        <v>806</v>
      </c>
      <c r="D95" s="282" t="s">
        <v>417</v>
      </c>
      <c r="E95" s="286" t="s">
        <v>1063</v>
      </c>
      <c r="F95" s="855">
        <v>45839</v>
      </c>
      <c r="G95" s="855">
        <v>45992</v>
      </c>
      <c r="H95" s="626">
        <v>60000</v>
      </c>
      <c r="I95" s="1111">
        <v>0</v>
      </c>
      <c r="J95" s="457">
        <v>60000</v>
      </c>
      <c r="K95" s="457">
        <v>1722</v>
      </c>
      <c r="L95" s="457">
        <v>3486.68</v>
      </c>
      <c r="M95" s="1149">
        <v>1824</v>
      </c>
      <c r="N95" s="468">
        <v>25</v>
      </c>
      <c r="O95" s="468">
        <f>+K95+L95+M95+N95</f>
        <v>7057.68</v>
      </c>
      <c r="P95" s="457">
        <f t="shared" si="12"/>
        <v>52942.32</v>
      </c>
    </row>
    <row r="96" spans="2:16" ht="21" customHeight="1" x14ac:dyDescent="0.25">
      <c r="B96" s="466" t="s">
        <v>813</v>
      </c>
      <c r="C96" s="569"/>
      <c r="D96" s="492">
        <v>6</v>
      </c>
      <c r="E96" s="465"/>
      <c r="F96" s="500"/>
      <c r="G96" s="855"/>
      <c r="H96" s="695">
        <f>SUM(H90:H95)</f>
        <v>490000</v>
      </c>
      <c r="I96" s="1112">
        <v>0</v>
      </c>
      <c r="J96" s="695">
        <f t="shared" ref="J96:P96" si="13">SUM(J90:J95)</f>
        <v>490000</v>
      </c>
      <c r="K96" s="695">
        <f t="shared" si="13"/>
        <v>14063</v>
      </c>
      <c r="L96" s="695">
        <f t="shared" si="13"/>
        <v>48827.219999999994</v>
      </c>
      <c r="M96" s="695">
        <f t="shared" si="13"/>
        <v>14896</v>
      </c>
      <c r="N96" s="695">
        <f t="shared" si="13"/>
        <v>2693.4</v>
      </c>
      <c r="O96" s="695">
        <f t="shared" si="13"/>
        <v>80479.62</v>
      </c>
      <c r="P96" s="695">
        <f t="shared" si="13"/>
        <v>409520.38000000006</v>
      </c>
    </row>
    <row r="97" spans="2:16" ht="21" customHeight="1" x14ac:dyDescent="0.25">
      <c r="B97" s="490"/>
      <c r="C97" s="1223"/>
      <c r="D97" s="492"/>
      <c r="E97" s="465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ht="21" customHeight="1" x14ac:dyDescent="0.25">
      <c r="B98" s="490" t="s">
        <v>1542</v>
      </c>
      <c r="C98" s="1223"/>
      <c r="D98" s="492"/>
      <c r="E98" s="492"/>
      <c r="F98" s="856"/>
      <c r="G98" s="857"/>
      <c r="H98" s="695"/>
      <c r="I98" s="1112"/>
      <c r="J98" s="463"/>
      <c r="K98" s="463"/>
      <c r="L98" s="463"/>
      <c r="M98" s="1145"/>
      <c r="N98" s="697"/>
      <c r="O98" s="697"/>
      <c r="P98" s="463"/>
    </row>
    <row r="99" spans="2:16" ht="21" customHeight="1" x14ac:dyDescent="0.25">
      <c r="B99" s="496" t="s">
        <v>1592</v>
      </c>
      <c r="C99" s="684" t="s">
        <v>807</v>
      </c>
      <c r="D99" s="282" t="s">
        <v>1427</v>
      </c>
      <c r="E99" s="281" t="s">
        <v>1063</v>
      </c>
      <c r="F99" s="855">
        <v>45931</v>
      </c>
      <c r="G99" s="855">
        <v>46082</v>
      </c>
      <c r="H99" s="626">
        <v>185000</v>
      </c>
      <c r="I99" s="1111">
        <v>0</v>
      </c>
      <c r="J99" s="457">
        <v>185000</v>
      </c>
      <c r="K99" s="457">
        <v>5309.5</v>
      </c>
      <c r="L99" s="457">
        <v>32099.49</v>
      </c>
      <c r="M99" s="1149">
        <v>5624</v>
      </c>
      <c r="N99" s="468">
        <v>5010.4799999999996</v>
      </c>
      <c r="O99" s="468">
        <f>+K99+L99+M99+N99</f>
        <v>48043.47</v>
      </c>
      <c r="P99" s="457">
        <f>+J99-O99</f>
        <v>136956.53</v>
      </c>
    </row>
    <row r="100" spans="2:16" ht="21" customHeight="1" x14ac:dyDescent="0.25">
      <c r="B100" s="466" t="s">
        <v>813</v>
      </c>
      <c r="C100" s="569"/>
      <c r="D100" s="492">
        <v>1</v>
      </c>
      <c r="E100" s="492"/>
      <c r="F100" s="1016"/>
      <c r="G100" s="855"/>
      <c r="H100" s="695">
        <f>+H99</f>
        <v>185000</v>
      </c>
      <c r="I100" s="1144">
        <f t="shared" ref="I100:P100" si="14">SUM(I99)</f>
        <v>0</v>
      </c>
      <c r="J100" s="695">
        <f t="shared" si="14"/>
        <v>185000</v>
      </c>
      <c r="K100" s="695">
        <f t="shared" si="14"/>
        <v>5309.5</v>
      </c>
      <c r="L100" s="695">
        <f t="shared" si="14"/>
        <v>32099.49</v>
      </c>
      <c r="M100" s="1145">
        <f t="shared" si="14"/>
        <v>5624</v>
      </c>
      <c r="N100" s="695">
        <f>SUM(N99)</f>
        <v>5010.4799999999996</v>
      </c>
      <c r="O100" s="695">
        <f t="shared" si="14"/>
        <v>48043.47</v>
      </c>
      <c r="P100" s="695">
        <f t="shared" si="14"/>
        <v>136956.53</v>
      </c>
    </row>
    <row r="101" spans="2:16" ht="21" customHeight="1" x14ac:dyDescent="0.25">
      <c r="B101" s="490"/>
      <c r="C101" s="1223"/>
      <c r="D101" s="492"/>
      <c r="E101" s="492"/>
      <c r="F101" s="856"/>
      <c r="G101" s="857"/>
      <c r="H101" s="695"/>
      <c r="I101" s="1112"/>
      <c r="J101" s="494"/>
      <c r="K101" s="494"/>
      <c r="L101" s="494"/>
      <c r="M101" s="1145"/>
      <c r="N101" s="695"/>
      <c r="O101" s="695"/>
      <c r="P101" s="494"/>
    </row>
    <row r="102" spans="2:16" ht="30" customHeight="1" x14ac:dyDescent="0.25">
      <c r="B102" s="469" t="s">
        <v>1565</v>
      </c>
      <c r="C102" s="1223"/>
      <c r="D102" s="625"/>
      <c r="E102" s="281"/>
      <c r="F102" s="856"/>
      <c r="G102" s="857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s="259" customFormat="1" ht="21" customHeight="1" x14ac:dyDescent="0.25">
      <c r="B103" s="1251" t="s">
        <v>946</v>
      </c>
      <c r="C103" s="1252" t="s">
        <v>806</v>
      </c>
      <c r="D103" s="1246" t="s">
        <v>945</v>
      </c>
      <c r="E103" s="1247" t="s">
        <v>1063</v>
      </c>
      <c r="F103" s="855">
        <v>45931</v>
      </c>
      <c r="G103" s="855">
        <v>46082</v>
      </c>
      <c r="H103" s="1100">
        <v>65000</v>
      </c>
      <c r="I103" s="1249">
        <v>0</v>
      </c>
      <c r="J103" s="1100">
        <v>65000</v>
      </c>
      <c r="K103" s="1100">
        <v>1865.5</v>
      </c>
      <c r="L103" s="1103">
        <v>4427.58</v>
      </c>
      <c r="M103" s="1250">
        <v>1976</v>
      </c>
      <c r="N103" s="626">
        <v>8313.7999999999993</v>
      </c>
      <c r="O103" s="468">
        <f>SUM(K103:N103)</f>
        <v>16582.879999999997</v>
      </c>
      <c r="P103" s="675">
        <f>+J103-O103</f>
        <v>48417.120000000003</v>
      </c>
    </row>
    <row r="104" spans="2:16" ht="21" customHeight="1" x14ac:dyDescent="0.25">
      <c r="B104" s="1384" t="s">
        <v>1697</v>
      </c>
      <c r="C104" s="1322" t="s">
        <v>806</v>
      </c>
      <c r="D104" s="1246" t="s">
        <v>945</v>
      </c>
      <c r="E104" s="1247" t="s">
        <v>1063</v>
      </c>
      <c r="F104" s="855">
        <v>45839</v>
      </c>
      <c r="G104" s="855">
        <v>45992</v>
      </c>
      <c r="H104" s="626">
        <v>70000</v>
      </c>
      <c r="I104" s="1249">
        <v>0</v>
      </c>
      <c r="J104" s="1323">
        <v>70000</v>
      </c>
      <c r="K104" s="1323">
        <v>2009</v>
      </c>
      <c r="L104" s="1323">
        <v>5368.48</v>
      </c>
      <c r="M104" s="1150">
        <v>2128</v>
      </c>
      <c r="N104" s="1323">
        <v>25</v>
      </c>
      <c r="O104" s="1038">
        <f>SUM(K104:N104)</f>
        <v>9530.48</v>
      </c>
      <c r="P104" s="1038">
        <f>+H104-O104</f>
        <v>60469.520000000004</v>
      </c>
    </row>
    <row r="105" spans="2:16" ht="21" customHeight="1" x14ac:dyDescent="0.25">
      <c r="B105" s="460" t="s">
        <v>1593</v>
      </c>
      <c r="C105" s="1226" t="s">
        <v>806</v>
      </c>
      <c r="D105" s="625" t="s">
        <v>1773</v>
      </c>
      <c r="E105" s="281" t="s">
        <v>1063</v>
      </c>
      <c r="F105" s="855">
        <v>45931</v>
      </c>
      <c r="G105" s="855">
        <v>46082</v>
      </c>
      <c r="H105" s="626">
        <v>65000</v>
      </c>
      <c r="I105" s="1169">
        <v>0</v>
      </c>
      <c r="J105" s="626">
        <v>65000</v>
      </c>
      <c r="K105" s="626">
        <v>1865.5</v>
      </c>
      <c r="L105" s="626">
        <v>4427.58</v>
      </c>
      <c r="M105" s="1149">
        <v>1976</v>
      </c>
      <c r="N105" s="626">
        <v>25</v>
      </c>
      <c r="O105" s="468">
        <f>+K105+L105+M105+N105</f>
        <v>8294.08</v>
      </c>
      <c r="P105" s="468">
        <f>+J105-O105</f>
        <v>56705.919999999998</v>
      </c>
    </row>
    <row r="106" spans="2:16" ht="21" customHeight="1" x14ac:dyDescent="0.25">
      <c r="B106" s="466" t="s">
        <v>813</v>
      </c>
      <c r="C106" s="569"/>
      <c r="D106" s="492">
        <v>3</v>
      </c>
      <c r="E106" s="492"/>
      <c r="F106" s="1016"/>
      <c r="G106" s="860"/>
      <c r="H106" s="695">
        <f>SUM(H103:H105)</f>
        <v>200000</v>
      </c>
      <c r="I106" s="1144">
        <f>SUM(I105)</f>
        <v>0</v>
      </c>
      <c r="J106" s="695">
        <f t="shared" ref="J106:P106" si="15">SUM(J103:J105)</f>
        <v>200000</v>
      </c>
      <c r="K106" s="695">
        <f t="shared" si="15"/>
        <v>5740</v>
      </c>
      <c r="L106" s="695">
        <f t="shared" si="15"/>
        <v>14223.64</v>
      </c>
      <c r="M106" s="1145">
        <f t="shared" si="15"/>
        <v>6080</v>
      </c>
      <c r="N106" s="695">
        <f t="shared" si="15"/>
        <v>8363.7999999999993</v>
      </c>
      <c r="O106" s="695">
        <f t="shared" si="15"/>
        <v>34407.439999999995</v>
      </c>
      <c r="P106" s="695">
        <f t="shared" si="15"/>
        <v>165592.56</v>
      </c>
    </row>
    <row r="107" spans="2:16" ht="21" customHeight="1" x14ac:dyDescent="0.25">
      <c r="B107" s="490"/>
      <c r="C107" s="1223"/>
      <c r="D107" s="492"/>
      <c r="E107" s="492"/>
      <c r="F107" s="859"/>
      <c r="G107" s="860"/>
      <c r="H107" s="695"/>
      <c r="I107" s="1112"/>
      <c r="J107" s="494"/>
      <c r="K107" s="494"/>
      <c r="L107" s="494"/>
      <c r="M107" s="1145"/>
      <c r="N107" s="695"/>
      <c r="O107" s="695"/>
      <c r="P107" s="494"/>
    </row>
    <row r="108" spans="2:16" ht="21" customHeight="1" x14ac:dyDescent="0.25">
      <c r="B108" s="490" t="s">
        <v>1421</v>
      </c>
      <c r="C108" s="1223"/>
      <c r="D108" s="492"/>
      <c r="E108" s="492"/>
      <c r="F108" s="859"/>
      <c r="G108" s="860"/>
      <c r="H108" s="695"/>
      <c r="I108" s="1112"/>
      <c r="J108" s="494"/>
      <c r="K108" s="494"/>
      <c r="L108" s="494"/>
      <c r="M108" s="1145"/>
      <c r="N108" s="695"/>
      <c r="O108" s="695"/>
      <c r="P108" s="494"/>
    </row>
    <row r="109" spans="2:16" ht="30.75" customHeight="1" x14ac:dyDescent="0.25">
      <c r="B109" s="153" t="s">
        <v>1594</v>
      </c>
      <c r="C109" s="685" t="s">
        <v>807</v>
      </c>
      <c r="D109" s="282" t="s">
        <v>1422</v>
      </c>
      <c r="E109" s="281" t="s">
        <v>1063</v>
      </c>
      <c r="F109" s="855">
        <v>45931</v>
      </c>
      <c r="G109" s="855">
        <v>46082</v>
      </c>
      <c r="H109" s="626">
        <v>100000</v>
      </c>
      <c r="I109" s="1111">
        <v>0</v>
      </c>
      <c r="J109" s="498">
        <v>100000</v>
      </c>
      <c r="K109" s="498">
        <v>2870</v>
      </c>
      <c r="L109" s="498">
        <v>11676.5</v>
      </c>
      <c r="M109" s="1149">
        <v>3040</v>
      </c>
      <c r="N109" s="626">
        <v>5354.6</v>
      </c>
      <c r="O109" s="468">
        <f>+K109+L109+M109+N109</f>
        <v>22941.1</v>
      </c>
      <c r="P109" s="468">
        <f>+J109-O109</f>
        <v>77058.899999999994</v>
      </c>
    </row>
    <row r="110" spans="2:16" ht="21" customHeight="1" x14ac:dyDescent="0.25">
      <c r="B110" s="466" t="s">
        <v>813</v>
      </c>
      <c r="C110" s="685"/>
      <c r="D110" s="492">
        <v>1</v>
      </c>
      <c r="E110" s="281"/>
      <c r="F110" s="859"/>
      <c r="G110" s="860"/>
      <c r="H110" s="695">
        <v>100000</v>
      </c>
      <c r="I110" s="1112">
        <v>0</v>
      </c>
      <c r="J110" s="494">
        <v>100000</v>
      </c>
      <c r="K110" s="494">
        <v>2870</v>
      </c>
      <c r="L110" s="494">
        <v>11676.5</v>
      </c>
      <c r="M110" s="1145">
        <v>3040</v>
      </c>
      <c r="N110" s="695">
        <f>SUM(N109)</f>
        <v>5354.6</v>
      </c>
      <c r="O110" s="697">
        <f>SUM(O109)</f>
        <v>22941.1</v>
      </c>
      <c r="P110" s="494">
        <f>SUM(P109)</f>
        <v>77058.899999999994</v>
      </c>
    </row>
    <row r="111" spans="2:16" ht="21" customHeight="1" x14ac:dyDescent="0.25">
      <c r="B111" s="286"/>
      <c r="C111" s="685"/>
      <c r="D111" s="282"/>
      <c r="E111" s="492"/>
      <c r="F111" s="859"/>
      <c r="G111" s="860"/>
      <c r="H111" s="695"/>
      <c r="I111" s="1112"/>
      <c r="J111" s="494"/>
      <c r="K111" s="494"/>
      <c r="L111" s="494"/>
      <c r="M111" s="1145"/>
      <c r="N111" s="695"/>
      <c r="O111" s="695"/>
      <c r="P111" s="494"/>
    </row>
    <row r="112" spans="2:16" ht="28.5" customHeight="1" x14ac:dyDescent="0.25">
      <c r="B112" s="1014" t="s">
        <v>1477</v>
      </c>
      <c r="C112" s="570"/>
      <c r="D112" s="492"/>
      <c r="E112" s="465"/>
      <c r="F112" s="1016"/>
      <c r="G112" s="860"/>
      <c r="H112" s="695"/>
      <c r="I112" s="1144"/>
      <c r="J112" s="697"/>
      <c r="K112" s="697"/>
      <c r="L112" s="697"/>
      <c r="M112" s="1145"/>
      <c r="N112" s="697"/>
      <c r="O112" s="697"/>
      <c r="P112" s="697"/>
    </row>
    <row r="113" spans="2:16" s="259" customFormat="1" ht="33" customHeight="1" x14ac:dyDescent="0.25">
      <c r="B113" s="1251" t="s">
        <v>1752</v>
      </c>
      <c r="C113" s="1252" t="s">
        <v>807</v>
      </c>
      <c r="D113" s="1246" t="s">
        <v>1753</v>
      </c>
      <c r="E113" s="1247" t="s">
        <v>1063</v>
      </c>
      <c r="F113" s="855">
        <v>45839</v>
      </c>
      <c r="G113" s="855">
        <v>45992</v>
      </c>
      <c r="H113" s="1100">
        <v>120000</v>
      </c>
      <c r="I113" s="1249">
        <v>0</v>
      </c>
      <c r="J113" s="1100">
        <v>120000</v>
      </c>
      <c r="K113" s="1100">
        <v>3444</v>
      </c>
      <c r="L113" s="1103">
        <v>16809.87</v>
      </c>
      <c r="M113" s="1250">
        <v>3648</v>
      </c>
      <c r="N113" s="626">
        <v>1296.7</v>
      </c>
      <c r="O113" s="468">
        <f t="shared" ref="O113:O119" si="16">+K113+L113+M113+N113</f>
        <v>25198.57</v>
      </c>
      <c r="P113" s="675">
        <f>+J113-O113</f>
        <v>94801.43</v>
      </c>
    </row>
    <row r="114" spans="2:16" ht="21" customHeight="1" x14ac:dyDescent="0.25">
      <c r="B114" s="1017" t="s">
        <v>1595</v>
      </c>
      <c r="C114" s="1227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6"/>
        <v>9530.48</v>
      </c>
      <c r="P114" s="468">
        <f>+J114-O114</f>
        <v>60469.520000000004</v>
      </c>
    </row>
    <row r="115" spans="2:16" ht="21" customHeight="1" x14ac:dyDescent="0.25">
      <c r="B115" s="153" t="s">
        <v>1596</v>
      </c>
      <c r="C115" s="685" t="s">
        <v>807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5025.38</v>
      </c>
      <c r="M115" s="1149">
        <v>2128</v>
      </c>
      <c r="N115" s="468">
        <v>1740.46</v>
      </c>
      <c r="O115" s="468">
        <f t="shared" si="16"/>
        <v>10902.84</v>
      </c>
      <c r="P115" s="468">
        <f t="shared" ref="P115:P119" si="17">+J115-O115</f>
        <v>59097.16</v>
      </c>
    </row>
    <row r="116" spans="2:16" ht="21" customHeight="1" x14ac:dyDescent="0.25">
      <c r="B116" s="286" t="s">
        <v>610</v>
      </c>
      <c r="C116" s="685" t="s">
        <v>806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16"/>
        <v>9530.48</v>
      </c>
      <c r="P116" s="468">
        <f t="shared" si="17"/>
        <v>60469.520000000004</v>
      </c>
    </row>
    <row r="117" spans="2:16" ht="21" customHeight="1" x14ac:dyDescent="0.25">
      <c r="B117" s="153" t="s">
        <v>1792</v>
      </c>
      <c r="C117" s="685" t="s">
        <v>806</v>
      </c>
      <c r="D117" s="282" t="s">
        <v>414</v>
      </c>
      <c r="E117" s="281" t="s">
        <v>1063</v>
      </c>
      <c r="F117" s="855">
        <v>45931</v>
      </c>
      <c r="G117" s="855">
        <v>46082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16"/>
        <v>9530.48</v>
      </c>
      <c r="P117" s="468">
        <f t="shared" si="17"/>
        <v>60469.520000000004</v>
      </c>
    </row>
    <row r="118" spans="2:16" ht="21" customHeight="1" x14ac:dyDescent="0.25">
      <c r="B118" s="286" t="s">
        <v>1295</v>
      </c>
      <c r="C118" s="685" t="s">
        <v>1296</v>
      </c>
      <c r="D118" s="282" t="s">
        <v>414</v>
      </c>
      <c r="E118" s="281" t="s">
        <v>1063</v>
      </c>
      <c r="F118" s="855">
        <v>45931</v>
      </c>
      <c r="G118" s="855">
        <v>46082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5025.38</v>
      </c>
      <c r="M118" s="1149">
        <v>2128</v>
      </c>
      <c r="N118" s="468">
        <v>1740.46</v>
      </c>
      <c r="O118" s="468">
        <f t="shared" si="16"/>
        <v>10902.84</v>
      </c>
      <c r="P118" s="468">
        <f t="shared" si="17"/>
        <v>59097.16</v>
      </c>
    </row>
    <row r="119" spans="2:16" ht="21" customHeight="1" x14ac:dyDescent="0.25">
      <c r="B119" s="286" t="s">
        <v>1293</v>
      </c>
      <c r="C119" s="685" t="s">
        <v>807</v>
      </c>
      <c r="D119" s="282" t="s">
        <v>1294</v>
      </c>
      <c r="E119" s="281" t="s">
        <v>1063</v>
      </c>
      <c r="F119" s="1084">
        <v>45870</v>
      </c>
      <c r="G119" s="1084">
        <v>46023</v>
      </c>
      <c r="H119" s="626">
        <v>55000</v>
      </c>
      <c r="I119" s="1169">
        <v>0</v>
      </c>
      <c r="J119" s="468">
        <v>55000</v>
      </c>
      <c r="K119" s="468">
        <v>1578.5</v>
      </c>
      <c r="L119" s="468">
        <v>2559.6799999999998</v>
      </c>
      <c r="M119" s="1149">
        <v>1672</v>
      </c>
      <c r="N119" s="468">
        <v>25</v>
      </c>
      <c r="O119" s="468">
        <f t="shared" si="16"/>
        <v>5835.18</v>
      </c>
      <c r="P119" s="468">
        <f t="shared" si="17"/>
        <v>49164.82</v>
      </c>
    </row>
    <row r="120" spans="2:16" ht="21" customHeight="1" x14ac:dyDescent="0.25">
      <c r="B120" s="466" t="s">
        <v>813</v>
      </c>
      <c r="C120" s="569"/>
      <c r="D120" s="492">
        <v>7</v>
      </c>
      <c r="E120" s="465"/>
      <c r="F120" s="1016"/>
      <c r="G120" s="860"/>
      <c r="H120" s="695">
        <f>SUM(H113:H119)</f>
        <v>525000</v>
      </c>
      <c r="I120" s="1144">
        <f t="shared" ref="I120" si="18">SUM(I119)</f>
        <v>0</v>
      </c>
      <c r="J120" s="695">
        <f>SUM(J113:J119)</f>
        <v>525000</v>
      </c>
      <c r="K120" s="695">
        <f t="shared" ref="K120:O120" si="19">SUM(K113:K119)</f>
        <v>15067.5</v>
      </c>
      <c r="L120" s="695">
        <f t="shared" si="19"/>
        <v>45525.75</v>
      </c>
      <c r="M120" s="695">
        <f t="shared" si="19"/>
        <v>15960</v>
      </c>
      <c r="N120" s="695">
        <f t="shared" si="19"/>
        <v>4877.62</v>
      </c>
      <c r="O120" s="695">
        <f t="shared" si="19"/>
        <v>81430.87</v>
      </c>
      <c r="P120" s="695">
        <f>SUM(P113:P119)</f>
        <v>443569.13000000006</v>
      </c>
    </row>
    <row r="121" spans="2:16" ht="21" customHeight="1" x14ac:dyDescent="0.25">
      <c r="B121" s="490"/>
      <c r="C121" s="1223"/>
      <c r="D121" s="492"/>
      <c r="E121" s="465"/>
      <c r="F121" s="856"/>
      <c r="G121" s="857"/>
      <c r="H121" s="695"/>
      <c r="I121" s="1112"/>
      <c r="J121" s="463"/>
      <c r="K121" s="463"/>
      <c r="L121" s="463"/>
      <c r="M121" s="1145"/>
      <c r="N121" s="697"/>
      <c r="O121" s="697"/>
      <c r="P121" s="463"/>
    </row>
    <row r="122" spans="2:16" ht="30" customHeight="1" x14ac:dyDescent="0.25">
      <c r="B122" s="1014" t="s">
        <v>1476</v>
      </c>
      <c r="C122" s="570"/>
      <c r="D122" s="492"/>
      <c r="E122" s="465"/>
      <c r="F122" s="1019"/>
      <c r="G122" s="857"/>
      <c r="H122" s="695"/>
      <c r="I122" s="1144"/>
      <c r="J122" s="697"/>
      <c r="K122" s="697"/>
      <c r="L122" s="697"/>
      <c r="M122" s="1145"/>
      <c r="N122" s="697"/>
      <c r="O122" s="697"/>
      <c r="P122" s="697"/>
    </row>
    <row r="123" spans="2:16" ht="28.5" customHeight="1" x14ac:dyDescent="0.25">
      <c r="B123" s="153" t="s">
        <v>1754</v>
      </c>
      <c r="C123" s="684" t="s">
        <v>807</v>
      </c>
      <c r="D123" s="749" t="s">
        <v>1755</v>
      </c>
      <c r="E123" s="282" t="s">
        <v>1281</v>
      </c>
      <c r="F123" s="855">
        <v>45809</v>
      </c>
      <c r="G123" s="855">
        <v>45992</v>
      </c>
      <c r="H123" s="626">
        <v>120000</v>
      </c>
      <c r="I123" s="1111">
        <v>0</v>
      </c>
      <c r="J123" s="498">
        <v>120000</v>
      </c>
      <c r="K123" s="498">
        <v>3444</v>
      </c>
      <c r="L123" s="498">
        <v>16809.87</v>
      </c>
      <c r="M123" s="1149">
        <v>3648</v>
      </c>
      <c r="N123" s="626">
        <v>2568.4</v>
      </c>
      <c r="O123" s="468">
        <f>+K123+L123+M123+N123</f>
        <v>26470.27</v>
      </c>
      <c r="P123" s="457">
        <f>+J123-O123</f>
        <v>93529.73</v>
      </c>
    </row>
    <row r="124" spans="2:16" ht="28.5" customHeight="1" x14ac:dyDescent="0.25">
      <c r="B124" s="466" t="s">
        <v>813</v>
      </c>
      <c r="C124" s="684"/>
      <c r="D124" s="492">
        <v>1</v>
      </c>
      <c r="E124" s="282"/>
      <c r="F124" s="855"/>
      <c r="G124" s="855"/>
      <c r="H124" s="695">
        <f>SUM(H122:H123)</f>
        <v>120000</v>
      </c>
      <c r="I124" s="1112">
        <v>0</v>
      </c>
      <c r="J124" s="695">
        <f t="shared" ref="J124:O124" si="20">SUM(J122:J123)</f>
        <v>120000</v>
      </c>
      <c r="K124" s="695">
        <f t="shared" si="20"/>
        <v>3444</v>
      </c>
      <c r="L124" s="695">
        <f t="shared" si="20"/>
        <v>16809.87</v>
      </c>
      <c r="M124" s="695">
        <f t="shared" si="20"/>
        <v>3648</v>
      </c>
      <c r="N124" s="695">
        <f>SUM(N122:N123)</f>
        <v>2568.4</v>
      </c>
      <c r="O124" s="695">
        <f t="shared" si="20"/>
        <v>26470.27</v>
      </c>
      <c r="P124" s="695">
        <f>SUM(P122:P123)</f>
        <v>93529.73</v>
      </c>
    </row>
    <row r="125" spans="2:16" ht="21" customHeight="1" x14ac:dyDescent="0.25">
      <c r="B125" s="490"/>
      <c r="C125" s="1223"/>
      <c r="D125" s="492"/>
      <c r="E125" s="465"/>
      <c r="F125" s="859"/>
      <c r="G125" s="860"/>
      <c r="H125" s="695"/>
      <c r="I125" s="1112"/>
      <c r="J125" s="494"/>
      <c r="K125" s="494"/>
      <c r="L125" s="494"/>
      <c r="M125" s="1145"/>
      <c r="N125" s="695"/>
      <c r="O125" s="695"/>
      <c r="P125" s="494"/>
    </row>
    <row r="126" spans="2:16" ht="21" customHeight="1" x14ac:dyDescent="0.25">
      <c r="B126" s="466" t="s">
        <v>827</v>
      </c>
      <c r="C126" s="569"/>
      <c r="D126" s="492"/>
      <c r="E126" s="465"/>
      <c r="F126" s="1272"/>
      <c r="G126" s="711"/>
      <c r="H126" s="695"/>
      <c r="I126" s="1144"/>
      <c r="J126" s="697"/>
      <c r="K126" s="697"/>
      <c r="L126" s="697"/>
      <c r="M126" s="1145"/>
      <c r="N126" s="697"/>
      <c r="O126" s="697"/>
      <c r="P126" s="697"/>
    </row>
    <row r="127" spans="2:16" ht="21" customHeight="1" x14ac:dyDescent="0.25">
      <c r="B127" s="490" t="s">
        <v>1788</v>
      </c>
      <c r="C127" s="1223"/>
      <c r="D127" s="492"/>
      <c r="E127" s="465"/>
      <c r="F127" s="710"/>
      <c r="G127" s="711"/>
      <c r="H127" s="695"/>
      <c r="I127" s="1112"/>
      <c r="J127" s="463"/>
      <c r="K127" s="463"/>
      <c r="L127" s="463"/>
      <c r="M127" s="1145"/>
      <c r="N127" s="697"/>
      <c r="O127" s="697"/>
      <c r="P127" s="463"/>
    </row>
    <row r="128" spans="2:16" ht="30" customHeight="1" x14ac:dyDescent="0.25">
      <c r="B128" s="153" t="s">
        <v>1602</v>
      </c>
      <c r="C128" s="281" t="s">
        <v>807</v>
      </c>
      <c r="D128" s="282" t="s">
        <v>1032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>+K128+L128+M128+N128</f>
        <v>9530.48</v>
      </c>
      <c r="P128" s="468">
        <f>+J128-O128</f>
        <v>60469.520000000004</v>
      </c>
    </row>
    <row r="129" spans="2:16" ht="30" customHeight="1" x14ac:dyDescent="0.25">
      <c r="B129" s="153" t="s">
        <v>1613</v>
      </c>
      <c r="C129" s="281" t="s">
        <v>807</v>
      </c>
      <c r="D129" s="282" t="s">
        <v>417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4682.29</v>
      </c>
      <c r="M129" s="1149">
        <v>2128</v>
      </c>
      <c r="N129" s="468">
        <v>3455.92</v>
      </c>
      <c r="O129" s="468">
        <f>+K129+L129+M129+N129</f>
        <v>12275.210000000001</v>
      </c>
      <c r="P129" s="468">
        <f>+J129-O129</f>
        <v>57724.79</v>
      </c>
    </row>
    <row r="130" spans="2:16" ht="30" customHeight="1" x14ac:dyDescent="0.25">
      <c r="B130" s="153" t="s">
        <v>1606</v>
      </c>
      <c r="C130" s="281" t="s">
        <v>807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861">
        <v>5025.38</v>
      </c>
      <c r="M130" s="1149">
        <v>2128</v>
      </c>
      <c r="N130" s="468">
        <v>1740.46</v>
      </c>
      <c r="O130" s="468">
        <f t="shared" ref="O130:O135" si="21">+K130+L130+M130+N130</f>
        <v>10902.84</v>
      </c>
      <c r="P130" s="468">
        <f t="shared" ref="P130:P137" si="22">+J130-O130</f>
        <v>59097.16</v>
      </c>
    </row>
    <row r="131" spans="2:16" ht="30" customHeight="1" x14ac:dyDescent="0.25">
      <c r="B131" s="286" t="s">
        <v>725</v>
      </c>
      <c r="C131" s="281" t="s">
        <v>806</v>
      </c>
      <c r="D131" s="282" t="s">
        <v>823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1"/>
        <v>9530.48</v>
      </c>
      <c r="P131" s="468">
        <f t="shared" si="22"/>
        <v>60469.520000000004</v>
      </c>
    </row>
    <row r="132" spans="2:16" ht="30" customHeight="1" x14ac:dyDescent="0.25">
      <c r="B132" s="153" t="s">
        <v>1735</v>
      </c>
      <c r="C132" s="281" t="s">
        <v>806</v>
      </c>
      <c r="D132" s="282" t="s">
        <v>414</v>
      </c>
      <c r="E132" s="281" t="s">
        <v>1063</v>
      </c>
      <c r="F132" s="855">
        <v>45931</v>
      </c>
      <c r="G132" s="855">
        <v>46082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1"/>
        <v>9530.48</v>
      </c>
      <c r="P132" s="468">
        <f t="shared" si="22"/>
        <v>60469.520000000004</v>
      </c>
    </row>
    <row r="133" spans="2:16" ht="30" customHeight="1" x14ac:dyDescent="0.25">
      <c r="B133" s="153" t="s">
        <v>1609</v>
      </c>
      <c r="C133" s="281" t="s">
        <v>807</v>
      </c>
      <c r="D133" s="282" t="s">
        <v>414</v>
      </c>
      <c r="E133" s="281" t="s">
        <v>1063</v>
      </c>
      <c r="F133" s="855">
        <v>45931</v>
      </c>
      <c r="G133" s="855">
        <v>46082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21"/>
        <v>9530.48</v>
      </c>
      <c r="P133" s="468">
        <f t="shared" si="22"/>
        <v>60469.520000000004</v>
      </c>
    </row>
    <row r="134" spans="2:16" ht="30" customHeight="1" x14ac:dyDescent="0.25">
      <c r="B134" s="286" t="s">
        <v>1409</v>
      </c>
      <c r="C134" s="281" t="s">
        <v>807</v>
      </c>
      <c r="D134" s="282" t="s">
        <v>414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si="21"/>
        <v>9530.48</v>
      </c>
      <c r="P134" s="468">
        <f t="shared" si="22"/>
        <v>60469.520000000004</v>
      </c>
    </row>
    <row r="135" spans="2:16" ht="30" customHeight="1" x14ac:dyDescent="0.25">
      <c r="B135" s="286" t="s">
        <v>1787</v>
      </c>
      <c r="C135" s="281" t="s">
        <v>806</v>
      </c>
      <c r="D135" s="282" t="s">
        <v>823</v>
      </c>
      <c r="E135" s="281" t="s">
        <v>1063</v>
      </c>
      <c r="F135" s="855">
        <v>45839</v>
      </c>
      <c r="G135" s="855">
        <v>45992</v>
      </c>
      <c r="H135" s="626">
        <v>70000</v>
      </c>
      <c r="I135" s="1169">
        <v>0</v>
      </c>
      <c r="J135" s="468">
        <v>70000</v>
      </c>
      <c r="K135" s="468">
        <v>2009</v>
      </c>
      <c r="L135" s="468">
        <v>5368.48</v>
      </c>
      <c r="M135" s="1149">
        <v>2128</v>
      </c>
      <c r="N135" s="468">
        <v>25</v>
      </c>
      <c r="O135" s="468">
        <f t="shared" si="21"/>
        <v>9530.48</v>
      </c>
      <c r="P135" s="468">
        <f t="shared" si="22"/>
        <v>60469.520000000004</v>
      </c>
    </row>
    <row r="136" spans="2:16" ht="30" customHeight="1" x14ac:dyDescent="0.25">
      <c r="B136" s="153" t="s">
        <v>1622</v>
      </c>
      <c r="C136" s="281" t="s">
        <v>806</v>
      </c>
      <c r="D136" s="282" t="s">
        <v>1357</v>
      </c>
      <c r="E136" s="281" t="s">
        <v>1063</v>
      </c>
      <c r="F136" s="855">
        <v>45931</v>
      </c>
      <c r="G136" s="855">
        <v>46082</v>
      </c>
      <c r="H136" s="626">
        <v>125000</v>
      </c>
      <c r="I136" s="1169">
        <v>0</v>
      </c>
      <c r="J136" s="468">
        <v>125000</v>
      </c>
      <c r="K136" s="1038">
        <v>3587.5</v>
      </c>
      <c r="L136" s="1037">
        <v>17985.990000000002</v>
      </c>
      <c r="M136" s="1150">
        <v>3800</v>
      </c>
      <c r="N136" s="1038">
        <v>25</v>
      </c>
      <c r="O136" s="468">
        <f>+K136+L136+M136+N136</f>
        <v>25398.49</v>
      </c>
      <c r="P136" s="468">
        <f t="shared" si="22"/>
        <v>99601.51</v>
      </c>
    </row>
    <row r="137" spans="2:16" ht="30" customHeight="1" x14ac:dyDescent="0.25">
      <c r="B137" s="153" t="s">
        <v>1624</v>
      </c>
      <c r="C137" s="281" t="s">
        <v>806</v>
      </c>
      <c r="D137" s="282" t="s">
        <v>1683</v>
      </c>
      <c r="E137" s="281" t="s">
        <v>1063</v>
      </c>
      <c r="F137" s="855">
        <v>45931</v>
      </c>
      <c r="G137" s="855">
        <v>46082</v>
      </c>
      <c r="H137" s="626">
        <v>55000</v>
      </c>
      <c r="I137" s="1169">
        <v>0</v>
      </c>
      <c r="J137" s="468">
        <v>55000</v>
      </c>
      <c r="K137" s="468">
        <v>1578.5</v>
      </c>
      <c r="L137" s="468">
        <v>2302.36</v>
      </c>
      <c r="M137" s="1149">
        <v>1672</v>
      </c>
      <c r="N137" s="468">
        <v>1740.46</v>
      </c>
      <c r="O137" s="468">
        <f t="shared" ref="O137" si="23">+K137+L137+M137+N137</f>
        <v>7293.3200000000006</v>
      </c>
      <c r="P137" s="468">
        <f t="shared" si="22"/>
        <v>47706.68</v>
      </c>
    </row>
    <row r="138" spans="2:16" ht="21" customHeight="1" x14ac:dyDescent="0.25">
      <c r="B138" s="466" t="s">
        <v>813</v>
      </c>
      <c r="C138" s="569"/>
      <c r="D138" s="492">
        <v>10</v>
      </c>
      <c r="E138" s="465"/>
      <c r="F138" s="1016"/>
      <c r="G138" s="860"/>
      <c r="H138" s="695">
        <f>SUM(H128:H137)</f>
        <v>740000</v>
      </c>
      <c r="I138" s="1144">
        <v>0</v>
      </c>
      <c r="J138" s="695">
        <f t="shared" ref="J138:P138" si="24">SUM(J128:J137)</f>
        <v>740000</v>
      </c>
      <c r="K138" s="695">
        <f t="shared" si="24"/>
        <v>21238</v>
      </c>
      <c r="L138" s="695">
        <f t="shared" si="24"/>
        <v>62206.900000000009</v>
      </c>
      <c r="M138" s="695">
        <f t="shared" si="24"/>
        <v>22496</v>
      </c>
      <c r="N138" s="695">
        <f t="shared" si="24"/>
        <v>7111.84</v>
      </c>
      <c r="O138" s="695">
        <f t="shared" si="24"/>
        <v>113052.74</v>
      </c>
      <c r="P138" s="695">
        <f t="shared" si="24"/>
        <v>626947.26000000013</v>
      </c>
    </row>
    <row r="139" spans="2:16" ht="28.5" customHeight="1" x14ac:dyDescent="0.25">
      <c r="B139" s="286"/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014" t="s">
        <v>1804</v>
      </c>
      <c r="C140" s="569"/>
      <c r="D140" s="282"/>
      <c r="E140" s="465"/>
      <c r="F140" s="1272"/>
      <c r="G140" s="711"/>
      <c r="H140" s="695"/>
      <c r="I140" s="1144"/>
      <c r="J140" s="697"/>
      <c r="K140" s="697"/>
      <c r="L140" s="697"/>
      <c r="M140" s="1145"/>
      <c r="N140" s="697"/>
      <c r="O140" s="697"/>
      <c r="P140" s="697"/>
    </row>
    <row r="141" spans="2:16" ht="28.5" customHeight="1" x14ac:dyDescent="0.25">
      <c r="B141" s="153" t="s">
        <v>1087</v>
      </c>
      <c r="C141" s="680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ref="O141:O147" si="25">+K141+L141+M141+N141</f>
        <v>9530.48</v>
      </c>
      <c r="P141" s="628">
        <f t="shared" ref="P141:P145" si="26">+J141-O141</f>
        <v>60469.520000000004</v>
      </c>
    </row>
    <row r="142" spans="2:16" ht="28.5" customHeight="1" x14ac:dyDescent="0.25">
      <c r="B142" s="153" t="s">
        <v>1603</v>
      </c>
      <c r="C142" s="281" t="s">
        <v>806</v>
      </c>
      <c r="D142" s="282" t="s">
        <v>489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5"/>
        <v>9530.48</v>
      </c>
      <c r="P142" s="628">
        <f t="shared" si="26"/>
        <v>60469.520000000004</v>
      </c>
    </row>
    <row r="143" spans="2:16" ht="28.5" customHeight="1" x14ac:dyDescent="0.25">
      <c r="B143" s="153" t="s">
        <v>1618</v>
      </c>
      <c r="C143" s="281" t="s">
        <v>807</v>
      </c>
      <c r="D143" s="282" t="s">
        <v>414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25"/>
        <v>9530.48</v>
      </c>
      <c r="P143" s="628">
        <f t="shared" si="26"/>
        <v>60469.520000000004</v>
      </c>
    </row>
    <row r="144" spans="2:16" ht="28.5" customHeight="1" x14ac:dyDescent="0.25">
      <c r="B144" s="153" t="s">
        <v>1612</v>
      </c>
      <c r="C144" s="281" t="s">
        <v>1296</v>
      </c>
      <c r="D144" s="282" t="s">
        <v>417</v>
      </c>
      <c r="E144" s="281" t="s">
        <v>1063</v>
      </c>
      <c r="F144" s="855">
        <v>45931</v>
      </c>
      <c r="G144" s="855">
        <v>46082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5368.48</v>
      </c>
      <c r="M144" s="1149">
        <v>2128</v>
      </c>
      <c r="N144" s="628">
        <v>25</v>
      </c>
      <c r="O144" s="628">
        <f t="shared" si="25"/>
        <v>9530.48</v>
      </c>
      <c r="P144" s="628">
        <f t="shared" si="26"/>
        <v>60469.520000000004</v>
      </c>
    </row>
    <row r="145" spans="2:16" ht="28.5" customHeight="1" x14ac:dyDescent="0.25">
      <c r="B145" s="153" t="s">
        <v>1619</v>
      </c>
      <c r="C145" s="281" t="s">
        <v>806</v>
      </c>
      <c r="D145" s="282" t="s">
        <v>823</v>
      </c>
      <c r="E145" s="281" t="s">
        <v>1063</v>
      </c>
      <c r="F145" s="855">
        <v>45931</v>
      </c>
      <c r="G145" s="855">
        <v>46082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5025.38</v>
      </c>
      <c r="M145" s="1149">
        <v>2128</v>
      </c>
      <c r="N145" s="628">
        <v>1740.46</v>
      </c>
      <c r="O145" s="628">
        <f t="shared" si="25"/>
        <v>10902.84</v>
      </c>
      <c r="P145" s="628">
        <f t="shared" si="26"/>
        <v>59097.16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45931</v>
      </c>
      <c r="G146" s="855">
        <v>46082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>+J146-O146</f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25"/>
        <v>1502.5</v>
      </c>
      <c r="P147" s="628">
        <f>+J147-O147</f>
        <v>23497.5</v>
      </c>
    </row>
    <row r="148" spans="2:16" ht="21" customHeight="1" x14ac:dyDescent="0.25">
      <c r="B148" s="466" t="s">
        <v>813</v>
      </c>
      <c r="C148" s="569"/>
      <c r="D148" s="492">
        <v>7</v>
      </c>
      <c r="E148" s="465"/>
      <c r="F148" s="1016"/>
      <c r="G148" s="860"/>
      <c r="H148" s="695">
        <f>SUM(H141:H147)</f>
        <v>418500</v>
      </c>
      <c r="I148" s="1144">
        <v>0</v>
      </c>
      <c r="J148" s="695">
        <f t="shared" ref="J148:P148" si="27">SUM(J141:J147)</f>
        <v>418500</v>
      </c>
      <c r="K148" s="695">
        <f t="shared" si="27"/>
        <v>12010.95</v>
      </c>
      <c r="L148" s="695">
        <f t="shared" si="27"/>
        <v>27435.919999999998</v>
      </c>
      <c r="M148" s="695">
        <f t="shared" si="27"/>
        <v>12722.4</v>
      </c>
      <c r="N148" s="695">
        <f t="shared" si="27"/>
        <v>1890.46</v>
      </c>
      <c r="O148" s="695">
        <f t="shared" si="27"/>
        <v>54059.729999999996</v>
      </c>
      <c r="P148" s="695">
        <f t="shared" si="27"/>
        <v>364440.27</v>
      </c>
    </row>
    <row r="149" spans="2:16" ht="25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497" t="s">
        <v>806</v>
      </c>
      <c r="D151" s="749" t="s">
        <v>1782</v>
      </c>
      <c r="E151" s="282" t="s">
        <v>1063</v>
      </c>
      <c r="F151" s="855">
        <v>45931</v>
      </c>
      <c r="G151" s="855">
        <v>46082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28">+K152+L152+M152+N152</f>
        <v>9530.48</v>
      </c>
      <c r="P152" s="468">
        <f t="shared" ref="P152:P157" si="29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8"/>
        <v>9530.48</v>
      </c>
      <c r="P153" s="468">
        <f t="shared" si="29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8"/>
        <v>9530.48</v>
      </c>
      <c r="P154" s="468">
        <f t="shared" si="29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8"/>
        <v>9530.48</v>
      </c>
      <c r="P155" s="468">
        <f t="shared" si="29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45931</v>
      </c>
      <c r="G156" s="855">
        <v>46082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28"/>
        <v>9530.48</v>
      </c>
      <c r="P156" s="468">
        <f t="shared" si="29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45931</v>
      </c>
      <c r="G157" s="855">
        <v>46082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28"/>
        <v>9530.48</v>
      </c>
      <c r="P157" s="468">
        <f t="shared" si="29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45931</v>
      </c>
      <c r="G158" s="855">
        <v>46082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45931</v>
      </c>
      <c r="G159" s="855">
        <v>46082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30">SUM(J151:J159)</f>
        <v>638500</v>
      </c>
      <c r="K160" s="695">
        <f t="shared" si="30"/>
        <v>18324.95</v>
      </c>
      <c r="L160" s="695">
        <f t="shared" si="30"/>
        <v>52088.179999999993</v>
      </c>
      <c r="M160" s="695">
        <f t="shared" si="30"/>
        <v>19410.400000000001</v>
      </c>
      <c r="N160" s="695">
        <f t="shared" si="30"/>
        <v>1940.46</v>
      </c>
      <c r="O160" s="695">
        <f t="shared" si="30"/>
        <v>91763.989999999991</v>
      </c>
      <c r="P160" s="695">
        <f t="shared" si="30"/>
        <v>546736.01</v>
      </c>
    </row>
    <row r="161" spans="2:17" ht="23.2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45931</v>
      </c>
      <c r="G163" s="855">
        <v>46082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70" si="31">+K163+L163+M163+N163</f>
        <v>23926.87</v>
      </c>
      <c r="P163" s="468">
        <f t="shared" ref="P163:P170" si="32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31"/>
        <v>10902.84</v>
      </c>
      <c r="P164" s="468">
        <f t="shared" si="32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31"/>
        <v>12275.210000000001</v>
      </c>
      <c r="P165" s="468">
        <f t="shared" si="32"/>
        <v>57724.79</v>
      </c>
    </row>
    <row r="166" spans="2:17" ht="24" customHeight="1" x14ac:dyDescent="0.25">
      <c r="B166" s="153" t="s">
        <v>1833</v>
      </c>
      <c r="C166" s="685" t="s">
        <v>807</v>
      </c>
      <c r="D166" s="282" t="s">
        <v>1773</v>
      </c>
      <c r="E166" s="281" t="s">
        <v>1063</v>
      </c>
      <c r="F166" s="855">
        <v>45931</v>
      </c>
      <c r="G166" s="855">
        <v>46082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ref="O166" si="33">+K166+L166+M166+N166</f>
        <v>9530.48</v>
      </c>
      <c r="P166" s="468">
        <f t="shared" ref="P166" si="34">+J166-O166</f>
        <v>60469.520000000004</v>
      </c>
    </row>
    <row r="167" spans="2:17" ht="24" customHeight="1" x14ac:dyDescent="0.25">
      <c r="B167" s="153" t="s">
        <v>1611</v>
      </c>
      <c r="C167" s="685" t="s">
        <v>806</v>
      </c>
      <c r="D167" s="282" t="s">
        <v>417</v>
      </c>
      <c r="E167" s="281" t="s">
        <v>1063</v>
      </c>
      <c r="F167" s="855">
        <v>45931</v>
      </c>
      <c r="G167" s="855">
        <v>46082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31"/>
        <v>10902.84</v>
      </c>
      <c r="P167" s="468">
        <f t="shared" si="32"/>
        <v>59097.16</v>
      </c>
    </row>
    <row r="168" spans="2:17" ht="24" customHeight="1" x14ac:dyDescent="0.25">
      <c r="B168" s="153" t="s">
        <v>1610</v>
      </c>
      <c r="C168" s="685" t="s">
        <v>806</v>
      </c>
      <c r="D168" s="282" t="s">
        <v>417</v>
      </c>
      <c r="E168" s="281" t="s">
        <v>1063</v>
      </c>
      <c r="F168" s="855">
        <v>45931</v>
      </c>
      <c r="G168" s="855">
        <v>46082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5025.38</v>
      </c>
      <c r="M168" s="1149">
        <v>2128</v>
      </c>
      <c r="N168" s="468">
        <v>1740.46</v>
      </c>
      <c r="O168" s="468">
        <f t="shared" si="31"/>
        <v>10902.84</v>
      </c>
      <c r="P168" s="468">
        <f t="shared" si="32"/>
        <v>59097.16</v>
      </c>
    </row>
    <row r="169" spans="2:17" ht="24" customHeight="1" x14ac:dyDescent="0.25">
      <c r="B169" s="153" t="s">
        <v>1616</v>
      </c>
      <c r="C169" s="685" t="s">
        <v>806</v>
      </c>
      <c r="D169" s="282" t="s">
        <v>414</v>
      </c>
      <c r="E169" s="281" t="s">
        <v>1063</v>
      </c>
      <c r="F169" s="1084">
        <v>45870</v>
      </c>
      <c r="G169" s="1084">
        <v>46023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31"/>
        <v>9530.48</v>
      </c>
      <c r="P169" s="468">
        <f t="shared" si="32"/>
        <v>60469.520000000004</v>
      </c>
    </row>
    <row r="170" spans="2:17" ht="24" customHeight="1" x14ac:dyDescent="0.25">
      <c r="B170" s="153" t="s">
        <v>1615</v>
      </c>
      <c r="C170" s="685" t="s">
        <v>1296</v>
      </c>
      <c r="D170" s="282" t="s">
        <v>414</v>
      </c>
      <c r="E170" s="281" t="s">
        <v>1063</v>
      </c>
      <c r="F170" s="1084">
        <v>45870</v>
      </c>
      <c r="G170" s="1084">
        <v>46023</v>
      </c>
      <c r="H170" s="626">
        <v>70000</v>
      </c>
      <c r="I170" s="1169">
        <v>0</v>
      </c>
      <c r="J170" s="468">
        <v>70000</v>
      </c>
      <c r="K170" s="468">
        <v>2009</v>
      </c>
      <c r="L170" s="468">
        <v>5368.48</v>
      </c>
      <c r="M170" s="1149">
        <v>2128</v>
      </c>
      <c r="N170" s="468">
        <v>25</v>
      </c>
      <c r="O170" s="468">
        <f t="shared" si="31"/>
        <v>9530.48</v>
      </c>
      <c r="P170" s="468">
        <f t="shared" si="32"/>
        <v>60469.520000000004</v>
      </c>
    </row>
    <row r="171" spans="2:17" ht="24" customHeight="1" x14ac:dyDescent="0.25">
      <c r="B171" s="153" t="s">
        <v>1625</v>
      </c>
      <c r="C171" s="685" t="s">
        <v>1296</v>
      </c>
      <c r="D171" s="282" t="s">
        <v>1636</v>
      </c>
      <c r="E171" s="281" t="s">
        <v>1063</v>
      </c>
      <c r="F171" s="1084">
        <v>45870</v>
      </c>
      <c r="G171" s="1084">
        <v>46023</v>
      </c>
      <c r="H171" s="626">
        <v>43500</v>
      </c>
      <c r="I171" s="1169">
        <v>0</v>
      </c>
      <c r="J171" s="468">
        <v>43500</v>
      </c>
      <c r="K171" s="468">
        <v>1248.45</v>
      </c>
      <c r="L171" s="468">
        <v>936.62</v>
      </c>
      <c r="M171" s="1149">
        <v>1322.4</v>
      </c>
      <c r="N171" s="468">
        <v>25</v>
      </c>
      <c r="O171" s="468">
        <f>+K171+L171+M171+N171</f>
        <v>3532.4700000000003</v>
      </c>
      <c r="P171" s="468">
        <f>+J171-O171</f>
        <v>39967.53</v>
      </c>
    </row>
    <row r="172" spans="2:17" ht="21" customHeight="1" x14ac:dyDescent="0.25">
      <c r="B172" s="466" t="s">
        <v>813</v>
      </c>
      <c r="C172" s="569"/>
      <c r="D172" s="492">
        <v>9</v>
      </c>
      <c r="E172" s="465"/>
      <c r="F172" s="1016"/>
      <c r="G172" s="860"/>
      <c r="H172" s="695">
        <f>SUM(H163:H171)</f>
        <v>653500</v>
      </c>
      <c r="I172" s="1144">
        <v>0</v>
      </c>
      <c r="J172" s="695">
        <f t="shared" ref="J172:P172" si="35">SUM(J163:J171)</f>
        <v>653500</v>
      </c>
      <c r="K172" s="695">
        <f t="shared" si="35"/>
        <v>18755.45</v>
      </c>
      <c r="L172" s="695">
        <f t="shared" si="35"/>
        <v>53610.359999999993</v>
      </c>
      <c r="M172" s="695">
        <f t="shared" si="35"/>
        <v>19866.400000000001</v>
      </c>
      <c r="N172" s="695">
        <f t="shared" si="35"/>
        <v>8802.2999999999993</v>
      </c>
      <c r="O172" s="695">
        <f t="shared" si="35"/>
        <v>101034.50999999998</v>
      </c>
      <c r="P172" s="695">
        <f t="shared" si="35"/>
        <v>552465.49000000011</v>
      </c>
    </row>
    <row r="173" spans="2:17" ht="21" customHeight="1" x14ac:dyDescent="0.25">
      <c r="B173" s="466"/>
      <c r="C173" s="569"/>
      <c r="D173" s="492"/>
      <c r="E173" s="465"/>
      <c r="F173" s="1016"/>
      <c r="G173" s="860"/>
      <c r="H173" s="695">
        <f>+H172+H160+H148+H138</f>
        <v>2450500</v>
      </c>
      <c r="I173" s="1144">
        <v>0</v>
      </c>
      <c r="J173" s="695">
        <f t="shared" ref="J173:P173" si="36">+J172+J160+J148+J138</f>
        <v>2450500</v>
      </c>
      <c r="K173" s="695">
        <f t="shared" si="36"/>
        <v>70329.350000000006</v>
      </c>
      <c r="L173" s="695">
        <f t="shared" si="36"/>
        <v>195341.36</v>
      </c>
      <c r="M173" s="695">
        <f t="shared" si="36"/>
        <v>74495.200000000012</v>
      </c>
      <c r="N173" s="695">
        <f t="shared" si="36"/>
        <v>19745.059999999998</v>
      </c>
      <c r="O173" s="695">
        <f t="shared" si="36"/>
        <v>359910.97</v>
      </c>
      <c r="P173" s="695">
        <f t="shared" si="36"/>
        <v>2090589.0300000003</v>
      </c>
    </row>
    <row r="174" spans="2:17" ht="21" customHeight="1" x14ac:dyDescent="0.25">
      <c r="B174" s="490"/>
      <c r="C174" s="1223"/>
      <c r="D174" s="492"/>
      <c r="E174" s="465"/>
      <c r="F174" s="710"/>
      <c r="G174" s="711"/>
      <c r="H174" s="695"/>
      <c r="I174" s="1112"/>
      <c r="J174" s="463"/>
      <c r="K174" s="463"/>
      <c r="L174" s="463"/>
      <c r="M174" s="1145"/>
      <c r="N174" s="697"/>
      <c r="O174" s="697"/>
      <c r="P174" s="463"/>
    </row>
    <row r="175" spans="2:17" ht="23.25" customHeight="1" x14ac:dyDescent="0.25">
      <c r="B175" s="1048" t="s">
        <v>865</v>
      </c>
      <c r="C175" s="1053"/>
      <c r="D175" s="1125">
        <f>+D172+D160+D148+D138+D16+D20+D29+D33+D43+D47+D51+D59+D66+D73+D87+D96+D100+D106+D110+D120+D124+D38+D77+D24+D55+D63</f>
        <v>85</v>
      </c>
      <c r="E175" s="1125"/>
      <c r="F175" s="1125"/>
      <c r="G175" s="1125"/>
      <c r="H175" s="1126">
        <f>+H16+H20+H29+H33+H38+H43+H47+H51+H59+H66+H73+H87+H96+H100+H106+H110+H120+H124+H138+H148+H160+H172+H77+H63+H55+H24</f>
        <v>6980500</v>
      </c>
      <c r="I175" s="1114">
        <v>0</v>
      </c>
      <c r="J175" s="1126">
        <f t="shared" ref="J175:P175" si="37">+J16+J20+J29+J33+J38+J43+J47+J51+J59+J66+J73+J87+J96+J100+J106+J110+J120+J124+J138+J148+J160+J172+J77+J63+J55+J24</f>
        <v>6980500</v>
      </c>
      <c r="K175" s="1126">
        <f t="shared" si="37"/>
        <v>200340.35000000003</v>
      </c>
      <c r="L175" s="1126">
        <f t="shared" si="37"/>
        <v>704710.12</v>
      </c>
      <c r="M175" s="1126">
        <f t="shared" si="37"/>
        <v>212207.19999999998</v>
      </c>
      <c r="N175" s="1126">
        <f t="shared" si="37"/>
        <v>113274.66000000002</v>
      </c>
      <c r="O175" s="1126">
        <f t="shared" si="37"/>
        <v>1230532.33</v>
      </c>
      <c r="P175" s="1126">
        <f t="shared" si="37"/>
        <v>5749967.6699999999</v>
      </c>
    </row>
    <row r="176" spans="2:17" x14ac:dyDescent="0.25">
      <c r="B176" s="259"/>
      <c r="C176" s="1220"/>
      <c r="D176" s="259"/>
      <c r="E176" s="546"/>
      <c r="F176" s="546"/>
      <c r="G176" s="546"/>
      <c r="H176" s="862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ht="17.25" customHeight="1" x14ac:dyDescent="0.25">
      <c r="B180" s="259"/>
      <c r="C180" s="1220"/>
      <c r="D180" s="259"/>
      <c r="E180" s="546"/>
      <c r="F180" s="546"/>
      <c r="G180" s="546"/>
      <c r="H180" s="1179"/>
      <c r="I180" s="259"/>
      <c r="J180" s="259"/>
      <c r="K180" s="660"/>
      <c r="L180" s="660"/>
      <c r="M180" s="531"/>
      <c r="N180" s="660"/>
      <c r="O180" s="660"/>
      <c r="P180" s="259"/>
      <c r="Q180" s="259"/>
    </row>
    <row r="181" spans="2:17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7.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t="9.75" customHeight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hidden="1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ht="13.5" customHeight="1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hidden="1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 t="s">
        <v>641</v>
      </c>
      <c r="L187" s="259"/>
      <c r="M187" s="1152"/>
      <c r="N187" s="660"/>
      <c r="O187" s="660"/>
      <c r="P187" s="660"/>
      <c r="Q187" s="259"/>
    </row>
    <row r="188" spans="2:17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9.5" customHeight="1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20.25" customHeight="1" x14ac:dyDescent="0.25">
      <c r="B190" s="259"/>
      <c r="C190" s="1220"/>
      <c r="D190" s="259"/>
      <c r="E190" s="259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1.25" customHeight="1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x14ac:dyDescent="0.25">
      <c r="B192" s="537"/>
      <c r="C192" s="1062"/>
      <c r="D192" s="537"/>
      <c r="E192" s="692"/>
      <c r="F192" s="692"/>
      <c r="G192" s="692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ht="11.25" customHeight="1" x14ac:dyDescent="0.25">
      <c r="B193" s="537"/>
      <c r="C193" s="1062"/>
      <c r="D193" s="537"/>
      <c r="E193" s="537"/>
      <c r="F193" s="537"/>
      <c r="G193" s="537"/>
      <c r="H193" s="537"/>
      <c r="I193" s="537"/>
      <c r="J193" s="537"/>
      <c r="K193" s="537"/>
      <c r="L193" s="537"/>
      <c r="M193" s="542"/>
      <c r="N193" s="537"/>
      <c r="O193" s="537"/>
      <c r="P193" s="537"/>
      <c r="Q193" s="537"/>
    </row>
    <row r="194" spans="2:17" x14ac:dyDescent="0.25">
      <c r="B194" s="542" t="s">
        <v>1449</v>
      </c>
      <c r="C194" s="1202"/>
      <c r="D194" s="542"/>
      <c r="E194" s="691"/>
      <c r="F194" s="691"/>
      <c r="G194" s="691"/>
      <c r="H194" s="866"/>
      <c r="I194" s="674" t="s">
        <v>1377</v>
      </c>
      <c r="K194" s="674"/>
      <c r="L194" s="674"/>
      <c r="M194" s="1153"/>
      <c r="N194" s="1097"/>
      <c r="P194" s="674"/>
      <c r="Q194" s="544"/>
    </row>
    <row r="195" spans="2:17" ht="20.25" customHeight="1" x14ac:dyDescent="0.25">
      <c r="B195" s="546" t="s">
        <v>935</v>
      </c>
      <c r="C195" s="1203"/>
      <c r="D195" s="546"/>
      <c r="E195" s="538"/>
      <c r="F195" s="538"/>
      <c r="G195" s="538"/>
      <c r="H195" s="467"/>
      <c r="I195" s="537"/>
      <c r="J195" s="1708" t="s">
        <v>1375</v>
      </c>
      <c r="K195" s="1708"/>
      <c r="L195" s="1708"/>
      <c r="M195" s="1708"/>
      <c r="N195" s="1708"/>
      <c r="O195" s="1708"/>
      <c r="P195" s="1708"/>
      <c r="Q195" s="539"/>
    </row>
    <row r="196" spans="2:17" ht="12" customHeight="1" x14ac:dyDescent="0.25">
      <c r="B196" s="542" t="s">
        <v>1231</v>
      </c>
      <c r="C196" s="1202"/>
      <c r="D196" s="542"/>
      <c r="E196" s="537"/>
      <c r="G196" s="1062"/>
      <c r="H196" s="1062"/>
      <c r="I196" s="1062"/>
      <c r="J196" s="1692" t="s">
        <v>1554</v>
      </c>
      <c r="K196" s="1692"/>
      <c r="L196" s="1692"/>
      <c r="M196" s="1692"/>
      <c r="N196" s="1692"/>
      <c r="O196" s="1692"/>
      <c r="P196" s="1692"/>
      <c r="Q196" s="537"/>
    </row>
    <row r="197" spans="2:17" ht="177.75" customHeight="1" x14ac:dyDescent="0.25">
      <c r="B197" s="546"/>
      <c r="C197" s="1203"/>
      <c r="D197" s="546"/>
      <c r="E197" s="547"/>
      <c r="F197" s="547"/>
      <c r="G197" s="547"/>
      <c r="H197" s="546"/>
      <c r="I197" s="541"/>
      <c r="J197" s="540"/>
      <c r="K197" s="537"/>
      <c r="L197" s="673" t="s">
        <v>1374</v>
      </c>
      <c r="M197" s="758"/>
      <c r="N197" s="513"/>
      <c r="O197" s="513"/>
      <c r="P197" s="673"/>
      <c r="Q197" s="673"/>
    </row>
    <row r="198" spans="2:17" ht="51" customHeight="1" x14ac:dyDescent="0.25">
      <c r="B198" s="267"/>
      <c r="C198" s="1228"/>
      <c r="D198" s="267"/>
      <c r="E198" s="268"/>
      <c r="F198" s="268"/>
      <c r="G198" s="268"/>
      <c r="H198" s="268"/>
      <c r="I198" s="269"/>
      <c r="J198" s="268"/>
      <c r="K198" s="268"/>
      <c r="L198" s="268"/>
      <c r="M198" s="267"/>
      <c r="N198" s="205"/>
      <c r="O198" s="1324"/>
      <c r="P198" s="271"/>
      <c r="Q198" s="259"/>
    </row>
    <row r="199" spans="2:17" s="259" customFormat="1" ht="24" customHeight="1" x14ac:dyDescent="0.25">
      <c r="C199" s="1220"/>
      <c r="E199" s="668"/>
      <c r="F199" s="668"/>
      <c r="G199" s="668"/>
      <c r="M199" s="531"/>
      <c r="N199"/>
      <c r="O199"/>
    </row>
    <row r="200" spans="2:17" x14ac:dyDescent="0.25">
      <c r="L200" s="259"/>
      <c r="M200" s="531"/>
    </row>
  </sheetData>
  <mergeCells count="21">
    <mergeCell ref="B11:B12"/>
    <mergeCell ref="C11:C12"/>
    <mergeCell ref="D11:D12"/>
    <mergeCell ref="E11:E12"/>
    <mergeCell ref="F11:F12"/>
    <mergeCell ref="B5:P5"/>
    <mergeCell ref="B6:P6"/>
    <mergeCell ref="B7:P7"/>
    <mergeCell ref="B8:P8"/>
    <mergeCell ref="B9:P9"/>
    <mergeCell ref="G11:G12"/>
    <mergeCell ref="I11:I12"/>
    <mergeCell ref="J11:J12"/>
    <mergeCell ref="K11:K12"/>
    <mergeCell ref="L11:L12"/>
    <mergeCell ref="N11:N12"/>
    <mergeCell ref="O11:O12"/>
    <mergeCell ref="P11:P12"/>
    <mergeCell ref="J195:P195"/>
    <mergeCell ref="J196:P196"/>
    <mergeCell ref="M11:M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5" min="1" max="15" man="1"/>
    <brk id="105" min="1" max="15" man="1"/>
    <brk id="148" min="1" max="15" man="1"/>
  </rowBreaks>
  <drawing r:id="rId2"/>
</worksheet>
</file>

<file path=xl/worksheets/sheet3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C12302-7BBB-4F27-849A-6CEAE4B63245}">
  <sheetPr>
    <pageSetUpPr fitToPage="1"/>
  </sheetPr>
  <dimension ref="B5:M50"/>
  <sheetViews>
    <sheetView showGridLines="0" zoomScale="124" zoomScaleNormal="124" zoomScaleSheetLayoutView="100" workbookViewId="0">
      <selection activeCell="D30" sqref="D3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693" t="s">
        <v>0</v>
      </c>
      <c r="C5" s="1693"/>
      <c r="D5" s="1693"/>
      <c r="E5" s="1693"/>
      <c r="F5" s="1693"/>
      <c r="G5" s="1693"/>
      <c r="H5" s="1693"/>
      <c r="I5" s="1693"/>
      <c r="J5" s="1693"/>
      <c r="K5" s="1693"/>
      <c r="L5" s="1693"/>
      <c r="M5" s="1693"/>
    </row>
    <row r="6" spans="2:13" ht="13.5" customHeight="1" x14ac:dyDescent="0.25">
      <c r="B6" s="1693" t="s">
        <v>1</v>
      </c>
      <c r="C6" s="1693"/>
      <c r="D6" s="1693"/>
      <c r="E6" s="1693"/>
      <c r="F6" s="1693"/>
      <c r="G6" s="1693"/>
      <c r="H6" s="1693"/>
      <c r="I6" s="1693"/>
      <c r="J6" s="1693"/>
      <c r="K6" s="1693"/>
      <c r="L6" s="1693"/>
      <c r="M6" s="1693"/>
    </row>
    <row r="7" spans="2:13" ht="12" customHeight="1" x14ac:dyDescent="0.25">
      <c r="B7" s="1693" t="s">
        <v>3</v>
      </c>
      <c r="C7" s="1693"/>
      <c r="D7" s="1693"/>
      <c r="E7" s="1693"/>
      <c r="F7" s="1693"/>
      <c r="G7" s="1693"/>
      <c r="H7" s="1693"/>
      <c r="I7" s="1693"/>
      <c r="J7" s="1693"/>
      <c r="K7" s="1693"/>
      <c r="L7" s="1693"/>
      <c r="M7" s="1693"/>
    </row>
    <row r="8" spans="2:13" x14ac:dyDescent="0.25">
      <c r="B8" s="1693" t="s">
        <v>1830</v>
      </c>
      <c r="C8" s="1693"/>
      <c r="D8" s="1693"/>
      <c r="E8" s="1693"/>
      <c r="F8" s="1693"/>
      <c r="G8" s="1693"/>
      <c r="H8" s="1693"/>
      <c r="I8" s="1693"/>
      <c r="J8" s="1693"/>
      <c r="K8" s="1693"/>
      <c r="L8" s="1693"/>
      <c r="M8" s="1693"/>
    </row>
    <row r="9" spans="2:13" x14ac:dyDescent="0.25">
      <c r="B9" s="1694" t="s">
        <v>886</v>
      </c>
      <c r="C9" s="1694"/>
      <c r="D9" s="1694"/>
      <c r="E9" s="1694"/>
      <c r="F9" s="1694"/>
      <c r="G9" s="1694"/>
      <c r="H9" s="1694"/>
      <c r="I9" s="1694"/>
      <c r="J9" s="1694"/>
      <c r="K9" s="1694"/>
      <c r="L9" s="1694"/>
      <c r="M9" s="1694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728"/>
      <c r="C11" s="1728" t="s">
        <v>802</v>
      </c>
      <c r="D11" s="1728" t="s">
        <v>9</v>
      </c>
      <c r="E11" s="1331" t="s">
        <v>12</v>
      </c>
      <c r="F11" s="1763" t="s">
        <v>13</v>
      </c>
      <c r="G11" s="1761" t="s">
        <v>14</v>
      </c>
      <c r="H11" s="1761" t="s">
        <v>15</v>
      </c>
      <c r="I11" s="1761" t="s">
        <v>16</v>
      </c>
      <c r="J11" s="1761" t="s">
        <v>17</v>
      </c>
      <c r="K11" s="1761" t="s">
        <v>18</v>
      </c>
      <c r="L11" s="1761" t="s">
        <v>19</v>
      </c>
      <c r="M11" s="1761" t="s">
        <v>20</v>
      </c>
    </row>
    <row r="12" spans="2:13" ht="16.5" customHeight="1" x14ac:dyDescent="0.25">
      <c r="B12" s="1729"/>
      <c r="C12" s="1729"/>
      <c r="D12" s="1729"/>
      <c r="E12" s="1331" t="s">
        <v>21</v>
      </c>
      <c r="F12" s="1764"/>
      <c r="G12" s="1762"/>
      <c r="H12" s="1762"/>
      <c r="I12" s="1762"/>
      <c r="J12" s="1762"/>
      <c r="K12" s="1762"/>
      <c r="L12" s="1762"/>
      <c r="M12" s="1762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 t="shared" ref="G19:I19" si="1">+G18</f>
        <v>46500</v>
      </c>
      <c r="H19" s="1341">
        <f t="shared" si="1"/>
        <v>1334.55</v>
      </c>
      <c r="I19" s="1341">
        <f t="shared" si="1"/>
        <v>8816.5</v>
      </c>
      <c r="J19" s="1341">
        <f>+J18</f>
        <v>1413.6</v>
      </c>
      <c r="K19" s="1342">
        <v>0</v>
      </c>
      <c r="L19" s="1341">
        <f t="shared" ref="L19" si="2"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3">+G19+G15</f>
        <v>93000</v>
      </c>
      <c r="H22" s="1383">
        <f t="shared" si="3"/>
        <v>2669.1</v>
      </c>
      <c r="I22" s="1383">
        <f t="shared" si="3"/>
        <v>17633</v>
      </c>
      <c r="J22" s="1383">
        <f t="shared" si="3"/>
        <v>2827.2</v>
      </c>
      <c r="K22" s="1355">
        <v>0</v>
      </c>
      <c r="L22" s="1383">
        <f t="shared" si="3"/>
        <v>23129.3</v>
      </c>
      <c r="M22" s="1383">
        <f t="shared" si="3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696" t="s">
        <v>1372</v>
      </c>
      <c r="H38" s="1696"/>
      <c r="I38" s="1696"/>
      <c r="J38" s="1696"/>
      <c r="K38" s="1696"/>
      <c r="L38" s="1696"/>
    </row>
    <row r="39" spans="2:13" x14ac:dyDescent="0.25">
      <c r="B39" s="1083" t="s">
        <v>1238</v>
      </c>
      <c r="C39" s="1083"/>
      <c r="D39" s="921"/>
      <c r="E39" s="915"/>
      <c r="F39" s="915"/>
      <c r="G39" s="1702" t="s">
        <v>1222</v>
      </c>
      <c r="H39" s="1702"/>
      <c r="I39" s="1702"/>
      <c r="J39" s="1702"/>
      <c r="K39" s="1702"/>
      <c r="L39" s="1702"/>
    </row>
    <row r="40" spans="2:13" x14ac:dyDescent="0.25">
      <c r="B40" s="916" t="s">
        <v>1239</v>
      </c>
      <c r="C40" s="916"/>
      <c r="D40" s="915"/>
      <c r="E40" s="915"/>
      <c r="F40" s="923"/>
      <c r="G40" s="1701" t="s">
        <v>1503</v>
      </c>
      <c r="H40" s="1701"/>
      <c r="I40" s="1701"/>
      <c r="J40" s="1701"/>
      <c r="K40" s="1701"/>
      <c r="L40" s="1701"/>
    </row>
    <row r="44" spans="2:13" ht="30" customHeight="1" x14ac:dyDescent="0.25"/>
    <row r="48" spans="2:13" x14ac:dyDescent="0.25">
      <c r="E48" s="924"/>
      <c r="F48" s="923"/>
      <c r="G48" s="915"/>
      <c r="H48" s="1698"/>
      <c r="I48" s="1698"/>
      <c r="J48" s="1698"/>
      <c r="K48" s="1698"/>
      <c r="L48" s="1698"/>
      <c r="M48" s="1698"/>
    </row>
    <row r="49" spans="5:13" x14ac:dyDescent="0.25">
      <c r="E49" s="925"/>
      <c r="F49" s="1694"/>
      <c r="G49" s="1694"/>
      <c r="H49" s="1694"/>
      <c r="I49" s="1694"/>
      <c r="J49" s="1694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8:M48"/>
    <mergeCell ref="F49:J49"/>
  </mergeCells>
  <pageMargins left="0.37" right="7.874015748031496E-2" top="0.11" bottom="0.08" header="0" footer="0"/>
  <pageSetup scale="67" orientation="landscape" r:id="rId1"/>
  <drawing r:id="rId2"/>
</worksheet>
</file>

<file path=xl/worksheets/sheet3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2CF2F6-8D13-456A-BAB5-0867D53381AC}">
  <sheetPr>
    <pageSetUpPr fitToPage="1"/>
  </sheetPr>
  <dimension ref="A6:M78"/>
  <sheetViews>
    <sheetView showGridLines="0" topLeftCell="B27" zoomScale="110" zoomScaleNormal="110" workbookViewId="0">
      <selection activeCell="B9" sqref="B9:M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51" t="s">
        <v>0</v>
      </c>
      <c r="C6" s="1551"/>
      <c r="D6" s="1551"/>
      <c r="E6" s="1551"/>
      <c r="F6" s="1551"/>
      <c r="G6" s="1551"/>
      <c r="H6" s="1551"/>
      <c r="I6" s="1551"/>
      <c r="J6" s="1551"/>
      <c r="K6" s="1551"/>
      <c r="L6" s="1551"/>
      <c r="M6" s="1551"/>
    </row>
    <row r="7" spans="2:13" x14ac:dyDescent="0.25">
      <c r="B7" s="1551" t="s">
        <v>1</v>
      </c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2:13" x14ac:dyDescent="0.25">
      <c r="B8" s="1551" t="s">
        <v>3</v>
      </c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2:13" x14ac:dyDescent="0.25">
      <c r="B9" s="1551" t="s">
        <v>1831</v>
      </c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2:13" x14ac:dyDescent="0.25">
      <c r="B10" s="1552" t="s">
        <v>1197</v>
      </c>
      <c r="C10" s="1552"/>
      <c r="D10" s="1552"/>
      <c r="E10" s="1552"/>
      <c r="F10" s="1552"/>
      <c r="G10" s="1552"/>
      <c r="H10" s="1552"/>
      <c r="I10" s="1552"/>
      <c r="J10" s="1552"/>
      <c r="K10" s="1552"/>
      <c r="L10" s="1552"/>
      <c r="M10" s="1552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712" t="s">
        <v>7</v>
      </c>
      <c r="C12" s="1709" t="s">
        <v>802</v>
      </c>
      <c r="D12" s="1709" t="s">
        <v>9</v>
      </c>
      <c r="E12" s="1067" t="s">
        <v>12</v>
      </c>
      <c r="F12" s="1721" t="s">
        <v>13</v>
      </c>
      <c r="G12" s="1720" t="s">
        <v>14</v>
      </c>
      <c r="H12" s="1720" t="s">
        <v>15</v>
      </c>
      <c r="I12" s="1720" t="s">
        <v>16</v>
      </c>
      <c r="J12" s="1720" t="s">
        <v>17</v>
      </c>
      <c r="K12" s="1720" t="s">
        <v>18</v>
      </c>
      <c r="L12" s="1720" t="s">
        <v>19</v>
      </c>
      <c r="M12" s="1720" t="s">
        <v>20</v>
      </c>
    </row>
    <row r="13" spans="2:13" ht="15" customHeight="1" x14ac:dyDescent="0.25">
      <c r="B13" s="1712"/>
      <c r="C13" s="1709"/>
      <c r="D13" s="1709"/>
      <c r="E13" s="1067" t="s">
        <v>21</v>
      </c>
      <c r="F13" s="1721"/>
      <c r="G13" s="1720"/>
      <c r="H13" s="1720"/>
      <c r="I13" s="1720"/>
      <c r="J13" s="1720"/>
      <c r="K13" s="1720"/>
      <c r="L13" s="1720"/>
      <c r="M13" s="1720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34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 t="shared" ref="H24:J24" si="2">SUM(H23)</f>
        <v>574</v>
      </c>
      <c r="I24" s="697">
        <f t="shared" si="2"/>
        <v>4704.5</v>
      </c>
      <c r="J24" s="697">
        <f t="shared" si="2"/>
        <v>608</v>
      </c>
      <c r="K24" s="1112">
        <f t="shared" ref="K24" si="3"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8.75" customHeight="1" x14ac:dyDescent="0.3">
      <c r="B41" s="1375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4">+G16+G20+G24+G28+G32+G36+G39</f>
        <v>201500</v>
      </c>
      <c r="H41" s="1065">
        <f t="shared" si="4"/>
        <v>5783.05</v>
      </c>
      <c r="I41" s="1065">
        <f t="shared" si="4"/>
        <v>44236.94</v>
      </c>
      <c r="J41" s="1065">
        <f t="shared" si="4"/>
        <v>6125.6</v>
      </c>
      <c r="K41" s="1114">
        <v>0</v>
      </c>
      <c r="L41" s="1065">
        <f t="shared" si="4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682" t="s">
        <v>1250</v>
      </c>
      <c r="H52" s="1682"/>
      <c r="I52" s="1682"/>
      <c r="J52" s="1682"/>
      <c r="K52" s="1682"/>
      <c r="L52" s="1682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627" t="s">
        <v>852</v>
      </c>
      <c r="H53" s="1627"/>
      <c r="I53" s="1627"/>
      <c r="J53" s="1627"/>
      <c r="K53" s="1627"/>
      <c r="L53" s="1627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628" t="s">
        <v>1506</v>
      </c>
      <c r="H54" s="1628"/>
      <c r="I54" s="1628"/>
      <c r="J54" s="1628"/>
      <c r="K54" s="1628"/>
      <c r="L54" s="1628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629"/>
      <c r="I55" s="1629"/>
      <c r="J55" s="1629"/>
      <c r="K55" s="1629"/>
      <c r="L55" s="1629"/>
      <c r="M55" s="1629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552"/>
      <c r="G68" s="1552"/>
      <c r="H68" s="1552"/>
      <c r="I68" s="1552"/>
      <c r="J68" s="1552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2:L52"/>
    <mergeCell ref="G53:L53"/>
    <mergeCell ref="G54:L54"/>
    <mergeCell ref="H55:M55"/>
    <mergeCell ref="F68:J68"/>
  </mergeCells>
  <pageMargins left="0.75" right="0.21" top="0.15" bottom="0.01" header="0.12" footer="0.02"/>
  <pageSetup scale="52" fitToHeight="0" orientation="landscape" r:id="rId1"/>
  <drawing r:id="rId2"/>
</worksheet>
</file>

<file path=xl/worksheets/sheet3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639FC3-2F2A-4EC9-AE13-13807AA20571}">
  <sheetPr>
    <pageSetUpPr fitToPage="1"/>
  </sheetPr>
  <dimension ref="A1:M85"/>
  <sheetViews>
    <sheetView topLeftCell="A34" zoomScale="80" zoomScaleNormal="80" zoomScaleSheetLayoutView="80" workbookViewId="0">
      <selection activeCell="C47" sqref="C47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551" t="s">
        <v>0</v>
      </c>
      <c r="B7" s="1551"/>
      <c r="C7" s="1551"/>
      <c r="D7" s="1551"/>
      <c r="E7" s="1551"/>
      <c r="F7" s="1551"/>
      <c r="G7" s="1551"/>
      <c r="H7" s="1551"/>
      <c r="I7" s="1551"/>
      <c r="J7" s="1551"/>
      <c r="K7" s="1551"/>
      <c r="L7" s="1551"/>
      <c r="M7" s="1551"/>
    </row>
    <row r="8" spans="1:13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1:13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1:13" x14ac:dyDescent="0.25">
      <c r="A10" s="1551" t="s">
        <v>1832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</row>
    <row r="11" spans="1:13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713" t="s">
        <v>7</v>
      </c>
      <c r="B13" s="1713" t="s">
        <v>937</v>
      </c>
      <c r="C13" s="1713" t="s">
        <v>10</v>
      </c>
      <c r="D13" s="1713" t="s">
        <v>11</v>
      </c>
      <c r="E13" s="1047" t="s">
        <v>12</v>
      </c>
      <c r="F13" s="1713" t="s">
        <v>13</v>
      </c>
      <c r="G13" s="1713" t="s">
        <v>14</v>
      </c>
      <c r="H13" s="1713" t="s">
        <v>15</v>
      </c>
      <c r="I13" s="1713" t="s">
        <v>16</v>
      </c>
      <c r="J13" s="1713" t="s">
        <v>17</v>
      </c>
      <c r="K13" s="1713" t="s">
        <v>18</v>
      </c>
      <c r="L13" s="1713" t="s">
        <v>19</v>
      </c>
      <c r="M13" s="1713" t="s">
        <v>20</v>
      </c>
    </row>
    <row r="14" spans="1:13" x14ac:dyDescent="0.25">
      <c r="A14" s="1713"/>
      <c r="B14" s="1713"/>
      <c r="C14" s="1713"/>
      <c r="D14" s="1713"/>
      <c r="E14" s="1047" t="s">
        <v>21</v>
      </c>
      <c r="F14" s="1713"/>
      <c r="G14" s="1713"/>
      <c r="H14" s="1713"/>
      <c r="I14" s="1713"/>
      <c r="J14" s="1713"/>
      <c r="K14" s="1713"/>
      <c r="L14" s="1713"/>
      <c r="M14" s="1713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1834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1827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 t="shared" ref="E40:M40" si="1">SUM(E16:E39)</f>
        <v>338000</v>
      </c>
      <c r="F40" s="1371">
        <f t="shared" si="1"/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 t="shared" si="1"/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 t="shared" ref="L44" si="2"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3">SUM(F44)</f>
        <v>0</v>
      </c>
      <c r="G45" s="1372">
        <f t="shared" si="3"/>
        <v>12000</v>
      </c>
      <c r="H45" s="1373">
        <f t="shared" si="3"/>
        <v>0</v>
      </c>
      <c r="I45" s="1373">
        <f t="shared" si="3"/>
        <v>0</v>
      </c>
      <c r="J45" s="1373">
        <f t="shared" si="3"/>
        <v>0</v>
      </c>
      <c r="K45" s="1373">
        <f t="shared" si="3"/>
        <v>0</v>
      </c>
      <c r="L45" s="1372">
        <f t="shared" si="3"/>
        <v>0</v>
      </c>
      <c r="M45" s="1372">
        <f t="shared" si="3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4">+F40+F45</f>
        <v>0</v>
      </c>
      <c r="G47" s="1376">
        <f t="shared" si="4"/>
        <v>350000</v>
      </c>
      <c r="H47" s="1376">
        <f t="shared" si="4"/>
        <v>0</v>
      </c>
      <c r="I47" s="1376">
        <f t="shared" si="4"/>
        <v>4195.88</v>
      </c>
      <c r="J47" s="1376">
        <f t="shared" si="4"/>
        <v>0</v>
      </c>
      <c r="K47" s="1376">
        <f t="shared" si="4"/>
        <v>0</v>
      </c>
      <c r="L47" s="1376">
        <f t="shared" si="4"/>
        <v>4195.88</v>
      </c>
      <c r="M47" s="1376">
        <f t="shared" si="4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21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690" t="s">
        <v>1269</v>
      </c>
      <c r="B69" s="1690"/>
      <c r="C69" s="753"/>
      <c r="D69" s="753"/>
      <c r="E69" s="754"/>
      <c r="F69" s="755"/>
      <c r="H69" s="1691" t="s">
        <v>852</v>
      </c>
      <c r="I69" s="1691"/>
      <c r="J69" s="1691"/>
      <c r="K69" s="1691"/>
      <c r="L69" s="1691"/>
      <c r="M69" s="1691"/>
    </row>
    <row r="70" spans="1:13" s="259" customFormat="1" ht="19.5" customHeight="1" x14ac:dyDescent="0.25">
      <c r="A70" s="1628" t="s">
        <v>1813</v>
      </c>
      <c r="B70" s="1628"/>
      <c r="C70" s="753"/>
      <c r="D70" s="753"/>
      <c r="E70" s="754"/>
      <c r="F70" s="755"/>
      <c r="H70" s="1692" t="s">
        <v>1505</v>
      </c>
      <c r="I70" s="1692"/>
      <c r="J70" s="1692"/>
      <c r="K70" s="1692"/>
      <c r="L70" s="1692"/>
      <c r="M70" s="1692"/>
    </row>
    <row r="71" spans="1:13" ht="108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50.2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hidden="1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39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629"/>
      <c r="I82" s="1629"/>
      <c r="J82" s="1629"/>
      <c r="K82" s="1629"/>
      <c r="L82" s="1629"/>
      <c r="M82" s="1629"/>
    </row>
    <row r="83" spans="1:13" ht="15.75" x14ac:dyDescent="0.25">
      <c r="A83" s="267"/>
      <c r="B83" s="267"/>
      <c r="C83" s="268"/>
      <c r="D83" s="268"/>
      <c r="E83" s="269"/>
      <c r="F83" s="1549"/>
      <c r="G83" s="1549"/>
      <c r="H83" s="1549"/>
      <c r="I83" s="1549"/>
      <c r="J83" s="1549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11" right="0.39370078740157483" top="0" bottom="0.01" header="0" footer="0.09"/>
  <pageSetup scale="30" orientation="landscape" r:id="rId1"/>
  <drawing r:id="rId2"/>
</worksheet>
</file>

<file path=xl/worksheets/sheet3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E47208-674D-4554-8B25-E4F1FA740255}">
  <sheetPr>
    <pageSetUpPr fitToPage="1"/>
  </sheetPr>
  <dimension ref="A1:N278"/>
  <sheetViews>
    <sheetView showGridLines="0" topLeftCell="A5" zoomScale="84" zoomScaleNormal="84" workbookViewId="0">
      <pane ySplit="13" topLeftCell="A221" activePane="bottomLeft" state="frozen"/>
      <selection activeCell="A5" sqref="A5"/>
      <selection pane="bottomLeft" activeCell="G8" sqref="G8"/>
    </sheetView>
  </sheetViews>
  <sheetFormatPr baseColWidth="10" defaultRowHeight="15" x14ac:dyDescent="0.25"/>
  <cols>
    <col min="1" max="1" width="74.4257812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style="259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867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867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867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867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867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867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867"/>
      <c r="L8" s="1089"/>
      <c r="M8" s="867"/>
    </row>
    <row r="9" spans="1:14" ht="27" customHeight="1" x14ac:dyDescent="0.25">
      <c r="A9" s="853" t="s">
        <v>641</v>
      </c>
      <c r="B9" s="851"/>
      <c r="C9" s="853"/>
      <c r="D9" s="853"/>
      <c r="E9" s="867"/>
      <c r="F9" s="868"/>
      <c r="G9" s="867"/>
      <c r="H9" s="1089" t="s">
        <v>1539</v>
      </c>
      <c r="I9" s="1089"/>
      <c r="J9" s="1089"/>
      <c r="K9" s="867"/>
      <c r="L9" s="1089"/>
      <c r="M9" s="867"/>
    </row>
    <row r="10" spans="1:14" ht="15.75" x14ac:dyDescent="0.25">
      <c r="A10" s="1685" t="s">
        <v>1502</v>
      </c>
      <c r="B10" s="1685"/>
      <c r="C10" s="1685"/>
      <c r="D10" s="1685"/>
      <c r="E10" s="1685"/>
      <c r="F10" s="1685"/>
      <c r="G10" s="1685"/>
      <c r="H10" s="1685"/>
      <c r="I10" s="1685"/>
      <c r="J10" s="1685"/>
      <c r="K10" s="1685"/>
      <c r="L10" s="1685"/>
      <c r="M10" s="1685"/>
    </row>
    <row r="11" spans="1:14" ht="0.75" customHeight="1" x14ac:dyDescent="0.25">
      <c r="A11" s="1685"/>
      <c r="B11" s="1685"/>
      <c r="C11" s="1685"/>
      <c r="D11" s="1685"/>
      <c r="E11" s="1685"/>
      <c r="F11" s="1685"/>
      <c r="G11" s="1685"/>
      <c r="H11" s="1685"/>
      <c r="I11" s="1685"/>
      <c r="J11" s="1685"/>
      <c r="K11" s="1685"/>
      <c r="L11" s="1685"/>
      <c r="M11" s="1685"/>
      <c r="N11" s="1685"/>
    </row>
    <row r="12" spans="1:14" ht="15.75" x14ac:dyDescent="0.25">
      <c r="A12" s="1685" t="s">
        <v>1460</v>
      </c>
      <c r="B12" s="1685"/>
      <c r="C12" s="1685"/>
      <c r="D12" s="1685"/>
      <c r="E12" s="1685"/>
      <c r="F12" s="1685"/>
      <c r="G12" s="1685"/>
      <c r="H12" s="1685"/>
      <c r="I12" s="1685"/>
      <c r="J12" s="1685"/>
      <c r="K12" s="1685"/>
      <c r="L12" s="1685"/>
      <c r="M12" s="1685"/>
    </row>
    <row r="13" spans="1:14" ht="15.75" x14ac:dyDescent="0.25">
      <c r="A13" s="1685" t="s">
        <v>1835</v>
      </c>
      <c r="B13" s="1685"/>
      <c r="C13" s="1685"/>
      <c r="D13" s="1685"/>
      <c r="E13" s="1685"/>
      <c r="F13" s="1685"/>
      <c r="G13" s="1685"/>
      <c r="H13" s="1685"/>
      <c r="I13" s="1685"/>
      <c r="J13" s="1685"/>
      <c r="K13" s="1685"/>
      <c r="L13" s="1685"/>
      <c r="M13" s="1685"/>
    </row>
    <row r="14" spans="1:14" ht="15.75" x14ac:dyDescent="0.25">
      <c r="A14" s="1706" t="s">
        <v>404</v>
      </c>
      <c r="B14" s="1706"/>
      <c r="C14" s="1706"/>
      <c r="D14" s="1706"/>
      <c r="E14" s="1706"/>
      <c r="F14" s="1706"/>
      <c r="G14" s="1706"/>
      <c r="H14" s="1706"/>
      <c r="I14" s="1706"/>
      <c r="J14" s="1706"/>
      <c r="K14" s="1706"/>
      <c r="L14" s="1706"/>
      <c r="M14" s="1706"/>
    </row>
    <row r="15" spans="1:14" ht="16.5" thickBot="1" x14ac:dyDescent="0.3">
      <c r="A15" s="851"/>
      <c r="B15" s="851"/>
      <c r="C15" s="851"/>
      <c r="D15" s="851"/>
      <c r="E15" s="851"/>
      <c r="F15" s="851"/>
      <c r="G15" s="851"/>
      <c r="H15" s="1090"/>
      <c r="I15" s="1090"/>
      <c r="J15" s="1090"/>
      <c r="K15" s="851"/>
      <c r="L15" s="1090"/>
      <c r="M15" s="851"/>
    </row>
    <row r="16" spans="1:14" ht="15.75" x14ac:dyDescent="0.25">
      <c r="A16" s="1755" t="s">
        <v>7</v>
      </c>
      <c r="B16" s="1757" t="s">
        <v>802</v>
      </c>
      <c r="C16" s="1757" t="s">
        <v>9</v>
      </c>
      <c r="D16" s="1757" t="s">
        <v>11</v>
      </c>
      <c r="E16" s="1390" t="s">
        <v>12</v>
      </c>
      <c r="F16" s="1759" t="s">
        <v>13</v>
      </c>
      <c r="G16" s="1751" t="s">
        <v>14</v>
      </c>
      <c r="H16" s="1753" t="s">
        <v>15</v>
      </c>
      <c r="I16" s="1710" t="s">
        <v>16</v>
      </c>
      <c r="J16" s="1753" t="s">
        <v>17</v>
      </c>
      <c r="K16" s="1753" t="s">
        <v>18</v>
      </c>
      <c r="L16" s="1753" t="s">
        <v>19</v>
      </c>
      <c r="M16" s="1749" t="s">
        <v>20</v>
      </c>
    </row>
    <row r="17" spans="1:13" ht="16.5" thickBot="1" x14ac:dyDescent="0.3">
      <c r="A17" s="1756"/>
      <c r="B17" s="1758"/>
      <c r="C17" s="1758"/>
      <c r="D17" s="1758"/>
      <c r="E17" s="1391" t="s">
        <v>21</v>
      </c>
      <c r="F17" s="1760"/>
      <c r="G17" s="1752"/>
      <c r="H17" s="1754"/>
      <c r="I17" s="1710"/>
      <c r="J17" s="1754"/>
      <c r="K17" s="1754"/>
      <c r="L17" s="1754"/>
      <c r="M17" s="1750"/>
    </row>
    <row r="18" spans="1:13" ht="18.75" x14ac:dyDescent="0.3">
      <c r="A18" s="1387" t="s">
        <v>1140</v>
      </c>
      <c r="B18" s="1236"/>
      <c r="C18" s="1387"/>
      <c r="D18" s="1387"/>
      <c r="E18" s="1388"/>
      <c r="F18" s="1239"/>
      <c r="G18" s="1389"/>
      <c r="H18" s="1388"/>
      <c r="I18" s="1388"/>
      <c r="J18" s="1388"/>
      <c r="K18" s="1392"/>
      <c r="L18" s="1388"/>
      <c r="M18" s="1389"/>
    </row>
    <row r="19" spans="1:13" ht="18.75" x14ac:dyDescent="0.3">
      <c r="A19" s="955" t="s">
        <v>1645</v>
      </c>
      <c r="B19" s="950" t="s">
        <v>806</v>
      </c>
      <c r="C19" s="955" t="s">
        <v>142</v>
      </c>
      <c r="D19" s="955" t="s">
        <v>1065</v>
      </c>
      <c r="E19" s="956">
        <v>260000</v>
      </c>
      <c r="F19" s="952">
        <v>0</v>
      </c>
      <c r="G19" s="957">
        <v>260000</v>
      </c>
      <c r="H19" s="951">
        <v>7462</v>
      </c>
      <c r="I19" s="951">
        <v>50070.080000000002</v>
      </c>
      <c r="J19" s="951">
        <v>6589.14</v>
      </c>
      <c r="K19" s="954">
        <v>4169.3999999999996</v>
      </c>
      <c r="L19" s="951">
        <f>+H19+I19+J19+K19</f>
        <v>68290.62</v>
      </c>
      <c r="M19" s="953">
        <f>+G19-L19</f>
        <v>191709.38</v>
      </c>
    </row>
    <row r="20" spans="1:13" ht="18.75" x14ac:dyDescent="0.3">
      <c r="A20" s="958" t="s">
        <v>1646</v>
      </c>
      <c r="B20" s="950" t="s">
        <v>806</v>
      </c>
      <c r="C20" s="959" t="s">
        <v>30</v>
      </c>
      <c r="D20" s="955" t="s">
        <v>1065</v>
      </c>
      <c r="E20" s="951">
        <v>210000</v>
      </c>
      <c r="F20" s="952">
        <v>0</v>
      </c>
      <c r="G20" s="953">
        <v>210000</v>
      </c>
      <c r="H20" s="951">
        <v>6027</v>
      </c>
      <c r="I20" s="951">
        <v>37980.120000000003</v>
      </c>
      <c r="J20" s="951">
        <v>6384</v>
      </c>
      <c r="K20" s="954">
        <v>4169.3999999999996</v>
      </c>
      <c r="L20" s="951">
        <f>+H20+I20+J20+K20</f>
        <v>54560.520000000004</v>
      </c>
      <c r="M20" s="953">
        <f>+G20-L20</f>
        <v>155439.47999999998</v>
      </c>
    </row>
    <row r="21" spans="1:13" ht="18.75" x14ac:dyDescent="0.3">
      <c r="A21" s="958" t="s">
        <v>1598</v>
      </c>
      <c r="B21" s="950" t="s">
        <v>807</v>
      </c>
      <c r="C21" s="959" t="s">
        <v>1806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4">
        <v>4169.3999999999996</v>
      </c>
      <c r="L21" s="951">
        <f>SUM(H21:K21)</f>
        <v>54560.520000000004</v>
      </c>
      <c r="M21" s="953">
        <f>+G21-L21</f>
        <v>155439.47999999998</v>
      </c>
    </row>
    <row r="22" spans="1:13" ht="18.75" x14ac:dyDescent="0.3">
      <c r="A22" s="958" t="s">
        <v>1647</v>
      </c>
      <c r="B22" s="950" t="s">
        <v>807</v>
      </c>
      <c r="C22" s="960" t="s">
        <v>693</v>
      </c>
      <c r="D22" s="960" t="s">
        <v>1066</v>
      </c>
      <c r="E22" s="951">
        <v>130000</v>
      </c>
      <c r="F22" s="952">
        <v>0</v>
      </c>
      <c r="G22" s="953">
        <v>130000</v>
      </c>
      <c r="H22" s="951">
        <v>3731</v>
      </c>
      <c r="I22" s="951">
        <v>18202.23</v>
      </c>
      <c r="J22" s="951">
        <v>3952</v>
      </c>
      <c r="K22" s="954">
        <v>6357.3</v>
      </c>
      <c r="L22" s="951">
        <f>SUM(H22:K22)</f>
        <v>32242.53</v>
      </c>
      <c r="M22" s="953">
        <f>+G22-L22</f>
        <v>97757.47</v>
      </c>
    </row>
    <row r="23" spans="1:13" ht="18.75" x14ac:dyDescent="0.3">
      <c r="A23" s="955" t="s">
        <v>1648</v>
      </c>
      <c r="B23" s="950" t="s">
        <v>806</v>
      </c>
      <c r="C23" s="960" t="s">
        <v>92</v>
      </c>
      <c r="D23" s="960" t="s">
        <v>1067</v>
      </c>
      <c r="E23" s="951">
        <v>60000</v>
      </c>
      <c r="F23" s="974">
        <v>0</v>
      </c>
      <c r="G23" s="951">
        <v>60000</v>
      </c>
      <c r="H23" s="951">
        <v>1722</v>
      </c>
      <c r="I23" s="951">
        <v>3486.68</v>
      </c>
      <c r="J23" s="951">
        <v>1824</v>
      </c>
      <c r="K23" s="954">
        <v>25</v>
      </c>
      <c r="L23" s="951">
        <f>+H23+I23+J23+K23</f>
        <v>7057.68</v>
      </c>
      <c r="M23" s="951">
        <f>+E23-L23</f>
        <v>52942.32</v>
      </c>
    </row>
    <row r="24" spans="1:13" ht="18.75" x14ac:dyDescent="0.3">
      <c r="A24" s="961" t="s">
        <v>752</v>
      </c>
      <c r="B24" s="950"/>
      <c r="C24" s="962">
        <v>5</v>
      </c>
      <c r="D24" s="962"/>
      <c r="E24" s="963">
        <f>SUM(E19:E23)</f>
        <v>870000</v>
      </c>
      <c r="F24" s="964">
        <f t="shared" ref="F24:J24" si="0">SUM(F19:F23)</f>
        <v>0</v>
      </c>
      <c r="G24" s="965">
        <f t="shared" si="0"/>
        <v>870000</v>
      </c>
      <c r="H24" s="963">
        <f t="shared" si="0"/>
        <v>24969</v>
      </c>
      <c r="I24" s="963">
        <f>SUM(I19:I23)</f>
        <v>147719.23000000001</v>
      </c>
      <c r="J24" s="963">
        <f t="shared" si="0"/>
        <v>25133.14</v>
      </c>
      <c r="K24" s="966">
        <f>SUM(K19:K23)</f>
        <v>18890.5</v>
      </c>
      <c r="L24" s="963">
        <f>SUM(L19:L23)</f>
        <v>216711.87</v>
      </c>
      <c r="M24" s="965">
        <f>SUM(M19:M23)</f>
        <v>653288.12999999989</v>
      </c>
    </row>
    <row r="25" spans="1:13" ht="18.75" x14ac:dyDescent="0.3">
      <c r="A25" s="961"/>
      <c r="B25" s="950"/>
      <c r="C25" s="962"/>
      <c r="D25" s="962"/>
      <c r="E25" s="951"/>
      <c r="F25" s="952"/>
      <c r="G25" s="953"/>
      <c r="H25" s="951"/>
      <c r="I25" s="951"/>
      <c r="J25" s="951"/>
      <c r="K25" s="954"/>
      <c r="L25" s="951"/>
      <c r="M25" s="953"/>
    </row>
    <row r="26" spans="1:13" ht="18.75" x14ac:dyDescent="0.3">
      <c r="A26" s="961" t="s">
        <v>1732</v>
      </c>
      <c r="B26" s="950"/>
      <c r="C26" s="967"/>
      <c r="D26" s="967"/>
      <c r="E26" s="951"/>
      <c r="F26" s="952"/>
      <c r="G26" s="953"/>
      <c r="H26" s="951"/>
      <c r="I26" s="951"/>
      <c r="J26" s="951"/>
      <c r="K26" s="954"/>
      <c r="L26" s="951"/>
      <c r="M26" s="953"/>
    </row>
    <row r="27" spans="1:13" ht="39.75" customHeight="1" x14ac:dyDescent="0.3">
      <c r="A27" s="958" t="s">
        <v>1649</v>
      </c>
      <c r="B27" s="950" t="s">
        <v>806</v>
      </c>
      <c r="C27" s="980" t="s">
        <v>1403</v>
      </c>
      <c r="D27" s="960" t="s">
        <v>1069</v>
      </c>
      <c r="E27" s="951">
        <v>95000</v>
      </c>
      <c r="F27" s="952">
        <v>0</v>
      </c>
      <c r="G27" s="951">
        <v>95000</v>
      </c>
      <c r="H27" s="951">
        <v>2726.5</v>
      </c>
      <c r="I27" s="951">
        <v>10449.299999999999</v>
      </c>
      <c r="J27" s="951">
        <v>2888</v>
      </c>
      <c r="K27" s="954">
        <v>12714.69</v>
      </c>
      <c r="L27" s="951">
        <f>+H27+I27+J27+K27</f>
        <v>28778.489999999998</v>
      </c>
      <c r="M27" s="953">
        <f>+G27-L27</f>
        <v>66221.510000000009</v>
      </c>
    </row>
    <row r="28" spans="1:13" ht="18.75" x14ac:dyDescent="0.3">
      <c r="A28" s="955" t="s">
        <v>1650</v>
      </c>
      <c r="B28" s="968" t="s">
        <v>807</v>
      </c>
      <c r="C28" s="960" t="s">
        <v>276</v>
      </c>
      <c r="D28" s="960" t="s">
        <v>307</v>
      </c>
      <c r="E28" s="951">
        <v>43500</v>
      </c>
      <c r="F28" s="974">
        <v>0</v>
      </c>
      <c r="G28" s="951">
        <v>43500</v>
      </c>
      <c r="H28" s="951">
        <v>1248.45</v>
      </c>
      <c r="I28" s="974">
        <v>936.62</v>
      </c>
      <c r="J28" s="951">
        <v>1322.4</v>
      </c>
      <c r="K28" s="954">
        <v>1125</v>
      </c>
      <c r="L28" s="951">
        <f>+H28+I28+J28+K28</f>
        <v>4632.47</v>
      </c>
      <c r="M28" s="953">
        <f>+G28-L28</f>
        <v>38867.53</v>
      </c>
    </row>
    <row r="29" spans="1:13" ht="18.75" x14ac:dyDescent="0.3">
      <c r="A29" s="955" t="s">
        <v>1643</v>
      </c>
      <c r="B29" s="968" t="s">
        <v>807</v>
      </c>
      <c r="C29" s="960" t="s">
        <v>276</v>
      </c>
      <c r="D29" s="960" t="s">
        <v>1069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4">
        <v>25</v>
      </c>
      <c r="L29" s="951">
        <f>+H29+I29+J29+K29</f>
        <v>3532.4700000000003</v>
      </c>
      <c r="M29" s="953">
        <f>+G29-L29</f>
        <v>39967.53</v>
      </c>
    </row>
    <row r="30" spans="1:13" ht="18.75" x14ac:dyDescent="0.3">
      <c r="A30" s="955" t="s">
        <v>1651</v>
      </c>
      <c r="B30" s="968" t="s">
        <v>806</v>
      </c>
      <c r="C30" s="960" t="s">
        <v>276</v>
      </c>
      <c r="D30" s="960" t="s">
        <v>307</v>
      </c>
      <c r="E30" s="951">
        <v>37500</v>
      </c>
      <c r="F30" s="974">
        <v>0</v>
      </c>
      <c r="G30" s="951">
        <v>37500</v>
      </c>
      <c r="H30" s="951">
        <v>1076.25</v>
      </c>
      <c r="I30" s="974">
        <v>89.81</v>
      </c>
      <c r="J30" s="951">
        <v>1140</v>
      </c>
      <c r="K30" s="954">
        <v>25</v>
      </c>
      <c r="L30" s="951">
        <f t="shared" ref="L30" si="1">+H30+I30+J30+K30</f>
        <v>2331.06</v>
      </c>
      <c r="M30" s="953">
        <f>+G30-L30</f>
        <v>35168.94</v>
      </c>
    </row>
    <row r="31" spans="1:13" ht="18.75" x14ac:dyDescent="0.3">
      <c r="A31" s="961" t="s">
        <v>752</v>
      </c>
      <c r="B31" s="950"/>
      <c r="C31" s="962">
        <v>4</v>
      </c>
      <c r="D31" s="962"/>
      <c r="E31" s="963">
        <f>SUM(E27:E30)</f>
        <v>219500</v>
      </c>
      <c r="F31" s="1071">
        <v>0</v>
      </c>
      <c r="G31" s="963">
        <f t="shared" ref="G31:L31" si="2">SUM(G27:G30)</f>
        <v>219500</v>
      </c>
      <c r="H31" s="963">
        <f>SUM(H27:H30)</f>
        <v>6299.65</v>
      </c>
      <c r="I31" s="963">
        <f t="shared" si="2"/>
        <v>12412.35</v>
      </c>
      <c r="J31" s="963">
        <f t="shared" si="2"/>
        <v>6672.7999999999993</v>
      </c>
      <c r="K31" s="966">
        <f>SUM(K27:K30)</f>
        <v>13889.69</v>
      </c>
      <c r="L31" s="963">
        <f t="shared" si="2"/>
        <v>39274.49</v>
      </c>
      <c r="M31" s="963">
        <f>SUM(M27:M30)</f>
        <v>180225.51</v>
      </c>
    </row>
    <row r="32" spans="1:13" ht="18.75" x14ac:dyDescent="0.3">
      <c r="A32" s="958"/>
      <c r="B32" s="950"/>
      <c r="C32" s="960"/>
      <c r="D32" s="960"/>
      <c r="E32" s="951"/>
      <c r="F32" s="952"/>
      <c r="G32" s="953"/>
      <c r="H32" s="951"/>
      <c r="I32" s="951"/>
      <c r="J32" s="951"/>
      <c r="K32" s="954"/>
      <c r="L32" s="951"/>
      <c r="M32" s="953"/>
    </row>
    <row r="33" spans="1:13" ht="18.75" x14ac:dyDescent="0.3">
      <c r="A33" s="961" t="s">
        <v>838</v>
      </c>
      <c r="B33" s="950"/>
      <c r="C33" s="967"/>
      <c r="D33" s="967"/>
      <c r="E33" s="963"/>
      <c r="F33" s="964"/>
      <c r="G33" s="965"/>
      <c r="H33" s="963"/>
      <c r="I33" s="963"/>
      <c r="J33" s="963"/>
      <c r="K33" s="966"/>
      <c r="L33" s="963"/>
      <c r="M33" s="965"/>
    </row>
    <row r="34" spans="1:13" ht="18.75" x14ac:dyDescent="0.3">
      <c r="A34" s="958" t="s">
        <v>1653</v>
      </c>
      <c r="B34" s="950" t="s">
        <v>807</v>
      </c>
      <c r="C34" s="960" t="s">
        <v>1218</v>
      </c>
      <c r="D34" s="960" t="s">
        <v>1066</v>
      </c>
      <c r="E34" s="951">
        <v>185000</v>
      </c>
      <c r="F34" s="952">
        <v>0</v>
      </c>
      <c r="G34" s="953">
        <v>185000</v>
      </c>
      <c r="H34" s="951">
        <v>5309.5</v>
      </c>
      <c r="I34" s="951">
        <v>30659.66</v>
      </c>
      <c r="J34" s="951">
        <v>5624</v>
      </c>
      <c r="K34" s="954">
        <v>5784.34</v>
      </c>
      <c r="L34" s="951">
        <f>SUM(H34:K34)</f>
        <v>47377.5</v>
      </c>
      <c r="M34" s="953">
        <f>+G34-L34</f>
        <v>137622.5</v>
      </c>
    </row>
    <row r="35" spans="1:13" ht="18.75" x14ac:dyDescent="0.3">
      <c r="A35" s="958" t="s">
        <v>1054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1">
        <v>1248.45</v>
      </c>
      <c r="I35" s="974">
        <v>648.66</v>
      </c>
      <c r="J35" s="951">
        <v>1322.4</v>
      </c>
      <c r="K35" s="954">
        <v>1944.78</v>
      </c>
      <c r="L35" s="951">
        <f t="shared" ref="L35:L38" si="3">+H35+I35+J35+K35</f>
        <v>5164.29</v>
      </c>
      <c r="M35" s="953">
        <f t="shared" ref="M35:M38" si="4">+G35-L35</f>
        <v>38335.71</v>
      </c>
    </row>
    <row r="36" spans="1:13" ht="18.75" x14ac:dyDescent="0.3">
      <c r="A36" s="958" t="s">
        <v>1314</v>
      </c>
      <c r="B36" s="950" t="s">
        <v>807</v>
      </c>
      <c r="C36" s="960" t="s">
        <v>276</v>
      </c>
      <c r="D36" s="960" t="s">
        <v>321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936.62</v>
      </c>
      <c r="J36" s="951">
        <v>1322.4</v>
      </c>
      <c r="K36" s="954">
        <v>125</v>
      </c>
      <c r="L36" s="951">
        <f t="shared" si="3"/>
        <v>3632.4700000000003</v>
      </c>
      <c r="M36" s="953">
        <f t="shared" si="4"/>
        <v>39867.53</v>
      </c>
    </row>
    <row r="37" spans="1:13" ht="18.75" x14ac:dyDescent="0.3">
      <c r="A37" s="955" t="s">
        <v>1839</v>
      </c>
      <c r="B37" s="950"/>
      <c r="C37" s="960" t="s">
        <v>276</v>
      </c>
      <c r="D37" s="960" t="s">
        <v>321</v>
      </c>
      <c r="E37" s="951">
        <v>37500</v>
      </c>
      <c r="F37" s="952">
        <v>0</v>
      </c>
      <c r="G37" s="953">
        <v>37500</v>
      </c>
      <c r="H37" s="951">
        <v>1076.25</v>
      </c>
      <c r="I37" s="974">
        <v>89.81</v>
      </c>
      <c r="J37" s="951">
        <v>1140</v>
      </c>
      <c r="K37" s="954">
        <v>25</v>
      </c>
      <c r="L37" s="951">
        <f t="shared" ref="L37" si="5">+H37+I37+J37+K37</f>
        <v>2331.06</v>
      </c>
      <c r="M37" s="953">
        <f t="shared" ref="M37" si="6">+G37-L37</f>
        <v>35168.94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4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5</v>
      </c>
      <c r="D39" s="962"/>
      <c r="E39" s="963">
        <f>SUM(E34:E38)</f>
        <v>364500</v>
      </c>
      <c r="F39" s="1071">
        <v>0</v>
      </c>
      <c r="G39" s="963">
        <f t="shared" ref="G39:M39" si="7">SUM(G34:G38)</f>
        <v>364500</v>
      </c>
      <c r="H39" s="963">
        <f t="shared" si="7"/>
        <v>10461.15</v>
      </c>
      <c r="I39" s="963">
        <f t="shared" si="7"/>
        <v>34894.43</v>
      </c>
      <c r="J39" s="963">
        <f t="shared" si="7"/>
        <v>11080.8</v>
      </c>
      <c r="K39" s="966">
        <f t="shared" si="7"/>
        <v>7904.12</v>
      </c>
      <c r="L39" s="963">
        <f t="shared" si="7"/>
        <v>64340.5</v>
      </c>
      <c r="M39" s="963">
        <f t="shared" si="7"/>
        <v>300159.5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6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6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4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L43" si="8">SUM(H42)</f>
        <v>2152.5</v>
      </c>
      <c r="I43" s="963">
        <f t="shared" si="8"/>
        <v>6309.38</v>
      </c>
      <c r="J43" s="963">
        <f t="shared" si="8"/>
        <v>2280</v>
      </c>
      <c r="K43" s="966">
        <f>SUM(K42)</f>
        <v>25</v>
      </c>
      <c r="L43" s="963">
        <f t="shared" si="8"/>
        <v>10766.880000000001</v>
      </c>
      <c r="M43" s="965">
        <f>SUM(M42)</f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6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6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4">
        <v>1944.78</v>
      </c>
      <c r="L46" s="951">
        <f>+H46+I46+J46+K46</f>
        <v>3717.7799999999997</v>
      </c>
      <c r="M46" s="953">
        <f>+G46-L46</f>
        <v>26282.22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4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9">SUM(F46:F47)</f>
        <v>0</v>
      </c>
      <c r="G48" s="965">
        <f t="shared" si="9"/>
        <v>73500</v>
      </c>
      <c r="H48" s="963">
        <f t="shared" si="9"/>
        <v>2109.4499999999998</v>
      </c>
      <c r="I48" s="1071">
        <f t="shared" si="9"/>
        <v>936.62</v>
      </c>
      <c r="J48" s="963">
        <f t="shared" si="9"/>
        <v>2234.4</v>
      </c>
      <c r="K48" s="966">
        <f>SUM(K46:K47)</f>
        <v>1969.78</v>
      </c>
      <c r="L48" s="963">
        <f t="shared" si="9"/>
        <v>7250.25</v>
      </c>
      <c r="M48" s="965">
        <f>SUM(M46:M47)</f>
        <v>66249.75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6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6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1">
        <v>1004.5</v>
      </c>
      <c r="I51" s="974">
        <v>0</v>
      </c>
      <c r="J51" s="951">
        <v>1064</v>
      </c>
      <c r="K51" s="954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1314" t="s">
        <v>1779</v>
      </c>
      <c r="B52" s="1231" t="s">
        <v>806</v>
      </c>
      <c r="C52" s="1315" t="s">
        <v>912</v>
      </c>
      <c r="D52" s="960" t="s">
        <v>1067</v>
      </c>
      <c r="E52" s="1316">
        <v>30000</v>
      </c>
      <c r="F52" s="952">
        <v>0</v>
      </c>
      <c r="G52" s="1317">
        <v>30000</v>
      </c>
      <c r="H52" s="1316">
        <v>861</v>
      </c>
      <c r="I52" s="1382">
        <v>0</v>
      </c>
      <c r="J52" s="1316">
        <v>912</v>
      </c>
      <c r="K52" s="1394">
        <v>25</v>
      </c>
      <c r="L52" s="1316">
        <f>SUM(H52:K52)</f>
        <v>1798</v>
      </c>
      <c r="M52" s="1317">
        <f>+E52-L52</f>
        <v>28202</v>
      </c>
    </row>
    <row r="53" spans="1:13" ht="18.75" x14ac:dyDescent="0.3">
      <c r="A53" s="955" t="s">
        <v>119</v>
      </c>
      <c r="B53" s="968" t="s">
        <v>806</v>
      </c>
      <c r="C53" s="960" t="s">
        <v>912</v>
      </c>
      <c r="D53" s="960" t="s">
        <v>1067</v>
      </c>
      <c r="E53" s="951">
        <v>35000</v>
      </c>
      <c r="F53" s="974">
        <v>0</v>
      </c>
      <c r="G53" s="951">
        <v>35000</v>
      </c>
      <c r="H53" s="951">
        <v>1004.5</v>
      </c>
      <c r="I53" s="974">
        <v>0</v>
      </c>
      <c r="J53" s="951">
        <v>1064</v>
      </c>
      <c r="K53" s="954">
        <v>7721.54</v>
      </c>
      <c r="L53" s="951">
        <f t="shared" ref="L53" si="10">+H53+I53+J53+K53</f>
        <v>9790.0400000000009</v>
      </c>
      <c r="M53" s="951">
        <f>+G53-L53</f>
        <v>25209.96</v>
      </c>
    </row>
    <row r="54" spans="1:13" ht="18.75" x14ac:dyDescent="0.3">
      <c r="A54" s="955" t="s">
        <v>1335</v>
      </c>
      <c r="B54" s="950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4">
        <v>25</v>
      </c>
      <c r="L54" s="951">
        <f>+H54+I54+J54+K54</f>
        <v>2093.5</v>
      </c>
      <c r="M54" s="951">
        <f>+G54-L54</f>
        <v>32906.5</v>
      </c>
    </row>
    <row r="55" spans="1:13" ht="18.75" x14ac:dyDescent="0.3">
      <c r="A55" s="998" t="s">
        <v>1327</v>
      </c>
      <c r="B55" s="950" t="s">
        <v>806</v>
      </c>
      <c r="C55" s="1024" t="s">
        <v>554</v>
      </c>
      <c r="D55" s="960" t="s">
        <v>1067</v>
      </c>
      <c r="E55" s="951">
        <v>43500</v>
      </c>
      <c r="F55" s="952">
        <v>0</v>
      </c>
      <c r="G55" s="953">
        <v>43500</v>
      </c>
      <c r="H55" s="951">
        <v>1248.45</v>
      </c>
      <c r="I55" s="974">
        <v>936.62</v>
      </c>
      <c r="J55" s="951">
        <v>1322.4</v>
      </c>
      <c r="K55" s="954">
        <v>25</v>
      </c>
      <c r="L55" s="951">
        <f>+H55+I55+J55+K55</f>
        <v>3532.4700000000003</v>
      </c>
      <c r="M55" s="951">
        <f>+G55-L55</f>
        <v>39967.53</v>
      </c>
    </row>
    <row r="56" spans="1:13" ht="18.75" x14ac:dyDescent="0.3">
      <c r="A56" s="1230" t="s">
        <v>749</v>
      </c>
      <c r="B56" s="1231"/>
      <c r="C56" s="1232">
        <v>5</v>
      </c>
      <c r="D56" s="1232"/>
      <c r="E56" s="1233">
        <f>SUM(E51:E55)</f>
        <v>178500</v>
      </c>
      <c r="F56" s="964">
        <v>0</v>
      </c>
      <c r="G56" s="1233">
        <f t="shared" ref="G56:M56" si="11">SUM(G51:G55)</f>
        <v>178500</v>
      </c>
      <c r="H56" s="1233">
        <f t="shared" si="11"/>
        <v>5122.95</v>
      </c>
      <c r="I56" s="1233">
        <f t="shared" si="11"/>
        <v>936.62</v>
      </c>
      <c r="J56" s="1233">
        <f t="shared" si="11"/>
        <v>5426.4</v>
      </c>
      <c r="K56" s="1395">
        <f t="shared" si="11"/>
        <v>7821.54</v>
      </c>
      <c r="L56" s="1233">
        <f t="shared" si="11"/>
        <v>19307.510000000002</v>
      </c>
      <c r="M56" s="1233">
        <f t="shared" si="11"/>
        <v>159192.49</v>
      </c>
    </row>
    <row r="57" spans="1:13" ht="23.25" customHeight="1" x14ac:dyDescent="0.25">
      <c r="A57" s="153"/>
      <c r="B57" s="153"/>
      <c r="C57" s="153"/>
      <c r="D57" s="153"/>
      <c r="E57" s="153"/>
      <c r="F57" s="153"/>
      <c r="G57" s="153"/>
      <c r="H57" s="153"/>
      <c r="I57" s="153"/>
      <c r="J57" s="153"/>
      <c r="K57" s="1234"/>
      <c r="L57" s="153"/>
      <c r="M57" s="153"/>
    </row>
    <row r="58" spans="1:13" ht="18.75" x14ac:dyDescent="0.3">
      <c r="A58" s="1235" t="s">
        <v>1145</v>
      </c>
      <c r="B58" s="1236"/>
      <c r="C58" s="1237"/>
      <c r="D58" s="1237"/>
      <c r="E58" s="1238"/>
      <c r="F58" s="1239"/>
      <c r="G58" s="1240"/>
      <c r="H58" s="1238"/>
      <c r="I58" s="1238"/>
      <c r="J58" s="1238"/>
      <c r="K58" s="1241"/>
      <c r="L58" s="1238"/>
      <c r="M58" s="1240"/>
    </row>
    <row r="59" spans="1:13" ht="18.75" x14ac:dyDescent="0.3">
      <c r="A59" s="955" t="s">
        <v>346</v>
      </c>
      <c r="B59" s="950" t="s">
        <v>806</v>
      </c>
      <c r="C59" s="960" t="s">
        <v>309</v>
      </c>
      <c r="D59" s="960" t="s">
        <v>307</v>
      </c>
      <c r="E59" s="951">
        <v>37500</v>
      </c>
      <c r="F59" s="974">
        <v>0</v>
      </c>
      <c r="G59" s="951">
        <v>37500</v>
      </c>
      <c r="H59" s="951">
        <v>1076.25</v>
      </c>
      <c r="I59" s="974">
        <v>89.81</v>
      </c>
      <c r="J59" s="951">
        <v>1140</v>
      </c>
      <c r="K59" s="954">
        <v>525</v>
      </c>
      <c r="L59" s="951">
        <f>+H59+I59+J59+K59</f>
        <v>2831.06</v>
      </c>
      <c r="M59" s="951">
        <f t="shared" ref="M59:M60" si="12">+G59-L59</f>
        <v>34668.94</v>
      </c>
    </row>
    <row r="60" spans="1:13" ht="18.75" x14ac:dyDescent="0.3">
      <c r="A60" s="955" t="s">
        <v>1658</v>
      </c>
      <c r="B60" s="950" t="s">
        <v>806</v>
      </c>
      <c r="C60" s="960" t="s">
        <v>309</v>
      </c>
      <c r="D60" s="960" t="s">
        <v>307</v>
      </c>
      <c r="E60" s="951">
        <v>37500</v>
      </c>
      <c r="F60" s="974">
        <v>0</v>
      </c>
      <c r="G60" s="951">
        <v>37500</v>
      </c>
      <c r="H60" s="951">
        <v>1076.25</v>
      </c>
      <c r="I60" s="974">
        <v>0</v>
      </c>
      <c r="J60" s="951">
        <v>1140</v>
      </c>
      <c r="K60" s="954">
        <v>2374.2800000000002</v>
      </c>
      <c r="L60" s="951">
        <f>SUM(H60:K60)</f>
        <v>4590.5300000000007</v>
      </c>
      <c r="M60" s="951">
        <f t="shared" si="12"/>
        <v>32909.47</v>
      </c>
    </row>
    <row r="61" spans="1:13" ht="18.75" x14ac:dyDescent="0.3">
      <c r="A61" s="961" t="s">
        <v>749</v>
      </c>
      <c r="B61" s="950"/>
      <c r="C61" s="962">
        <v>2</v>
      </c>
      <c r="D61" s="962"/>
      <c r="E61" s="963">
        <f>SUM(E59:E60)</f>
        <v>75000</v>
      </c>
      <c r="F61" s="1071">
        <v>0</v>
      </c>
      <c r="G61" s="963">
        <f t="shared" ref="G61:M61" si="13">SUM(G59:G60)</f>
        <v>75000</v>
      </c>
      <c r="H61" s="963">
        <f t="shared" si="13"/>
        <v>2152.5</v>
      </c>
      <c r="I61" s="963">
        <f t="shared" si="13"/>
        <v>89.81</v>
      </c>
      <c r="J61" s="963">
        <f t="shared" si="13"/>
        <v>2280</v>
      </c>
      <c r="K61" s="966">
        <f t="shared" si="13"/>
        <v>2899.28</v>
      </c>
      <c r="L61" s="963">
        <f t="shared" si="13"/>
        <v>7421.59</v>
      </c>
      <c r="M61" s="963">
        <f t="shared" si="13"/>
        <v>67578.41</v>
      </c>
    </row>
    <row r="62" spans="1:13" ht="18.75" x14ac:dyDescent="0.3">
      <c r="A62" s="961"/>
      <c r="B62" s="950"/>
      <c r="C62" s="967"/>
      <c r="D62" s="967"/>
      <c r="E62" s="963"/>
      <c r="F62" s="964"/>
      <c r="G62" s="965"/>
      <c r="H62" s="963"/>
      <c r="I62" s="963"/>
      <c r="J62" s="1071"/>
      <c r="K62" s="966"/>
      <c r="L62" s="963"/>
      <c r="M62" s="965"/>
    </row>
    <row r="63" spans="1:13" ht="18.75" x14ac:dyDescent="0.3">
      <c r="A63" s="961" t="s">
        <v>1135</v>
      </c>
      <c r="B63" s="950"/>
      <c r="C63" s="967"/>
      <c r="D63" s="967"/>
      <c r="E63" s="963"/>
      <c r="F63" s="964"/>
      <c r="G63" s="965"/>
      <c r="H63" s="963"/>
      <c r="I63" s="963"/>
      <c r="J63" s="963"/>
      <c r="K63" s="966"/>
      <c r="L63" s="963"/>
      <c r="M63" s="965"/>
    </row>
    <row r="64" spans="1:13" ht="18.75" x14ac:dyDescent="0.3">
      <c r="A64" s="955" t="s">
        <v>545</v>
      </c>
      <c r="B64" s="950" t="s">
        <v>806</v>
      </c>
      <c r="C64" s="960" t="s">
        <v>1139</v>
      </c>
      <c r="D64" s="960" t="s">
        <v>307</v>
      </c>
      <c r="E64" s="951">
        <v>43500</v>
      </c>
      <c r="F64" s="952">
        <v>0</v>
      </c>
      <c r="G64" s="953">
        <v>43500</v>
      </c>
      <c r="H64" s="951">
        <v>1248.45</v>
      </c>
      <c r="I64" s="951">
        <v>936.62</v>
      </c>
      <c r="J64" s="951">
        <v>1322.4</v>
      </c>
      <c r="K64" s="954">
        <v>25</v>
      </c>
      <c r="L64" s="951">
        <f t="shared" ref="L64:L77" si="14">+H64+I64+J64+K64</f>
        <v>3532.4700000000003</v>
      </c>
      <c r="M64" s="953">
        <f>+G64-L64</f>
        <v>39967.53</v>
      </c>
    </row>
    <row r="65" spans="1:13" ht="18.75" x14ac:dyDescent="0.3">
      <c r="A65" s="958" t="s">
        <v>1347</v>
      </c>
      <c r="B65" s="950" t="s">
        <v>807</v>
      </c>
      <c r="C65" s="977" t="s">
        <v>327</v>
      </c>
      <c r="D65" s="960" t="s">
        <v>321</v>
      </c>
      <c r="E65" s="951">
        <v>43500</v>
      </c>
      <c r="F65" s="952">
        <v>0</v>
      </c>
      <c r="G65" s="953">
        <v>43500</v>
      </c>
      <c r="H65" s="951">
        <v>1248.45</v>
      </c>
      <c r="I65" s="974">
        <v>936.62</v>
      </c>
      <c r="J65" s="951">
        <v>1322.4</v>
      </c>
      <c r="K65" s="954">
        <v>25</v>
      </c>
      <c r="L65" s="951">
        <f>+H65+I65+J65+K65</f>
        <v>3532.4700000000003</v>
      </c>
      <c r="M65" s="953">
        <f>+G65-L65</f>
        <v>39967.53</v>
      </c>
    </row>
    <row r="66" spans="1:13" ht="18.75" x14ac:dyDescent="0.3">
      <c r="A66" s="958" t="s">
        <v>1660</v>
      </c>
      <c r="B66" s="950" t="s">
        <v>806</v>
      </c>
      <c r="C66" s="960" t="s">
        <v>1461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4">
        <v>25</v>
      </c>
      <c r="L66" s="951">
        <f>+H66+I66+J66+K66</f>
        <v>1798</v>
      </c>
      <c r="M66" s="953">
        <f>+G66-L66</f>
        <v>28202</v>
      </c>
    </row>
    <row r="67" spans="1:13" ht="18.75" x14ac:dyDescent="0.3">
      <c r="A67" s="958" t="s">
        <v>99</v>
      </c>
      <c r="B67" s="950" t="s">
        <v>806</v>
      </c>
      <c r="C67" s="960" t="s">
        <v>1461</v>
      </c>
      <c r="D67" s="960" t="s">
        <v>1067</v>
      </c>
      <c r="E67" s="951">
        <v>35000</v>
      </c>
      <c r="F67" s="952">
        <v>0</v>
      </c>
      <c r="G67" s="953">
        <v>35000</v>
      </c>
      <c r="H67" s="951">
        <v>1004.5</v>
      </c>
      <c r="I67" s="974">
        <v>0</v>
      </c>
      <c r="J67" s="951">
        <v>1064</v>
      </c>
      <c r="K67" s="954">
        <v>125</v>
      </c>
      <c r="L67" s="951">
        <f>+H67+I67+J67+K67</f>
        <v>2193.5</v>
      </c>
      <c r="M67" s="953">
        <f>+G67-L67</f>
        <v>32806.5</v>
      </c>
    </row>
    <row r="68" spans="1:13" s="259" customFormat="1" ht="18.75" x14ac:dyDescent="0.3">
      <c r="A68" s="1255" t="s">
        <v>1659</v>
      </c>
      <c r="B68" s="1256" t="s">
        <v>806</v>
      </c>
      <c r="C68" s="1257" t="s">
        <v>92</v>
      </c>
      <c r="D68" s="1257" t="s">
        <v>1067</v>
      </c>
      <c r="E68" s="954">
        <v>30000</v>
      </c>
      <c r="F68" s="1191">
        <v>0</v>
      </c>
      <c r="G68" s="954">
        <v>30000</v>
      </c>
      <c r="H68" s="951">
        <v>861</v>
      </c>
      <c r="I68" s="974">
        <v>0</v>
      </c>
      <c r="J68" s="951">
        <v>912</v>
      </c>
      <c r="K68" s="954">
        <v>6341.6</v>
      </c>
      <c r="L68" s="951">
        <f>+H68+I68+J68+K68</f>
        <v>8114.6</v>
      </c>
      <c r="M68" s="954">
        <f>+G68-L68</f>
        <v>21885.4</v>
      </c>
    </row>
    <row r="69" spans="1:13" ht="18.75" x14ac:dyDescent="0.3">
      <c r="A69" s="958" t="s">
        <v>1661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52">
        <v>0</v>
      </c>
      <c r="G69" s="953">
        <v>30000</v>
      </c>
      <c r="H69" s="951">
        <v>861</v>
      </c>
      <c r="I69" s="974">
        <v>0</v>
      </c>
      <c r="J69" s="951">
        <v>912</v>
      </c>
      <c r="K69" s="954">
        <v>25</v>
      </c>
      <c r="L69" s="951">
        <f t="shared" si="14"/>
        <v>1798</v>
      </c>
      <c r="M69" s="953">
        <f t="shared" ref="M69:M77" si="15">+G69-L69</f>
        <v>28202</v>
      </c>
    </row>
    <row r="70" spans="1:13" ht="18.75" x14ac:dyDescent="0.3">
      <c r="A70" s="955" t="s">
        <v>1662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1">
        <v>861</v>
      </c>
      <c r="I70" s="974">
        <v>0</v>
      </c>
      <c r="J70" s="951">
        <v>912</v>
      </c>
      <c r="K70" s="954">
        <v>25</v>
      </c>
      <c r="L70" s="951">
        <f t="shared" si="14"/>
        <v>1798</v>
      </c>
      <c r="M70" s="953">
        <f t="shared" si="15"/>
        <v>28202</v>
      </c>
    </row>
    <row r="71" spans="1:13" ht="18.75" x14ac:dyDescent="0.3">
      <c r="A71" s="958" t="s">
        <v>1663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74">
        <v>0</v>
      </c>
      <c r="G71" s="951">
        <v>30000</v>
      </c>
      <c r="H71" s="951">
        <v>861</v>
      </c>
      <c r="I71" s="974">
        <v>0</v>
      </c>
      <c r="J71" s="951">
        <v>912</v>
      </c>
      <c r="K71" s="954">
        <v>2568.4</v>
      </c>
      <c r="L71" s="951">
        <f t="shared" si="14"/>
        <v>4341.3999999999996</v>
      </c>
      <c r="M71" s="953">
        <f t="shared" si="15"/>
        <v>25658.6</v>
      </c>
    </row>
    <row r="72" spans="1:13" ht="18.75" x14ac:dyDescent="0.3">
      <c r="A72" s="958" t="s">
        <v>1146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4">
        <v>25</v>
      </c>
      <c r="L72" s="951">
        <f t="shared" si="14"/>
        <v>1798</v>
      </c>
      <c r="M72" s="953">
        <f t="shared" si="15"/>
        <v>28202</v>
      </c>
    </row>
    <row r="73" spans="1:13" ht="18.75" x14ac:dyDescent="0.3">
      <c r="A73" s="958" t="s">
        <v>1317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4">
        <v>25</v>
      </c>
      <c r="L73" s="951">
        <f t="shared" si="14"/>
        <v>1798</v>
      </c>
      <c r="M73" s="953">
        <f t="shared" si="15"/>
        <v>28202</v>
      </c>
    </row>
    <row r="74" spans="1:13" ht="18.75" x14ac:dyDescent="0.3">
      <c r="A74" s="955" t="s">
        <v>1664</v>
      </c>
      <c r="B74" s="968" t="s">
        <v>806</v>
      </c>
      <c r="C74" s="960" t="s">
        <v>268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4">
        <v>1944.78</v>
      </c>
      <c r="L74" s="951">
        <f t="shared" si="14"/>
        <v>3717.7799999999997</v>
      </c>
      <c r="M74" s="953">
        <f t="shared" si="15"/>
        <v>26282.22</v>
      </c>
    </row>
    <row r="75" spans="1:13" ht="18.75" x14ac:dyDescent="0.3">
      <c r="A75" s="958" t="s">
        <v>1439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4">
        <v>25</v>
      </c>
      <c r="L75" s="951">
        <f t="shared" si="14"/>
        <v>1798</v>
      </c>
      <c r="M75" s="953">
        <f t="shared" si="15"/>
        <v>28202</v>
      </c>
    </row>
    <row r="76" spans="1:13" ht="18.75" x14ac:dyDescent="0.3">
      <c r="A76" s="958" t="s">
        <v>1747</v>
      </c>
      <c r="B76" s="950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4">
        <v>25</v>
      </c>
      <c r="L76" s="951">
        <f t="shared" si="14"/>
        <v>1798</v>
      </c>
      <c r="M76" s="953">
        <f t="shared" si="15"/>
        <v>28202</v>
      </c>
    </row>
    <row r="77" spans="1:13" ht="18.75" x14ac:dyDescent="0.3">
      <c r="A77" s="958" t="s">
        <v>1808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4">
        <v>25</v>
      </c>
      <c r="L77" s="951">
        <f t="shared" si="14"/>
        <v>1798</v>
      </c>
      <c r="M77" s="953">
        <f t="shared" si="15"/>
        <v>28202</v>
      </c>
    </row>
    <row r="78" spans="1:13" ht="18.75" x14ac:dyDescent="0.3">
      <c r="A78" s="958" t="s">
        <v>1840</v>
      </c>
      <c r="B78" s="950" t="s">
        <v>806</v>
      </c>
      <c r="C78" s="960" t="s">
        <v>1841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4">
        <v>25</v>
      </c>
      <c r="L78" s="951">
        <f t="shared" ref="L78" si="16">+H78+I78+J78+K78</f>
        <v>1798</v>
      </c>
      <c r="M78" s="953">
        <f t="shared" ref="M78" si="17">+G78-L78</f>
        <v>28202</v>
      </c>
    </row>
    <row r="79" spans="1:13" ht="18.75" x14ac:dyDescent="0.3">
      <c r="A79" s="961" t="s">
        <v>755</v>
      </c>
      <c r="B79" s="950"/>
      <c r="C79" s="962">
        <v>15</v>
      </c>
      <c r="D79" s="962"/>
      <c r="E79" s="963">
        <f>SUM(E64:E78)</f>
        <v>482000</v>
      </c>
      <c r="F79" s="1071">
        <v>0</v>
      </c>
      <c r="G79" s="963">
        <f t="shared" ref="G79:M79" si="18">SUM(G64:G78)</f>
        <v>482000</v>
      </c>
      <c r="H79" s="963">
        <f t="shared" si="18"/>
        <v>13833.4</v>
      </c>
      <c r="I79" s="963">
        <f t="shared" si="18"/>
        <v>1873.24</v>
      </c>
      <c r="J79" s="963">
        <f t="shared" si="18"/>
        <v>14652.8</v>
      </c>
      <c r="K79" s="966">
        <f>SUM(K64:K78)</f>
        <v>11254.78</v>
      </c>
      <c r="L79" s="963">
        <f t="shared" si="18"/>
        <v>41614.22</v>
      </c>
      <c r="M79" s="963">
        <f t="shared" si="18"/>
        <v>440385.78</v>
      </c>
    </row>
    <row r="80" spans="1:13" ht="18.75" x14ac:dyDescent="0.3">
      <c r="A80" s="958"/>
      <c r="B80" s="950"/>
      <c r="C80" s="960"/>
      <c r="D80" s="960"/>
      <c r="E80" s="951"/>
      <c r="F80" s="952"/>
      <c r="G80" s="953"/>
      <c r="H80" s="951"/>
      <c r="I80" s="951"/>
      <c r="J80" s="951"/>
      <c r="K80" s="954"/>
      <c r="L80" s="951"/>
      <c r="M80" s="953"/>
    </row>
    <row r="81" spans="1:13" ht="18.75" x14ac:dyDescent="0.3">
      <c r="A81" s="975" t="s">
        <v>1665</v>
      </c>
      <c r="B81" s="950"/>
      <c r="C81" s="967"/>
      <c r="D81" s="967"/>
      <c r="E81" s="963"/>
      <c r="F81" s="964"/>
      <c r="G81" s="965"/>
      <c r="H81" s="963"/>
      <c r="I81" s="963"/>
      <c r="J81" s="963"/>
      <c r="K81" s="966"/>
      <c r="L81" s="963"/>
      <c r="M81" s="965"/>
    </row>
    <row r="82" spans="1:13" ht="18.75" x14ac:dyDescent="0.3">
      <c r="A82" s="955" t="s">
        <v>1666</v>
      </c>
      <c r="B82" s="950" t="s">
        <v>807</v>
      </c>
      <c r="C82" s="960" t="s">
        <v>1778</v>
      </c>
      <c r="D82" s="960" t="s">
        <v>307</v>
      </c>
      <c r="E82" s="951">
        <v>43500</v>
      </c>
      <c r="F82" s="952">
        <v>0</v>
      </c>
      <c r="G82" s="953">
        <v>43500</v>
      </c>
      <c r="H82" s="951">
        <v>1248.45</v>
      </c>
      <c r="I82" s="974">
        <v>936.62</v>
      </c>
      <c r="J82" s="951">
        <v>1322.4</v>
      </c>
      <c r="K82" s="954">
        <v>1125</v>
      </c>
      <c r="L82" s="951">
        <f t="shared" ref="L82:L90" si="19">+H82+I82+J82+K82</f>
        <v>4632.47</v>
      </c>
      <c r="M82" s="953">
        <f>+G82-L82</f>
        <v>38867.53</v>
      </c>
    </row>
    <row r="83" spans="1:13" ht="18.75" x14ac:dyDescent="0.3">
      <c r="A83" s="955" t="s">
        <v>760</v>
      </c>
      <c r="B83" s="950" t="s">
        <v>807</v>
      </c>
      <c r="C83" s="960" t="s">
        <v>105</v>
      </c>
      <c r="D83" s="960" t="s">
        <v>1067</v>
      </c>
      <c r="E83" s="951">
        <v>25000</v>
      </c>
      <c r="F83" s="952">
        <v>0</v>
      </c>
      <c r="G83" s="953">
        <v>25000</v>
      </c>
      <c r="H83" s="951">
        <v>717.5</v>
      </c>
      <c r="I83" s="974">
        <v>0</v>
      </c>
      <c r="J83" s="951">
        <v>760</v>
      </c>
      <c r="K83" s="954">
        <v>125</v>
      </c>
      <c r="L83" s="951">
        <f t="shared" si="19"/>
        <v>1602.5</v>
      </c>
      <c r="M83" s="953">
        <f t="shared" ref="M83:M91" si="20">+G83-L83</f>
        <v>23397.5</v>
      </c>
    </row>
    <row r="84" spans="1:13" ht="18.75" x14ac:dyDescent="0.3">
      <c r="A84" s="955" t="s">
        <v>860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4">
        <v>125</v>
      </c>
      <c r="L84" s="951">
        <f t="shared" si="19"/>
        <v>1602.5</v>
      </c>
      <c r="M84" s="953">
        <f t="shared" si="20"/>
        <v>23397.5</v>
      </c>
    </row>
    <row r="85" spans="1:13" ht="18.75" x14ac:dyDescent="0.3">
      <c r="A85" s="955" t="s">
        <v>1667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4">
        <v>1296.7</v>
      </c>
      <c r="L85" s="951">
        <f t="shared" si="19"/>
        <v>2774.2</v>
      </c>
      <c r="M85" s="953">
        <f t="shared" si="20"/>
        <v>22225.8</v>
      </c>
    </row>
    <row r="86" spans="1:13" ht="21" customHeight="1" x14ac:dyDescent="0.3">
      <c r="A86" s="955" t="s">
        <v>1668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4">
        <v>25</v>
      </c>
      <c r="L86" s="951">
        <f t="shared" si="19"/>
        <v>1502.5</v>
      </c>
      <c r="M86" s="953">
        <f t="shared" si="20"/>
        <v>23497.5</v>
      </c>
    </row>
    <row r="87" spans="1:13" ht="18.75" x14ac:dyDescent="0.3">
      <c r="A87" s="955" t="s">
        <v>1669</v>
      </c>
      <c r="B87" s="968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4">
        <v>25</v>
      </c>
      <c r="L87" s="951">
        <f t="shared" si="19"/>
        <v>1502.5</v>
      </c>
      <c r="M87" s="953">
        <f t="shared" si="20"/>
        <v>23497.5</v>
      </c>
    </row>
    <row r="88" spans="1:13" ht="18.75" x14ac:dyDescent="0.3">
      <c r="A88" s="955" t="s">
        <v>1670</v>
      </c>
      <c r="B88" s="968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4">
        <v>25</v>
      </c>
      <c r="L88" s="951">
        <f t="shared" si="19"/>
        <v>1502.5</v>
      </c>
      <c r="M88" s="953">
        <f t="shared" si="20"/>
        <v>23497.5</v>
      </c>
    </row>
    <row r="89" spans="1:13" ht="18.75" x14ac:dyDescent="0.3">
      <c r="A89" s="955" t="s">
        <v>1671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4">
        <v>25</v>
      </c>
      <c r="L89" s="951">
        <f t="shared" si="19"/>
        <v>1502.5</v>
      </c>
      <c r="M89" s="953">
        <f t="shared" si="20"/>
        <v>23497.5</v>
      </c>
    </row>
    <row r="90" spans="1:13" ht="18.75" x14ac:dyDescent="0.3">
      <c r="A90" s="955" t="s">
        <v>1672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4">
        <v>25</v>
      </c>
      <c r="L90" s="951">
        <f t="shared" si="19"/>
        <v>1502.5</v>
      </c>
      <c r="M90" s="953">
        <f t="shared" si="20"/>
        <v>23497.5</v>
      </c>
    </row>
    <row r="91" spans="1:13" s="259" customFormat="1" ht="19.5" customHeight="1" x14ac:dyDescent="0.3">
      <c r="A91" s="1258" t="s">
        <v>1075</v>
      </c>
      <c r="B91" s="1256" t="s">
        <v>807</v>
      </c>
      <c r="C91" s="1257" t="s">
        <v>105</v>
      </c>
      <c r="D91" s="1257" t="s">
        <v>1067</v>
      </c>
      <c r="E91" s="954">
        <v>25000</v>
      </c>
      <c r="F91" s="1191">
        <v>0</v>
      </c>
      <c r="G91" s="954">
        <v>25000</v>
      </c>
      <c r="H91" s="954">
        <v>717.5</v>
      </c>
      <c r="I91" s="1191">
        <v>0</v>
      </c>
      <c r="J91" s="954">
        <v>760</v>
      </c>
      <c r="K91" s="954">
        <v>5079.66</v>
      </c>
      <c r="L91" s="954">
        <f>+H91+I91+J91+K91</f>
        <v>6557.16</v>
      </c>
      <c r="M91" s="954">
        <f t="shared" si="20"/>
        <v>18442.84</v>
      </c>
    </row>
    <row r="92" spans="1:13" ht="18.75" x14ac:dyDescent="0.3">
      <c r="A92" s="961" t="s">
        <v>763</v>
      </c>
      <c r="B92" s="950"/>
      <c r="C92" s="962">
        <v>10</v>
      </c>
      <c r="D92" s="962"/>
      <c r="E92" s="963">
        <f>SUM(E82:E91)</f>
        <v>268500</v>
      </c>
      <c r="F92" s="1071">
        <v>0</v>
      </c>
      <c r="G92" s="963">
        <f t="shared" ref="G92:M92" si="21">SUM(G82:G91)</f>
        <v>268500</v>
      </c>
      <c r="H92" s="963">
        <f t="shared" si="21"/>
        <v>7705.95</v>
      </c>
      <c r="I92" s="963">
        <f t="shared" si="21"/>
        <v>936.62</v>
      </c>
      <c r="J92" s="963">
        <f t="shared" si="21"/>
        <v>8162.4</v>
      </c>
      <c r="K92" s="966">
        <f>SUM(K82:K91)</f>
        <v>7876.36</v>
      </c>
      <c r="L92" s="963">
        <f t="shared" si="21"/>
        <v>24681.329999999998</v>
      </c>
      <c r="M92" s="963">
        <f t="shared" si="21"/>
        <v>243818.67</v>
      </c>
    </row>
    <row r="93" spans="1:13" ht="18.75" x14ac:dyDescent="0.3">
      <c r="A93" s="958"/>
      <c r="B93" s="950"/>
      <c r="C93" s="967"/>
      <c r="D93" s="967"/>
      <c r="E93" s="951"/>
      <c r="F93" s="952"/>
      <c r="G93" s="953"/>
      <c r="H93" s="951"/>
      <c r="I93" s="951"/>
      <c r="J93" s="951"/>
      <c r="K93" s="954"/>
      <c r="L93" s="951"/>
      <c r="M93" s="953"/>
    </row>
    <row r="94" spans="1:13" ht="18.75" x14ac:dyDescent="0.3">
      <c r="A94" s="961" t="s">
        <v>1126</v>
      </c>
      <c r="B94" s="950"/>
      <c r="C94" s="960"/>
      <c r="D94" s="960"/>
      <c r="E94" s="951"/>
      <c r="F94" s="964"/>
      <c r="G94" s="953"/>
      <c r="H94" s="951"/>
      <c r="I94" s="951"/>
      <c r="J94" s="951"/>
      <c r="K94" s="954"/>
      <c r="L94" s="951"/>
      <c r="M94" s="953"/>
    </row>
    <row r="95" spans="1:13" ht="18.75" x14ac:dyDescent="0.3">
      <c r="A95" s="955" t="s">
        <v>1641</v>
      </c>
      <c r="B95" s="950" t="s">
        <v>807</v>
      </c>
      <c r="C95" s="960" t="s">
        <v>1673</v>
      </c>
      <c r="D95" s="960" t="s">
        <v>1069</v>
      </c>
      <c r="E95" s="951">
        <v>55000</v>
      </c>
      <c r="F95" s="952">
        <v>0</v>
      </c>
      <c r="G95" s="953">
        <v>55000</v>
      </c>
      <c r="H95" s="951">
        <v>1578.5</v>
      </c>
      <c r="I95" s="956">
        <v>2559.6799999999998</v>
      </c>
      <c r="J95" s="951">
        <v>1672</v>
      </c>
      <c r="K95" s="954">
        <v>25</v>
      </c>
      <c r="L95" s="951">
        <f>+H95+I95+J95+K95</f>
        <v>5835.18</v>
      </c>
      <c r="M95" s="953">
        <f>+G95-L95</f>
        <v>49164.82</v>
      </c>
    </row>
    <row r="96" spans="1:13" ht="18.75" x14ac:dyDescent="0.3">
      <c r="A96" s="961" t="s">
        <v>749</v>
      </c>
      <c r="B96" s="950"/>
      <c r="C96" s="962">
        <v>1</v>
      </c>
      <c r="D96" s="962"/>
      <c r="E96" s="963">
        <f>SUM(E95:E95)</f>
        <v>55000</v>
      </c>
      <c r="F96" s="964">
        <f t="shared" ref="F96:M96" si="22">SUM(F95:F95)</f>
        <v>0</v>
      </c>
      <c r="G96" s="965">
        <f t="shared" si="22"/>
        <v>55000</v>
      </c>
      <c r="H96" s="963">
        <f t="shared" si="22"/>
        <v>1578.5</v>
      </c>
      <c r="I96" s="963">
        <f t="shared" si="22"/>
        <v>2559.6799999999998</v>
      </c>
      <c r="J96" s="963">
        <f t="shared" si="22"/>
        <v>1672</v>
      </c>
      <c r="K96" s="966">
        <f>SUM(K95:K95)</f>
        <v>25</v>
      </c>
      <c r="L96" s="963">
        <f t="shared" si="22"/>
        <v>5835.18</v>
      </c>
      <c r="M96" s="965">
        <f t="shared" si="22"/>
        <v>49164.82</v>
      </c>
    </row>
    <row r="97" spans="1:13" ht="18.75" x14ac:dyDescent="0.3">
      <c r="A97" s="958"/>
      <c r="B97" s="950"/>
      <c r="C97" s="960"/>
      <c r="D97" s="960"/>
      <c r="E97" s="951"/>
      <c r="F97" s="952"/>
      <c r="G97" s="953"/>
      <c r="H97" s="951"/>
      <c r="I97" s="951"/>
      <c r="J97" s="951"/>
      <c r="K97" s="954"/>
      <c r="L97" s="951"/>
      <c r="M97" s="953"/>
    </row>
    <row r="98" spans="1:13" ht="18.75" x14ac:dyDescent="0.3">
      <c r="A98" s="961" t="s">
        <v>1127</v>
      </c>
      <c r="B98" s="950"/>
      <c r="C98" s="960"/>
      <c r="D98" s="960"/>
      <c r="E98" s="951"/>
      <c r="F98" s="952"/>
      <c r="G98" s="953"/>
      <c r="H98" s="951"/>
      <c r="I98" s="951"/>
      <c r="J98" s="951"/>
      <c r="K98" s="954"/>
      <c r="L98" s="951"/>
      <c r="M98" s="953"/>
    </row>
    <row r="99" spans="1:13" ht="18.75" x14ac:dyDescent="0.3">
      <c r="A99" s="955" t="s">
        <v>1642</v>
      </c>
      <c r="B99" s="950" t="s">
        <v>806</v>
      </c>
      <c r="C99" s="960" t="s">
        <v>1675</v>
      </c>
      <c r="D99" s="960" t="s">
        <v>1069</v>
      </c>
      <c r="E99" s="951">
        <v>55000</v>
      </c>
      <c r="F99" s="974">
        <v>0</v>
      </c>
      <c r="G99" s="951">
        <v>55000</v>
      </c>
      <c r="H99" s="951">
        <v>1578.5</v>
      </c>
      <c r="I99" s="951">
        <v>2559.6799999999998</v>
      </c>
      <c r="J99" s="951">
        <v>1672</v>
      </c>
      <c r="K99" s="954">
        <v>1296.7</v>
      </c>
      <c r="L99" s="951">
        <f>+H99+I99+J99+K99</f>
        <v>7106.88</v>
      </c>
      <c r="M99" s="953">
        <f>+G99-L99</f>
        <v>47893.120000000003</v>
      </c>
    </row>
    <row r="100" spans="1:13" ht="18.75" x14ac:dyDescent="0.3">
      <c r="A100" s="955" t="s">
        <v>1315</v>
      </c>
      <c r="B100" s="968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1">
        <v>1248.45</v>
      </c>
      <c r="I100" s="974">
        <v>936.62</v>
      </c>
      <c r="J100" s="951">
        <v>1322.4</v>
      </c>
      <c r="K100" s="954">
        <v>1296.7</v>
      </c>
      <c r="L100" s="951">
        <f>+H100+I100+J100+K100</f>
        <v>4804.17</v>
      </c>
      <c r="M100" s="953">
        <f>+G100-L100</f>
        <v>38695.83</v>
      </c>
    </row>
    <row r="101" spans="1:13" ht="18.75" x14ac:dyDescent="0.3">
      <c r="A101" s="961" t="s">
        <v>749</v>
      </c>
      <c r="B101" s="950"/>
      <c r="C101" s="962">
        <v>2</v>
      </c>
      <c r="D101" s="962"/>
      <c r="E101" s="963">
        <f>SUM(E99:E100)</f>
        <v>98500</v>
      </c>
      <c r="F101" s="952">
        <v>0</v>
      </c>
      <c r="G101" s="963">
        <f t="shared" ref="G101:M101" si="23">SUM(G99:G100)</f>
        <v>98500</v>
      </c>
      <c r="H101" s="963">
        <f t="shared" si="23"/>
        <v>2826.95</v>
      </c>
      <c r="I101" s="963">
        <f t="shared" si="23"/>
        <v>3496.2999999999997</v>
      </c>
      <c r="J101" s="963">
        <f t="shared" si="23"/>
        <v>2994.4</v>
      </c>
      <c r="K101" s="966">
        <f>SUM(K99:K100)</f>
        <v>2593.4</v>
      </c>
      <c r="L101" s="963">
        <f t="shared" si="23"/>
        <v>11911.05</v>
      </c>
      <c r="M101" s="963">
        <f t="shared" si="23"/>
        <v>86588.950000000012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1"/>
      <c r="I102" s="951"/>
      <c r="J102" s="951"/>
      <c r="K102" s="954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3"/>
      <c r="I103" s="963"/>
      <c r="J103" s="963"/>
      <c r="K103" s="966"/>
      <c r="L103" s="963"/>
      <c r="M103" s="965"/>
    </row>
    <row r="104" spans="1:13" ht="18.75" x14ac:dyDescent="0.3">
      <c r="A104" s="955" t="s">
        <v>1676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951">
        <v>5368.48</v>
      </c>
      <c r="J104" s="951">
        <v>2128</v>
      </c>
      <c r="K104" s="954">
        <v>25</v>
      </c>
      <c r="L104" s="951">
        <f>+H104+I104+J104+K104</f>
        <v>9530.48</v>
      </c>
      <c r="M104" s="951">
        <f>+G104-L104</f>
        <v>60469.520000000004</v>
      </c>
    </row>
    <row r="105" spans="1:13" ht="18.75" x14ac:dyDescent="0.3">
      <c r="A105" s="955" t="s">
        <v>124</v>
      </c>
      <c r="B105" s="968" t="s">
        <v>807</v>
      </c>
      <c r="C105" s="960" t="s">
        <v>604</v>
      </c>
      <c r="D105" s="960" t="s">
        <v>1069</v>
      </c>
      <c r="E105" s="951">
        <v>70000</v>
      </c>
      <c r="F105" s="974">
        <v>0</v>
      </c>
      <c r="G105" s="951">
        <v>70000</v>
      </c>
      <c r="H105" s="951">
        <v>2009</v>
      </c>
      <c r="I105" s="951">
        <v>4600.5600000000004</v>
      </c>
      <c r="J105" s="951">
        <v>2128</v>
      </c>
      <c r="K105" s="954">
        <v>3964.56</v>
      </c>
      <c r="L105" s="951">
        <f>SUM(H105:K105)</f>
        <v>12702.12</v>
      </c>
      <c r="M105" s="951">
        <f>+G105-L105</f>
        <v>57297.88</v>
      </c>
    </row>
    <row r="106" spans="1:13" ht="18.75" x14ac:dyDescent="0.3">
      <c r="A106" s="961" t="s">
        <v>749</v>
      </c>
      <c r="B106" s="950"/>
      <c r="C106" s="962">
        <v>2</v>
      </c>
      <c r="D106" s="962"/>
      <c r="E106" s="963">
        <f>SUM(E104:E105)</f>
        <v>140000</v>
      </c>
      <c r="F106" s="1071">
        <v>0</v>
      </c>
      <c r="G106" s="963">
        <f t="shared" ref="G106:J106" si="24">SUM(G104:G105)</f>
        <v>140000</v>
      </c>
      <c r="H106" s="963">
        <f t="shared" si="24"/>
        <v>4018</v>
      </c>
      <c r="I106" s="963">
        <f>SUM(I104:I105)</f>
        <v>9969.0400000000009</v>
      </c>
      <c r="J106" s="963">
        <f t="shared" si="24"/>
        <v>4256</v>
      </c>
      <c r="K106" s="966">
        <f>SUM(K104:K105)</f>
        <v>3989.56</v>
      </c>
      <c r="L106" s="963">
        <f>SUM(L104:L105)</f>
        <v>22232.6</v>
      </c>
      <c r="M106" s="963">
        <f>SUM(M104:M105)</f>
        <v>117767.4</v>
      </c>
    </row>
    <row r="107" spans="1:13" ht="18.75" x14ac:dyDescent="0.3">
      <c r="A107" s="961"/>
      <c r="B107" s="950"/>
      <c r="C107" s="962"/>
      <c r="D107" s="962"/>
      <c r="E107" s="963"/>
      <c r="F107" s="964"/>
      <c r="G107" s="965"/>
      <c r="H107" s="963"/>
      <c r="I107" s="963"/>
      <c r="J107" s="963"/>
      <c r="K107" s="966"/>
      <c r="L107" s="963"/>
      <c r="M107" s="965"/>
    </row>
    <row r="108" spans="1:13" ht="38.25" customHeight="1" x14ac:dyDescent="0.3">
      <c r="A108" s="981" t="s">
        <v>1167</v>
      </c>
      <c r="B108" s="950"/>
      <c r="C108" s="962"/>
      <c r="D108" s="962"/>
      <c r="E108" s="963"/>
      <c r="F108" s="964"/>
      <c r="G108" s="965"/>
      <c r="H108" s="963"/>
      <c r="I108" s="963"/>
      <c r="J108" s="963"/>
      <c r="K108" s="966"/>
      <c r="L108" s="963"/>
      <c r="M108" s="965"/>
    </row>
    <row r="109" spans="1:13" s="259" customFormat="1" ht="18.75" x14ac:dyDescent="0.3">
      <c r="A109" s="1258" t="s">
        <v>1168</v>
      </c>
      <c r="B109" s="1256" t="s">
        <v>807</v>
      </c>
      <c r="C109" s="1257" t="s">
        <v>1564</v>
      </c>
      <c r="D109" s="1257" t="s">
        <v>1069</v>
      </c>
      <c r="E109" s="954">
        <v>80000</v>
      </c>
      <c r="F109" s="1191">
        <v>0</v>
      </c>
      <c r="G109" s="954">
        <v>80000</v>
      </c>
      <c r="H109" s="951">
        <v>2296</v>
      </c>
      <c r="I109" s="951">
        <v>7400.87</v>
      </c>
      <c r="J109" s="951">
        <v>2432</v>
      </c>
      <c r="K109" s="954">
        <v>2134</v>
      </c>
      <c r="L109" s="951">
        <f>SUM(H109:K109)</f>
        <v>14262.869999999999</v>
      </c>
      <c r="M109" s="954">
        <f>+E109-L109</f>
        <v>65737.13</v>
      </c>
    </row>
    <row r="110" spans="1:13" s="259" customFormat="1" ht="18.75" x14ac:dyDescent="0.3">
      <c r="A110" s="1258" t="s">
        <v>1053</v>
      </c>
      <c r="B110" s="1256" t="s">
        <v>807</v>
      </c>
      <c r="C110" s="1257" t="s">
        <v>276</v>
      </c>
      <c r="D110" s="1257" t="s">
        <v>307</v>
      </c>
      <c r="E110" s="954">
        <v>43500</v>
      </c>
      <c r="F110" s="1191">
        <v>0</v>
      </c>
      <c r="G110" s="954">
        <v>43500</v>
      </c>
      <c r="H110" s="954">
        <v>1248.45</v>
      </c>
      <c r="I110" s="1191">
        <v>648.66</v>
      </c>
      <c r="J110" s="954">
        <v>1322.4</v>
      </c>
      <c r="K110" s="954">
        <v>1944.78</v>
      </c>
      <c r="L110" s="954">
        <f t="shared" ref="L110:L111" si="25">SUM(H110:K110)</f>
        <v>5164.29</v>
      </c>
      <c r="M110" s="954">
        <f>+G110-L110</f>
        <v>38335.71</v>
      </c>
    </row>
    <row r="111" spans="1:13" ht="18.75" x14ac:dyDescent="0.3">
      <c r="A111" s="955" t="s">
        <v>1147</v>
      </c>
      <c r="B111" s="950" t="s">
        <v>807</v>
      </c>
      <c r="C111" s="960" t="s">
        <v>276</v>
      </c>
      <c r="D111" s="960" t="s">
        <v>307</v>
      </c>
      <c r="E111" s="951">
        <v>43500</v>
      </c>
      <c r="F111" s="974">
        <v>0</v>
      </c>
      <c r="G111" s="951">
        <v>43500</v>
      </c>
      <c r="H111" s="951">
        <v>1248.45</v>
      </c>
      <c r="I111" s="974">
        <v>936.62</v>
      </c>
      <c r="J111" s="951">
        <v>1322.4</v>
      </c>
      <c r="K111" s="954">
        <v>25</v>
      </c>
      <c r="L111" s="951">
        <f t="shared" si="25"/>
        <v>3532.4700000000003</v>
      </c>
      <c r="M111" s="951">
        <f>+G111-L111</f>
        <v>39967.53</v>
      </c>
    </row>
    <row r="112" spans="1:13" ht="18.75" x14ac:dyDescent="0.3">
      <c r="A112" s="961" t="s">
        <v>749</v>
      </c>
      <c r="B112" s="950"/>
      <c r="C112" s="962">
        <v>3</v>
      </c>
      <c r="D112" s="962"/>
      <c r="E112" s="963">
        <f>SUM(E109:E111)</f>
        <v>167000</v>
      </c>
      <c r="F112" s="1071">
        <v>0</v>
      </c>
      <c r="G112" s="963">
        <f t="shared" ref="G112:M112" si="26">SUM(G109:G111)</f>
        <v>167000</v>
      </c>
      <c r="H112" s="963">
        <f t="shared" si="26"/>
        <v>4792.8999999999996</v>
      </c>
      <c r="I112" s="963">
        <f t="shared" si="26"/>
        <v>8986.15</v>
      </c>
      <c r="J112" s="963">
        <f t="shared" si="26"/>
        <v>5076.8</v>
      </c>
      <c r="K112" s="966">
        <f>SUM(K109:K111)</f>
        <v>4103.78</v>
      </c>
      <c r="L112" s="963">
        <f>SUM(L109:L111)</f>
        <v>22959.63</v>
      </c>
      <c r="M112" s="963">
        <f t="shared" si="26"/>
        <v>144040.37</v>
      </c>
    </row>
    <row r="113" spans="1:13" ht="18.75" x14ac:dyDescent="0.3">
      <c r="A113" s="961"/>
      <c r="B113" s="950"/>
      <c r="C113" s="962"/>
      <c r="D113" s="962"/>
      <c r="E113" s="963"/>
      <c r="F113" s="964"/>
      <c r="G113" s="965"/>
      <c r="H113" s="963"/>
      <c r="I113" s="963"/>
      <c r="J113" s="963"/>
      <c r="K113" s="966"/>
      <c r="L113" s="963"/>
      <c r="M113" s="965"/>
    </row>
    <row r="114" spans="1:13" ht="18.75" x14ac:dyDescent="0.3">
      <c r="A114" s="961" t="s">
        <v>1128</v>
      </c>
      <c r="B114" s="950"/>
      <c r="C114" s="967"/>
      <c r="D114" s="967"/>
      <c r="E114" s="963"/>
      <c r="F114" s="964"/>
      <c r="G114" s="965"/>
      <c r="H114" s="963"/>
      <c r="I114" s="963"/>
      <c r="J114" s="963"/>
      <c r="K114" s="966"/>
      <c r="L114" s="963"/>
      <c r="M114" s="965"/>
    </row>
    <row r="115" spans="1:13" ht="18.75" x14ac:dyDescent="0.3">
      <c r="A115" s="958" t="s">
        <v>47</v>
      </c>
      <c r="B115" s="950" t="s">
        <v>806</v>
      </c>
      <c r="C115" s="960" t="s">
        <v>1677</v>
      </c>
      <c r="D115" s="960" t="s">
        <v>1069</v>
      </c>
      <c r="E115" s="951">
        <v>80000</v>
      </c>
      <c r="F115" s="952">
        <v>0</v>
      </c>
      <c r="G115" s="953">
        <v>80000</v>
      </c>
      <c r="H115" s="951">
        <v>2296</v>
      </c>
      <c r="I115" s="951">
        <v>6920.92</v>
      </c>
      <c r="J115" s="951">
        <v>2432</v>
      </c>
      <c r="K115" s="954">
        <v>1944.78</v>
      </c>
      <c r="L115" s="951">
        <f>+H115+I115+J115+K115</f>
        <v>13593.7</v>
      </c>
      <c r="M115" s="953">
        <f>+G115-L115</f>
        <v>66406.3</v>
      </c>
    </row>
    <row r="116" spans="1:13" ht="18.75" x14ac:dyDescent="0.3">
      <c r="A116" s="961" t="s">
        <v>749</v>
      </c>
      <c r="B116" s="950"/>
      <c r="C116" s="962">
        <v>1</v>
      </c>
      <c r="D116" s="962"/>
      <c r="E116" s="963">
        <f>SUM(E115:E115)</f>
        <v>80000</v>
      </c>
      <c r="F116" s="952">
        <v>0</v>
      </c>
      <c r="G116" s="965">
        <f t="shared" ref="G116:L116" si="27">SUM(G115:G115)</f>
        <v>80000</v>
      </c>
      <c r="H116" s="963">
        <f t="shared" si="27"/>
        <v>2296</v>
      </c>
      <c r="I116" s="963">
        <f t="shared" si="27"/>
        <v>6920.92</v>
      </c>
      <c r="J116" s="963">
        <f t="shared" si="27"/>
        <v>2432</v>
      </c>
      <c r="K116" s="966">
        <f>SUM(K115:K115)</f>
        <v>1944.78</v>
      </c>
      <c r="L116" s="963">
        <f t="shared" si="27"/>
        <v>13593.7</v>
      </c>
      <c r="M116" s="965">
        <f>SUM(M115:M115)</f>
        <v>66406.3</v>
      </c>
    </row>
    <row r="117" spans="1:13" ht="18.75" x14ac:dyDescent="0.3">
      <c r="A117" s="961"/>
      <c r="B117" s="950"/>
      <c r="C117" s="967"/>
      <c r="D117" s="967"/>
      <c r="E117" s="963"/>
      <c r="F117" s="964"/>
      <c r="G117" s="965"/>
      <c r="H117" s="963"/>
      <c r="I117" s="963"/>
      <c r="J117" s="963"/>
      <c r="K117" s="966"/>
      <c r="L117" s="963"/>
      <c r="M117" s="965"/>
    </row>
    <row r="118" spans="1:13" ht="22.5" customHeight="1" x14ac:dyDescent="0.3">
      <c r="A118" s="982" t="s">
        <v>1462</v>
      </c>
      <c r="B118" s="950"/>
      <c r="C118" s="967"/>
      <c r="D118" s="967"/>
      <c r="E118" s="963"/>
      <c r="F118" s="964"/>
      <c r="G118" s="965"/>
      <c r="H118" s="963"/>
      <c r="I118" s="963"/>
      <c r="J118" s="963"/>
      <c r="K118" s="966"/>
      <c r="L118" s="963"/>
      <c r="M118" s="965"/>
    </row>
    <row r="119" spans="1:13" ht="20.25" customHeight="1" x14ac:dyDescent="0.3">
      <c r="A119" s="1242" t="s">
        <v>1678</v>
      </c>
      <c r="B119" s="950" t="s">
        <v>806</v>
      </c>
      <c r="C119" s="960" t="s">
        <v>1265</v>
      </c>
      <c r="D119" s="960" t="s">
        <v>1066</v>
      </c>
      <c r="E119" s="951">
        <v>185000</v>
      </c>
      <c r="F119" s="952">
        <v>0</v>
      </c>
      <c r="G119" s="953">
        <v>185000</v>
      </c>
      <c r="H119" s="951">
        <v>5309.5</v>
      </c>
      <c r="I119" s="951">
        <v>32099.49</v>
      </c>
      <c r="J119" s="951">
        <v>5624</v>
      </c>
      <c r="K119" s="954">
        <v>25</v>
      </c>
      <c r="L119" s="951">
        <f>+H119+I119+J119+K119</f>
        <v>43057.990000000005</v>
      </c>
      <c r="M119" s="953">
        <f>+G119-L119</f>
        <v>141942.01</v>
      </c>
    </row>
    <row r="120" spans="1:13" ht="18.75" x14ac:dyDescent="0.3">
      <c r="A120" s="955" t="s">
        <v>65</v>
      </c>
      <c r="B120" s="968" t="s">
        <v>806</v>
      </c>
      <c r="C120" s="960" t="s">
        <v>1174</v>
      </c>
      <c r="D120" s="960" t="s">
        <v>1069</v>
      </c>
      <c r="E120" s="951">
        <v>70000</v>
      </c>
      <c r="F120" s="974">
        <v>0</v>
      </c>
      <c r="G120" s="951">
        <v>70000</v>
      </c>
      <c r="H120" s="951">
        <v>2009</v>
      </c>
      <c r="I120" s="974">
        <v>5368.48</v>
      </c>
      <c r="J120" s="951">
        <v>2128</v>
      </c>
      <c r="K120" s="954">
        <v>125</v>
      </c>
      <c r="L120" s="951">
        <f>+H120+I120+J120+K120</f>
        <v>9630.48</v>
      </c>
      <c r="M120" s="953">
        <f t="shared" ref="M120:M123" si="28">+G120-L120</f>
        <v>60369.520000000004</v>
      </c>
    </row>
    <row r="121" spans="1:13" ht="18.75" x14ac:dyDescent="0.3">
      <c r="A121" s="955" t="s">
        <v>843</v>
      </c>
      <c r="B121" s="968" t="s">
        <v>806</v>
      </c>
      <c r="C121" s="960" t="s">
        <v>1199</v>
      </c>
      <c r="D121" s="960" t="s">
        <v>1069</v>
      </c>
      <c r="E121" s="951">
        <v>80000</v>
      </c>
      <c r="F121" s="952">
        <v>0</v>
      </c>
      <c r="G121" s="953">
        <v>80000</v>
      </c>
      <c r="H121" s="951">
        <v>2296</v>
      </c>
      <c r="I121" s="1122">
        <v>7400.87</v>
      </c>
      <c r="J121" s="951">
        <v>2432</v>
      </c>
      <c r="K121" s="954">
        <v>25</v>
      </c>
      <c r="L121" s="951">
        <f>+H121+I121+J121+K121</f>
        <v>12153.869999999999</v>
      </c>
      <c r="M121" s="953">
        <f t="shared" si="28"/>
        <v>67846.13</v>
      </c>
    </row>
    <row r="122" spans="1:13" ht="18.75" x14ac:dyDescent="0.3">
      <c r="A122" s="958" t="s">
        <v>1679</v>
      </c>
      <c r="B122" s="950" t="s">
        <v>807</v>
      </c>
      <c r="C122" s="977" t="s">
        <v>327</v>
      </c>
      <c r="D122" s="960" t="s">
        <v>321</v>
      </c>
      <c r="E122" s="951">
        <v>31500</v>
      </c>
      <c r="F122" s="974">
        <v>0</v>
      </c>
      <c r="G122" s="953">
        <v>31500</v>
      </c>
      <c r="H122" s="951">
        <v>904.05</v>
      </c>
      <c r="I122" s="974">
        <v>0</v>
      </c>
      <c r="J122" s="951">
        <v>957.6</v>
      </c>
      <c r="K122" s="954">
        <v>25</v>
      </c>
      <c r="L122" s="951">
        <v>1886.65</v>
      </c>
      <c r="M122" s="953">
        <f t="shared" si="28"/>
        <v>29613.35</v>
      </c>
    </row>
    <row r="123" spans="1:13" ht="18.75" x14ac:dyDescent="0.3">
      <c r="A123" s="958" t="s">
        <v>1680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1">
        <v>1248.45</v>
      </c>
      <c r="I123" s="974">
        <v>936.62</v>
      </c>
      <c r="J123" s="951">
        <v>1322.4</v>
      </c>
      <c r="K123" s="954">
        <v>25</v>
      </c>
      <c r="L123" s="951">
        <f>+H123+I123+J123+K123</f>
        <v>3532.4700000000003</v>
      </c>
      <c r="M123" s="953">
        <f t="shared" si="28"/>
        <v>39967.53</v>
      </c>
    </row>
    <row r="124" spans="1:13" ht="18.75" x14ac:dyDescent="0.3">
      <c r="A124" s="961" t="s">
        <v>749</v>
      </c>
      <c r="B124" s="950"/>
      <c r="C124" s="962">
        <v>5</v>
      </c>
      <c r="D124" s="962"/>
      <c r="E124" s="963">
        <f>SUM(E119:E123)</f>
        <v>410000</v>
      </c>
      <c r="F124" s="964">
        <f t="shared" ref="F124" si="29">SUM(F119:F123)</f>
        <v>0</v>
      </c>
      <c r="G124" s="963">
        <f>SUM(G119:G123)</f>
        <v>410000</v>
      </c>
      <c r="H124" s="963">
        <f t="shared" ref="H124:J124" si="30">SUM(H119:H123)</f>
        <v>11767</v>
      </c>
      <c r="I124" s="963">
        <f t="shared" si="30"/>
        <v>45805.460000000006</v>
      </c>
      <c r="J124" s="963">
        <f t="shared" si="30"/>
        <v>12464</v>
      </c>
      <c r="K124" s="966">
        <f>SUM(K119:K123)</f>
        <v>225</v>
      </c>
      <c r="L124" s="963">
        <f>SUM(L119:L123)</f>
        <v>70261.459999999992</v>
      </c>
      <c r="M124" s="963">
        <f>SUM(M119:M123)</f>
        <v>339738.54000000004</v>
      </c>
    </row>
    <row r="125" spans="1:13" ht="18.75" x14ac:dyDescent="0.3">
      <c r="A125" s="961"/>
      <c r="B125" s="950"/>
      <c r="C125" s="962"/>
      <c r="D125" s="962"/>
      <c r="E125" s="963"/>
      <c r="F125" s="964"/>
      <c r="G125" s="963"/>
      <c r="H125" s="963"/>
      <c r="I125" s="963"/>
      <c r="J125" s="963"/>
      <c r="K125" s="966"/>
      <c r="L125" s="963"/>
      <c r="M125" s="963"/>
    </row>
    <row r="126" spans="1:13" ht="36" customHeight="1" x14ac:dyDescent="0.3">
      <c r="A126" s="1273" t="s">
        <v>1681</v>
      </c>
      <c r="B126" s="950"/>
      <c r="C126" s="962"/>
      <c r="D126" s="962"/>
      <c r="E126" s="963"/>
      <c r="F126" s="964"/>
      <c r="G126" s="963"/>
      <c r="H126" s="963"/>
      <c r="I126" s="963"/>
      <c r="J126" s="963"/>
      <c r="K126" s="966"/>
      <c r="L126" s="963"/>
      <c r="M126" s="963"/>
    </row>
    <row r="127" spans="1:13" s="259" customFormat="1" ht="18.75" x14ac:dyDescent="0.3">
      <c r="A127" s="1258" t="s">
        <v>232</v>
      </c>
      <c r="B127" s="1259" t="s">
        <v>807</v>
      </c>
      <c r="C127" s="1257" t="s">
        <v>1174</v>
      </c>
      <c r="D127" s="1257" t="s">
        <v>1069</v>
      </c>
      <c r="E127" s="954">
        <v>80000</v>
      </c>
      <c r="F127" s="1191">
        <v>0</v>
      </c>
      <c r="G127" s="954">
        <v>80000</v>
      </c>
      <c r="H127" s="951">
        <v>2296</v>
      </c>
      <c r="I127" s="951">
        <v>6920.92</v>
      </c>
      <c r="J127" s="951">
        <v>2432</v>
      </c>
      <c r="K127" s="954">
        <v>6089.18</v>
      </c>
      <c r="L127" s="951">
        <f>+H127+I127+J127+K127</f>
        <v>17738.099999999999</v>
      </c>
      <c r="M127" s="954">
        <f>+G127-L127</f>
        <v>62261.9</v>
      </c>
    </row>
    <row r="128" spans="1:13" ht="18.75" x14ac:dyDescent="0.3">
      <c r="A128" s="961" t="s">
        <v>749</v>
      </c>
      <c r="B128" s="950"/>
      <c r="C128" s="962">
        <v>1</v>
      </c>
      <c r="D128" s="962"/>
      <c r="E128" s="963">
        <f>SUM(E127:E127)</f>
        <v>80000</v>
      </c>
      <c r="F128" s="952">
        <v>0</v>
      </c>
      <c r="G128" s="965">
        <f t="shared" ref="G128:L128" si="31">SUM(G127:G127)</f>
        <v>80000</v>
      </c>
      <c r="H128" s="963">
        <f t="shared" si="31"/>
        <v>2296</v>
      </c>
      <c r="I128" s="963">
        <f t="shared" si="31"/>
        <v>6920.92</v>
      </c>
      <c r="J128" s="963">
        <f t="shared" si="31"/>
        <v>2432</v>
      </c>
      <c r="K128" s="966">
        <f>SUM(K127:K127)</f>
        <v>6089.18</v>
      </c>
      <c r="L128" s="963">
        <f t="shared" si="31"/>
        <v>17738.099999999999</v>
      </c>
      <c r="M128" s="965">
        <f>SUM(M127:M127)</f>
        <v>62261.9</v>
      </c>
    </row>
    <row r="129" spans="1:13" ht="18.75" x14ac:dyDescent="0.3">
      <c r="A129" s="961"/>
      <c r="B129" s="950"/>
      <c r="C129" s="962"/>
      <c r="D129" s="962"/>
      <c r="E129" s="963"/>
      <c r="F129" s="952"/>
      <c r="G129" s="965"/>
      <c r="H129" s="963"/>
      <c r="I129" s="963"/>
      <c r="J129" s="963"/>
      <c r="K129" s="966"/>
      <c r="L129" s="963"/>
      <c r="M129" s="965"/>
    </row>
    <row r="130" spans="1:13" ht="42" customHeight="1" x14ac:dyDescent="0.3">
      <c r="A130" s="982" t="s">
        <v>1682</v>
      </c>
      <c r="B130" s="950"/>
      <c r="C130" s="967"/>
      <c r="D130" s="967"/>
      <c r="E130" s="963"/>
      <c r="F130" s="964"/>
      <c r="G130" s="965"/>
      <c r="H130" s="963"/>
      <c r="I130" s="963"/>
      <c r="J130" s="963"/>
      <c r="K130" s="966"/>
      <c r="L130" s="963"/>
      <c r="M130" s="965"/>
    </row>
    <row r="131" spans="1:13" ht="18.75" x14ac:dyDescent="0.3">
      <c r="A131" s="955" t="s">
        <v>419</v>
      </c>
      <c r="B131" s="950" t="s">
        <v>806</v>
      </c>
      <c r="C131" s="960" t="s">
        <v>1683</v>
      </c>
      <c r="D131" s="960" t="s">
        <v>1069</v>
      </c>
      <c r="E131" s="951">
        <v>50000</v>
      </c>
      <c r="F131" s="952">
        <v>0</v>
      </c>
      <c r="G131" s="953">
        <v>50000</v>
      </c>
      <c r="H131" s="951">
        <v>1435</v>
      </c>
      <c r="I131" s="951">
        <v>1854</v>
      </c>
      <c r="J131" s="951">
        <v>1520</v>
      </c>
      <c r="K131" s="954">
        <v>728</v>
      </c>
      <c r="L131" s="951">
        <f>+H131+I131+J131+K131</f>
        <v>5537</v>
      </c>
      <c r="M131" s="953">
        <f>+G131-L131</f>
        <v>44463</v>
      </c>
    </row>
    <row r="132" spans="1:13" ht="18.75" x14ac:dyDescent="0.3">
      <c r="A132" s="961" t="s">
        <v>749</v>
      </c>
      <c r="B132" s="950"/>
      <c r="C132" s="962">
        <v>1</v>
      </c>
      <c r="D132" s="962"/>
      <c r="E132" s="963">
        <f>SUM(E131:E131)</f>
        <v>50000</v>
      </c>
      <c r="F132" s="964">
        <f t="shared" ref="F132:M132" si="32">SUM(F131:F131)</f>
        <v>0</v>
      </c>
      <c r="G132" s="963">
        <f t="shared" si="32"/>
        <v>50000</v>
      </c>
      <c r="H132" s="963">
        <f t="shared" si="32"/>
        <v>1435</v>
      </c>
      <c r="I132" s="963">
        <f t="shared" si="32"/>
        <v>1854</v>
      </c>
      <c r="J132" s="963">
        <f t="shared" si="32"/>
        <v>1520</v>
      </c>
      <c r="K132" s="966">
        <f>SUM(K131:K131)</f>
        <v>728</v>
      </c>
      <c r="L132" s="963">
        <f t="shared" si="32"/>
        <v>5537</v>
      </c>
      <c r="M132" s="963">
        <f t="shared" si="32"/>
        <v>44463</v>
      </c>
    </row>
    <row r="133" spans="1:13" ht="18.75" x14ac:dyDescent="0.3">
      <c r="A133" s="958"/>
      <c r="B133" s="950"/>
      <c r="C133" s="960"/>
      <c r="D133" s="960"/>
      <c r="E133" s="951"/>
      <c r="F133" s="952"/>
      <c r="G133" s="953"/>
      <c r="H133" s="951"/>
      <c r="I133" s="951"/>
      <c r="J133" s="963"/>
      <c r="K133" s="954"/>
      <c r="L133" s="951"/>
      <c r="M133" s="953"/>
    </row>
    <row r="134" spans="1:13" ht="18.75" x14ac:dyDescent="0.3">
      <c r="A134" s="961" t="s">
        <v>842</v>
      </c>
      <c r="B134" s="950"/>
      <c r="C134" s="967"/>
      <c r="D134" s="967"/>
      <c r="E134" s="963"/>
      <c r="F134" s="964"/>
      <c r="G134" s="965"/>
      <c r="H134" s="963"/>
      <c r="I134" s="963"/>
      <c r="J134" s="963"/>
      <c r="K134" s="966"/>
      <c r="L134" s="963"/>
      <c r="M134" s="965"/>
    </row>
    <row r="135" spans="1:13" ht="18.75" x14ac:dyDescent="0.3">
      <c r="A135" s="955" t="s">
        <v>1131</v>
      </c>
      <c r="B135" s="950" t="s">
        <v>806</v>
      </c>
      <c r="C135" s="960" t="s">
        <v>905</v>
      </c>
      <c r="D135" s="960" t="s">
        <v>307</v>
      </c>
      <c r="E135" s="951">
        <v>80000</v>
      </c>
      <c r="F135" s="974">
        <v>0</v>
      </c>
      <c r="G135" s="951">
        <v>80000</v>
      </c>
      <c r="H135" s="951">
        <v>2296</v>
      </c>
      <c r="I135" s="951">
        <v>7400.87</v>
      </c>
      <c r="J135" s="951">
        <v>2432</v>
      </c>
      <c r="K135" s="954">
        <v>828</v>
      </c>
      <c r="L135" s="951">
        <f t="shared" ref="L135:L139" si="33">+H135+I135+J135+K135</f>
        <v>12956.869999999999</v>
      </c>
      <c r="M135" s="951">
        <f>+G135-L135</f>
        <v>67043.13</v>
      </c>
    </row>
    <row r="136" spans="1:13" ht="18.75" x14ac:dyDescent="0.3">
      <c r="A136" s="955" t="s">
        <v>773</v>
      </c>
      <c r="B136" s="950" t="s">
        <v>807</v>
      </c>
      <c r="C136" s="960" t="s">
        <v>774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1">
        <v>2559.6799999999998</v>
      </c>
      <c r="J136" s="951">
        <v>1672</v>
      </c>
      <c r="K136" s="954">
        <v>125</v>
      </c>
      <c r="L136" s="951">
        <v>5935.18</v>
      </c>
      <c r="M136" s="951">
        <f t="shared" ref="M136:M139" si="34">+G136-L136</f>
        <v>49064.82</v>
      </c>
    </row>
    <row r="137" spans="1:13" ht="18.75" x14ac:dyDescent="0.3">
      <c r="A137" s="955" t="s">
        <v>1142</v>
      </c>
      <c r="B137" s="950" t="s">
        <v>806</v>
      </c>
      <c r="C137" s="960" t="s">
        <v>1684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1">
        <v>2559.6799999999998</v>
      </c>
      <c r="J137" s="951">
        <v>1672</v>
      </c>
      <c r="K137" s="954">
        <v>728</v>
      </c>
      <c r="L137" s="951">
        <f t="shared" si="33"/>
        <v>6538.18</v>
      </c>
      <c r="M137" s="951">
        <f t="shared" si="34"/>
        <v>48461.82</v>
      </c>
    </row>
    <row r="138" spans="1:13" ht="18.75" x14ac:dyDescent="0.3">
      <c r="A138" s="955" t="s">
        <v>444</v>
      </c>
      <c r="B138" s="950" t="s">
        <v>806</v>
      </c>
      <c r="C138" s="960" t="s">
        <v>1777</v>
      </c>
      <c r="D138" s="960" t="s">
        <v>307</v>
      </c>
      <c r="E138" s="951">
        <v>43500</v>
      </c>
      <c r="F138" s="974">
        <v>0</v>
      </c>
      <c r="G138" s="951">
        <v>43500</v>
      </c>
      <c r="H138" s="951">
        <v>1248.45</v>
      </c>
      <c r="I138" s="974">
        <v>936.62</v>
      </c>
      <c r="J138" s="951">
        <v>1322.4</v>
      </c>
      <c r="K138" s="954">
        <v>25</v>
      </c>
      <c r="L138" s="951">
        <f t="shared" si="33"/>
        <v>3532.4700000000003</v>
      </c>
      <c r="M138" s="951">
        <f t="shared" si="34"/>
        <v>39967.53</v>
      </c>
    </row>
    <row r="139" spans="1:13" ht="18.75" x14ac:dyDescent="0.3">
      <c r="A139" s="955" t="s">
        <v>1820</v>
      </c>
      <c r="B139" s="950" t="s">
        <v>807</v>
      </c>
      <c r="C139" s="960" t="s">
        <v>276</v>
      </c>
      <c r="D139" s="960" t="s">
        <v>307</v>
      </c>
      <c r="E139" s="951">
        <v>43500</v>
      </c>
      <c r="F139" s="974">
        <v>0</v>
      </c>
      <c r="G139" s="951">
        <v>43500</v>
      </c>
      <c r="H139" s="951">
        <v>1248.45</v>
      </c>
      <c r="I139" s="974">
        <v>936.62</v>
      </c>
      <c r="J139" s="951">
        <v>1322.4</v>
      </c>
      <c r="K139" s="954">
        <v>25</v>
      </c>
      <c r="L139" s="951">
        <f t="shared" si="33"/>
        <v>3532.4700000000003</v>
      </c>
      <c r="M139" s="951">
        <f t="shared" si="34"/>
        <v>39967.53</v>
      </c>
    </row>
    <row r="140" spans="1:13" ht="18.75" x14ac:dyDescent="0.3">
      <c r="A140" s="961" t="s">
        <v>749</v>
      </c>
      <c r="B140" s="950"/>
      <c r="C140" s="962">
        <v>5</v>
      </c>
      <c r="D140" s="962"/>
      <c r="E140" s="963">
        <f>SUM(E135:E139)</f>
        <v>277000</v>
      </c>
      <c r="F140" s="1071">
        <v>0</v>
      </c>
      <c r="G140" s="963">
        <f t="shared" ref="G140:L140" si="35">SUM(G135:G139)</f>
        <v>277000</v>
      </c>
      <c r="H140" s="963">
        <f t="shared" si="35"/>
        <v>7949.9</v>
      </c>
      <c r="I140" s="963">
        <f t="shared" si="35"/>
        <v>14393.470000000001</v>
      </c>
      <c r="J140" s="963">
        <f t="shared" si="35"/>
        <v>8420.7999999999993</v>
      </c>
      <c r="K140" s="966">
        <f t="shared" si="35"/>
        <v>1731</v>
      </c>
      <c r="L140" s="963">
        <f t="shared" si="35"/>
        <v>32495.170000000002</v>
      </c>
      <c r="M140" s="963">
        <f>SUM(M135:M139)</f>
        <v>244504.83000000002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1"/>
      <c r="I141" s="951"/>
      <c r="J141" s="951"/>
      <c r="K141" s="954"/>
      <c r="L141" s="951"/>
      <c r="M141" s="953"/>
    </row>
    <row r="142" spans="1:13" ht="18.75" x14ac:dyDescent="0.3">
      <c r="A142" s="961" t="s">
        <v>1515</v>
      </c>
      <c r="B142" s="950"/>
      <c r="C142" s="967"/>
      <c r="D142" s="967"/>
      <c r="E142" s="963"/>
      <c r="F142" s="964"/>
      <c r="G142" s="965"/>
      <c r="H142" s="963"/>
      <c r="I142" s="963"/>
      <c r="J142" s="963"/>
      <c r="K142" s="966"/>
      <c r="L142" s="963"/>
      <c r="M142" s="965"/>
    </row>
    <row r="143" spans="1:13" ht="18.75" x14ac:dyDescent="0.3">
      <c r="A143" s="958" t="s">
        <v>1686</v>
      </c>
      <c r="B143" s="950" t="s">
        <v>806</v>
      </c>
      <c r="C143" s="960" t="s">
        <v>1687</v>
      </c>
      <c r="D143" s="960" t="s">
        <v>307</v>
      </c>
      <c r="E143" s="951">
        <v>185000</v>
      </c>
      <c r="F143" s="952">
        <v>0</v>
      </c>
      <c r="G143" s="953">
        <v>185000</v>
      </c>
      <c r="H143" s="951">
        <v>5309.5</v>
      </c>
      <c r="I143" s="951">
        <v>32099.49</v>
      </c>
      <c r="J143" s="951">
        <v>5624</v>
      </c>
      <c r="K143" s="954">
        <v>2568.4</v>
      </c>
      <c r="L143" s="951">
        <f>+H143+I143+J143+K143</f>
        <v>45601.390000000007</v>
      </c>
      <c r="M143" s="953">
        <f>+G143-L143</f>
        <v>139398.60999999999</v>
      </c>
    </row>
    <row r="144" spans="1:13" ht="18.75" x14ac:dyDescent="0.3">
      <c r="A144" s="955" t="s">
        <v>77</v>
      </c>
      <c r="B144" s="986" t="s">
        <v>807</v>
      </c>
      <c r="C144" s="960" t="s">
        <v>1734</v>
      </c>
      <c r="D144" s="960" t="s">
        <v>1069</v>
      </c>
      <c r="E144" s="951">
        <v>70000</v>
      </c>
      <c r="F144" s="974">
        <v>0</v>
      </c>
      <c r="G144" s="1070">
        <v>70000</v>
      </c>
      <c r="H144" s="956">
        <v>2009</v>
      </c>
      <c r="I144" s="956">
        <v>5368.48</v>
      </c>
      <c r="J144" s="951">
        <v>2128</v>
      </c>
      <c r="K144" s="987">
        <v>828</v>
      </c>
      <c r="L144" s="951">
        <f>+H144+I144+J144+K144</f>
        <v>10333.48</v>
      </c>
      <c r="M144" s="953">
        <f>+G144-L144</f>
        <v>59666.520000000004</v>
      </c>
    </row>
    <row r="145" spans="1:13" ht="18.75" x14ac:dyDescent="0.3">
      <c r="A145" s="955" t="s">
        <v>1437</v>
      </c>
      <c r="B145" s="950" t="s">
        <v>807</v>
      </c>
      <c r="C145" s="960" t="s">
        <v>276</v>
      </c>
      <c r="D145" s="960" t="s">
        <v>307</v>
      </c>
      <c r="E145" s="951">
        <v>43500</v>
      </c>
      <c r="F145" s="974">
        <v>0</v>
      </c>
      <c r="G145" s="951">
        <v>43500</v>
      </c>
      <c r="H145" s="951">
        <v>1248.45</v>
      </c>
      <c r="I145" s="974">
        <v>936.62</v>
      </c>
      <c r="J145" s="951">
        <v>1322.4</v>
      </c>
      <c r="K145" s="954">
        <v>25</v>
      </c>
      <c r="L145" s="951">
        <f>+H145+I145+J145+K145</f>
        <v>3532.4700000000003</v>
      </c>
      <c r="M145" s="953">
        <f>+G145-L145</f>
        <v>39967.53</v>
      </c>
    </row>
    <row r="146" spans="1:13" ht="18.75" x14ac:dyDescent="0.3">
      <c r="A146" s="958" t="s">
        <v>310</v>
      </c>
      <c r="B146" s="950" t="s">
        <v>807</v>
      </c>
      <c r="C146" s="960" t="s">
        <v>276</v>
      </c>
      <c r="D146" s="960" t="s">
        <v>307</v>
      </c>
      <c r="E146" s="951">
        <v>50000</v>
      </c>
      <c r="F146" s="952">
        <v>0</v>
      </c>
      <c r="G146" s="953">
        <v>50000</v>
      </c>
      <c r="H146" s="951">
        <v>1435</v>
      </c>
      <c r="I146" s="951">
        <v>1854</v>
      </c>
      <c r="J146" s="951">
        <v>1520</v>
      </c>
      <c r="K146" s="954">
        <v>5944.07</v>
      </c>
      <c r="L146" s="951">
        <f>+H146+I146+J146+K146</f>
        <v>10753.07</v>
      </c>
      <c r="M146" s="953">
        <f t="shared" ref="M146" si="36">+G146-L146</f>
        <v>39246.93</v>
      </c>
    </row>
    <row r="147" spans="1:13" ht="18.75" x14ac:dyDescent="0.3">
      <c r="A147" s="961" t="s">
        <v>749</v>
      </c>
      <c r="B147" s="950"/>
      <c r="C147" s="962">
        <v>4</v>
      </c>
      <c r="D147" s="962"/>
      <c r="E147" s="963">
        <f>SUM(E143:E146)</f>
        <v>348500</v>
      </c>
      <c r="F147" s="964">
        <f ca="1">SUM(F143:F170)</f>
        <v>0</v>
      </c>
      <c r="G147" s="965">
        <f>SUM(G143:G146)</f>
        <v>348500</v>
      </c>
      <c r="H147" s="963">
        <f t="shared" ref="H147:L147" si="37">SUM(H143:H146)</f>
        <v>10001.950000000001</v>
      </c>
      <c r="I147" s="963">
        <f t="shared" si="37"/>
        <v>40258.590000000004</v>
      </c>
      <c r="J147" s="963">
        <f t="shared" si="37"/>
        <v>10594.4</v>
      </c>
      <c r="K147" s="966">
        <f>SUM(K143:K146)</f>
        <v>9365.4699999999993</v>
      </c>
      <c r="L147" s="963">
        <f t="shared" si="37"/>
        <v>70220.41</v>
      </c>
      <c r="M147" s="965">
        <f>SUM(M143:M146)</f>
        <v>278279.59000000003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3"/>
      <c r="I148" s="963"/>
      <c r="J148" s="963"/>
      <c r="K148" s="966"/>
      <c r="L148" s="963"/>
      <c r="M148" s="965"/>
    </row>
    <row r="149" spans="1:13" ht="18.75" x14ac:dyDescent="0.3">
      <c r="A149" s="967" t="s">
        <v>1458</v>
      </c>
      <c r="B149" s="988"/>
      <c r="C149" s="989"/>
      <c r="D149" s="989"/>
      <c r="E149" s="949"/>
      <c r="F149" s="949"/>
      <c r="G149" s="990"/>
      <c r="H149" s="1379"/>
      <c r="I149" s="963"/>
      <c r="J149" s="963"/>
      <c r="K149" s="966"/>
      <c r="L149" s="963"/>
      <c r="M149" s="965"/>
    </row>
    <row r="150" spans="1:13" ht="18.75" x14ac:dyDescent="0.3">
      <c r="A150" s="960" t="s">
        <v>1689</v>
      </c>
      <c r="B150" s="950" t="s">
        <v>807</v>
      </c>
      <c r="C150" s="960" t="s">
        <v>1772</v>
      </c>
      <c r="D150" s="960" t="s">
        <v>1069</v>
      </c>
      <c r="E150" s="951">
        <v>80000</v>
      </c>
      <c r="F150" s="971">
        <v>0</v>
      </c>
      <c r="G150" s="972">
        <v>80000</v>
      </c>
      <c r="H150" s="951">
        <v>2296</v>
      </c>
      <c r="I150" s="951">
        <v>7400.87</v>
      </c>
      <c r="J150" s="951">
        <v>2432</v>
      </c>
      <c r="K150" s="954">
        <v>2097.1999999999998</v>
      </c>
      <c r="L150" s="951">
        <f>+H150+I150+J150+K150</f>
        <v>14226.07</v>
      </c>
      <c r="M150" s="953">
        <f>+G150-L150</f>
        <v>65773.929999999993</v>
      </c>
    </row>
    <row r="151" spans="1:13" ht="18.75" x14ac:dyDescent="0.3">
      <c r="A151" s="960" t="s">
        <v>1690</v>
      </c>
      <c r="B151" s="950" t="s">
        <v>807</v>
      </c>
      <c r="C151" s="960" t="s">
        <v>276</v>
      </c>
      <c r="D151" s="960" t="s">
        <v>307</v>
      </c>
      <c r="E151" s="951">
        <v>43500</v>
      </c>
      <c r="F151" s="974">
        <v>0</v>
      </c>
      <c r="G151" s="951">
        <v>43500</v>
      </c>
      <c r="H151" s="951">
        <v>1248.45</v>
      </c>
      <c r="I151" s="974">
        <v>648.66</v>
      </c>
      <c r="J151" s="951">
        <v>1322.4</v>
      </c>
      <c r="K151" s="951">
        <v>1944.78</v>
      </c>
      <c r="L151" s="951">
        <f>SUM(H151:K151)</f>
        <v>5164.29</v>
      </c>
      <c r="M151" s="951">
        <f>+E151-L151</f>
        <v>38335.71</v>
      </c>
    </row>
    <row r="152" spans="1:13" ht="18.75" x14ac:dyDescent="0.3">
      <c r="A152" s="961" t="s">
        <v>847</v>
      </c>
      <c r="B152" s="992"/>
      <c r="C152" s="962">
        <v>2</v>
      </c>
      <c r="D152" s="962"/>
      <c r="E152" s="963">
        <f>SUM(E150:E151)</f>
        <v>123500</v>
      </c>
      <c r="F152" s="1071">
        <v>0</v>
      </c>
      <c r="G152" s="963">
        <f t="shared" ref="G152:I152" si="38">SUM(G150:G151)</f>
        <v>123500</v>
      </c>
      <c r="H152" s="963">
        <f t="shared" si="38"/>
        <v>3544.45</v>
      </c>
      <c r="I152" s="963">
        <f t="shared" si="38"/>
        <v>8049.53</v>
      </c>
      <c r="J152" s="963">
        <f>SUM(J150:J151)</f>
        <v>3754.4</v>
      </c>
      <c r="K152" s="966">
        <f>SUM(K150:K151)</f>
        <v>4041.9799999999996</v>
      </c>
      <c r="L152" s="963">
        <f>SUM(L150:L151)</f>
        <v>19390.36</v>
      </c>
      <c r="M152" s="963">
        <f>SUM(M150:M151)</f>
        <v>104109.63999999998</v>
      </c>
    </row>
    <row r="153" spans="1:13" ht="18.75" x14ac:dyDescent="0.3">
      <c r="A153" s="961"/>
      <c r="B153" s="950"/>
      <c r="C153" s="962"/>
      <c r="D153" s="962"/>
      <c r="E153" s="963"/>
      <c r="F153" s="964"/>
      <c r="G153" s="965"/>
      <c r="H153" s="963"/>
      <c r="I153" s="963"/>
      <c r="J153" s="963"/>
      <c r="K153" s="966"/>
      <c r="L153" s="963"/>
      <c r="M153" s="965"/>
    </row>
    <row r="154" spans="1:13" ht="18.75" x14ac:dyDescent="0.3">
      <c r="A154" s="982" t="s">
        <v>1245</v>
      </c>
      <c r="B154" s="950"/>
      <c r="C154" s="967"/>
      <c r="D154" s="967"/>
      <c r="E154" s="963"/>
      <c r="F154" s="964"/>
      <c r="G154" s="965"/>
      <c r="H154" s="963"/>
      <c r="I154" s="963"/>
      <c r="J154" s="963"/>
      <c r="K154" s="966"/>
      <c r="L154" s="963"/>
      <c r="M154" s="965"/>
    </row>
    <row r="155" spans="1:13" ht="18.75" x14ac:dyDescent="0.3">
      <c r="A155" s="955" t="s">
        <v>1691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1">
        <v>1248.45</v>
      </c>
      <c r="I155" s="974">
        <v>936.62</v>
      </c>
      <c r="J155" s="951">
        <v>1322.4</v>
      </c>
      <c r="K155" s="954">
        <v>25</v>
      </c>
      <c r="L155" s="951">
        <f>SUM(H155:K155)</f>
        <v>3532.4700000000003</v>
      </c>
      <c r="M155" s="953">
        <f>+G155-L155</f>
        <v>39967.53</v>
      </c>
    </row>
    <row r="156" spans="1:13" ht="18.75" x14ac:dyDescent="0.3">
      <c r="A156" s="961" t="s">
        <v>749</v>
      </c>
      <c r="B156" s="950"/>
      <c r="C156" s="962">
        <v>1</v>
      </c>
      <c r="D156" s="962"/>
      <c r="E156" s="963">
        <f>SUM(E155:E155)</f>
        <v>43500</v>
      </c>
      <c r="F156" s="964">
        <f t="shared" ref="F156:J156" si="39">SUM(F155:F155)</f>
        <v>0</v>
      </c>
      <c r="G156" s="965">
        <f t="shared" si="39"/>
        <v>43500</v>
      </c>
      <c r="H156" s="963">
        <f t="shared" si="39"/>
        <v>1248.45</v>
      </c>
      <c r="I156" s="1091">
        <f>SUM(I155:I155)</f>
        <v>936.62</v>
      </c>
      <c r="J156" s="1091">
        <f t="shared" si="39"/>
        <v>1322.4</v>
      </c>
      <c r="K156" s="966">
        <f>SUM(K155:K155)</f>
        <v>25</v>
      </c>
      <c r="L156" s="963">
        <f>SUM(L155)</f>
        <v>3532.4700000000003</v>
      </c>
      <c r="M156" s="965">
        <v>39967.53</v>
      </c>
    </row>
    <row r="157" spans="1:13" ht="18.75" x14ac:dyDescent="0.3">
      <c r="A157" s="958"/>
      <c r="B157" s="950"/>
      <c r="C157" s="960"/>
      <c r="D157" s="960"/>
      <c r="E157" s="951"/>
      <c r="F157" s="952"/>
      <c r="G157" s="953"/>
      <c r="H157" s="951"/>
      <c r="I157" s="951"/>
      <c r="J157" s="951"/>
      <c r="K157" s="954"/>
      <c r="L157" s="951"/>
      <c r="M157" s="953"/>
    </row>
    <row r="158" spans="1:13" ht="18.75" x14ac:dyDescent="0.3">
      <c r="A158" s="997" t="s">
        <v>1692</v>
      </c>
      <c r="B158" s="950"/>
      <c r="C158" s="967"/>
      <c r="D158" s="967"/>
      <c r="E158" s="963"/>
      <c r="F158" s="964"/>
      <c r="G158" s="965"/>
      <c r="H158" s="963"/>
      <c r="I158" s="963"/>
      <c r="J158" s="963"/>
      <c r="K158" s="966"/>
      <c r="L158" s="963"/>
      <c r="M158" s="965"/>
    </row>
    <row r="159" spans="1:13" ht="18.75" x14ac:dyDescent="0.3">
      <c r="A159" s="955" t="s">
        <v>1693</v>
      </c>
      <c r="B159" s="950" t="s">
        <v>807</v>
      </c>
      <c r="C159" s="960" t="s">
        <v>1734</v>
      </c>
      <c r="D159" s="960" t="s">
        <v>307</v>
      </c>
      <c r="E159" s="951">
        <v>70000</v>
      </c>
      <c r="F159" s="974">
        <v>0</v>
      </c>
      <c r="G159" s="951">
        <v>70000</v>
      </c>
      <c r="H159" s="951">
        <v>2009</v>
      </c>
      <c r="I159" s="951">
        <v>5368.48</v>
      </c>
      <c r="J159" s="951">
        <v>2128</v>
      </c>
      <c r="K159" s="954">
        <v>1296.7</v>
      </c>
      <c r="L159" s="951">
        <f>+H159+I159+J159+K159</f>
        <v>10802.18</v>
      </c>
      <c r="M159" s="953">
        <f t="shared" ref="M159:M160" si="40">+G159-L159</f>
        <v>59197.82</v>
      </c>
    </row>
    <row r="160" spans="1:13" ht="18.75" x14ac:dyDescent="0.3">
      <c r="A160" s="955" t="s">
        <v>1694</v>
      </c>
      <c r="B160" s="950" t="s">
        <v>806</v>
      </c>
      <c r="C160" s="960" t="s">
        <v>551</v>
      </c>
      <c r="D160" s="960" t="s">
        <v>307</v>
      </c>
      <c r="E160" s="951">
        <v>43500</v>
      </c>
      <c r="F160" s="952">
        <v>0</v>
      </c>
      <c r="G160" s="953">
        <v>43500</v>
      </c>
      <c r="H160" s="951">
        <v>1248.45</v>
      </c>
      <c r="I160" s="974">
        <v>936.62</v>
      </c>
      <c r="J160" s="951">
        <v>1322.4</v>
      </c>
      <c r="K160" s="954">
        <v>2025</v>
      </c>
      <c r="L160" s="951">
        <f>+H160+I160+J160+K160</f>
        <v>5532.47</v>
      </c>
      <c r="M160" s="953">
        <f t="shared" si="40"/>
        <v>37967.53</v>
      </c>
    </row>
    <row r="161" spans="1:13" ht="18.75" x14ac:dyDescent="0.3">
      <c r="A161" s="955" t="s">
        <v>1695</v>
      </c>
      <c r="B161" s="950" t="s">
        <v>806</v>
      </c>
      <c r="C161" s="960" t="s">
        <v>551</v>
      </c>
      <c r="D161" s="960" t="s">
        <v>321</v>
      </c>
      <c r="E161" s="951">
        <v>43500</v>
      </c>
      <c r="F161" s="952">
        <v>0</v>
      </c>
      <c r="G161" s="953">
        <v>43500</v>
      </c>
      <c r="H161" s="951">
        <v>1248.45</v>
      </c>
      <c r="I161" s="974">
        <v>936.62</v>
      </c>
      <c r="J161" s="951">
        <v>1322.4</v>
      </c>
      <c r="K161" s="954">
        <v>25</v>
      </c>
      <c r="L161" s="951">
        <f>+H161+I161+J161+K161</f>
        <v>3532.4700000000003</v>
      </c>
      <c r="M161" s="953">
        <f>+G161-L161</f>
        <v>39967.53</v>
      </c>
    </row>
    <row r="162" spans="1:13" ht="18.75" x14ac:dyDescent="0.3">
      <c r="A162" s="961" t="s">
        <v>847</v>
      </c>
      <c r="B162" s="950"/>
      <c r="C162" s="962">
        <v>3</v>
      </c>
      <c r="D162" s="962"/>
      <c r="E162" s="963">
        <f>SUM(E159:E161)</f>
        <v>157000</v>
      </c>
      <c r="F162" s="993">
        <f t="shared" ref="F162" si="41">SUM(F161)</f>
        <v>0</v>
      </c>
      <c r="G162" s="963">
        <f t="shared" ref="G162:M162" si="42">SUM(G159:G161)</f>
        <v>157000</v>
      </c>
      <c r="H162" s="963">
        <f t="shared" si="42"/>
        <v>4505.8999999999996</v>
      </c>
      <c r="I162" s="963">
        <f t="shared" si="42"/>
        <v>7241.7199999999993</v>
      </c>
      <c r="J162" s="963">
        <f t="shared" si="42"/>
        <v>4772.8</v>
      </c>
      <c r="K162" s="966">
        <f>SUM(K159:K161)</f>
        <v>3346.7</v>
      </c>
      <c r="L162" s="963">
        <f t="shared" si="42"/>
        <v>19867.120000000003</v>
      </c>
      <c r="M162" s="963">
        <f t="shared" si="42"/>
        <v>137132.88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1"/>
      <c r="I163" s="951"/>
      <c r="J163" s="951"/>
      <c r="K163" s="954"/>
      <c r="L163" s="951"/>
      <c r="M163" s="953"/>
    </row>
    <row r="164" spans="1:13" ht="29.25" customHeight="1" x14ac:dyDescent="0.3">
      <c r="A164" s="982" t="s">
        <v>1138</v>
      </c>
      <c r="B164" s="950"/>
      <c r="C164" s="967"/>
      <c r="D164" s="967"/>
      <c r="E164" s="963"/>
      <c r="F164" s="964"/>
      <c r="G164" s="965"/>
      <c r="H164" s="963"/>
      <c r="I164" s="963"/>
      <c r="J164" s="963"/>
      <c r="K164" s="966"/>
      <c r="L164" s="963"/>
      <c r="M164" s="965"/>
    </row>
    <row r="165" spans="1:13" ht="18.75" x14ac:dyDescent="0.3">
      <c r="A165" s="958" t="s">
        <v>1640</v>
      </c>
      <c r="B165" s="950" t="s">
        <v>806</v>
      </c>
      <c r="C165" s="960" t="s">
        <v>417</v>
      </c>
      <c r="D165" s="960" t="s">
        <v>1069</v>
      </c>
      <c r="E165" s="951">
        <v>80000</v>
      </c>
      <c r="F165" s="952">
        <v>0</v>
      </c>
      <c r="G165" s="953">
        <v>80000</v>
      </c>
      <c r="H165" s="951">
        <v>2296</v>
      </c>
      <c r="I165" s="951">
        <v>7400.87</v>
      </c>
      <c r="J165" s="951">
        <v>2432</v>
      </c>
      <c r="K165" s="954">
        <v>728</v>
      </c>
      <c r="L165" s="951">
        <f>+H165+I165+J165+K165</f>
        <v>12856.869999999999</v>
      </c>
      <c r="M165" s="953">
        <f>+G165-L165</f>
        <v>67143.13</v>
      </c>
    </row>
    <row r="166" spans="1:13" ht="18.75" x14ac:dyDescent="0.3">
      <c r="A166" s="961" t="s">
        <v>847</v>
      </c>
      <c r="B166" s="950"/>
      <c r="C166" s="962">
        <v>1</v>
      </c>
      <c r="D166" s="962"/>
      <c r="E166" s="963">
        <f>SUM(E165:E165)</f>
        <v>80000</v>
      </c>
      <c r="F166" s="1071">
        <v>0</v>
      </c>
      <c r="G166" s="963">
        <f t="shared" ref="G166:M166" si="43">SUM(G165:G165)</f>
        <v>80000</v>
      </c>
      <c r="H166" s="963">
        <f t="shared" si="43"/>
        <v>2296</v>
      </c>
      <c r="I166" s="963">
        <f t="shared" si="43"/>
        <v>7400.87</v>
      </c>
      <c r="J166" s="963">
        <f t="shared" si="43"/>
        <v>2432</v>
      </c>
      <c r="K166" s="966">
        <f>SUM(K165:K165)</f>
        <v>728</v>
      </c>
      <c r="L166" s="963">
        <f t="shared" si="43"/>
        <v>12856.869999999999</v>
      </c>
      <c r="M166" s="963">
        <f t="shared" si="43"/>
        <v>67143.13</v>
      </c>
    </row>
    <row r="167" spans="1:13" ht="18.75" x14ac:dyDescent="0.3">
      <c r="A167" s="958"/>
      <c r="B167" s="950"/>
      <c r="C167" s="960"/>
      <c r="D167" s="960"/>
      <c r="E167" s="951"/>
      <c r="F167" s="952"/>
      <c r="G167" s="953"/>
      <c r="H167" s="951"/>
      <c r="I167" s="951"/>
      <c r="J167" s="951"/>
      <c r="K167" s="954"/>
      <c r="L167" s="951"/>
      <c r="M167" s="953"/>
    </row>
    <row r="168" spans="1:13" ht="18.75" customHeight="1" x14ac:dyDescent="0.3">
      <c r="A168" s="982" t="s">
        <v>1195</v>
      </c>
      <c r="B168" s="950"/>
      <c r="C168" s="967"/>
      <c r="D168" s="967"/>
      <c r="E168" s="963"/>
      <c r="F168" s="964"/>
      <c r="G168" s="965"/>
      <c r="H168" s="963"/>
      <c r="I168" s="963"/>
      <c r="J168" s="963"/>
      <c r="K168" s="966"/>
      <c r="L168" s="963"/>
      <c r="M168" s="965"/>
    </row>
    <row r="169" spans="1:13" ht="18.75" x14ac:dyDescent="0.3">
      <c r="A169" s="955" t="s">
        <v>217</v>
      </c>
      <c r="B169" s="950" t="s">
        <v>807</v>
      </c>
      <c r="C169" s="960" t="s">
        <v>1734</v>
      </c>
      <c r="D169" s="960" t="s">
        <v>1069</v>
      </c>
      <c r="E169" s="951">
        <v>80000</v>
      </c>
      <c r="F169" s="952">
        <v>0</v>
      </c>
      <c r="G169" s="953">
        <v>80000</v>
      </c>
      <c r="H169" s="951">
        <v>2296</v>
      </c>
      <c r="I169" s="951">
        <v>7400.87</v>
      </c>
      <c r="J169" s="951">
        <v>2432</v>
      </c>
      <c r="K169" s="954">
        <v>3639.14</v>
      </c>
      <c r="L169" s="951">
        <f>+H169+I169+J169+K169</f>
        <v>15768.009999999998</v>
      </c>
      <c r="M169" s="953">
        <f>+G169-L169</f>
        <v>64231.990000000005</v>
      </c>
    </row>
    <row r="170" spans="1:13" ht="18.75" x14ac:dyDescent="0.3">
      <c r="A170" s="955" t="s">
        <v>1688</v>
      </c>
      <c r="B170" s="950" t="s">
        <v>806</v>
      </c>
      <c r="C170" s="960" t="s">
        <v>1683</v>
      </c>
      <c r="D170" s="960" t="s">
        <v>1069</v>
      </c>
      <c r="E170" s="951">
        <v>55000</v>
      </c>
      <c r="F170" s="974">
        <v>0</v>
      </c>
      <c r="G170" s="951">
        <v>55000</v>
      </c>
      <c r="H170" s="951">
        <v>1578.5</v>
      </c>
      <c r="I170" s="951">
        <v>2559.6799999999998</v>
      </c>
      <c r="J170" s="951">
        <v>1672</v>
      </c>
      <c r="K170" s="954">
        <v>1396.7</v>
      </c>
      <c r="L170" s="951">
        <f>+H170+I170+J170+K170</f>
        <v>7206.88</v>
      </c>
      <c r="M170" s="953">
        <f>+G170-L170</f>
        <v>47793.120000000003</v>
      </c>
    </row>
    <row r="171" spans="1:13" ht="18.75" x14ac:dyDescent="0.3">
      <c r="A171" s="961" t="s">
        <v>749</v>
      </c>
      <c r="B171" s="950"/>
      <c r="C171" s="962">
        <v>2</v>
      </c>
      <c r="D171" s="962"/>
      <c r="E171" s="963">
        <f>SUM(E169:E170)</f>
        <v>135000</v>
      </c>
      <c r="F171" s="964">
        <f t="shared" ref="F171:M171" si="44">SUM(F169:F170)</f>
        <v>0</v>
      </c>
      <c r="G171" s="965">
        <f t="shared" si="44"/>
        <v>135000</v>
      </c>
      <c r="H171" s="963">
        <f t="shared" si="44"/>
        <v>3874.5</v>
      </c>
      <c r="I171" s="963">
        <f t="shared" si="44"/>
        <v>9960.5499999999993</v>
      </c>
      <c r="J171" s="963">
        <f t="shared" si="44"/>
        <v>4104</v>
      </c>
      <c r="K171" s="966">
        <f>SUM(K169:K170)</f>
        <v>5035.84</v>
      </c>
      <c r="L171" s="963">
        <f t="shared" si="44"/>
        <v>22974.89</v>
      </c>
      <c r="M171" s="965">
        <f t="shared" si="44"/>
        <v>112025.11000000002</v>
      </c>
    </row>
    <row r="172" spans="1:13" ht="18.75" x14ac:dyDescent="0.3">
      <c r="A172" s="961"/>
      <c r="B172" s="950"/>
      <c r="C172" s="962"/>
      <c r="D172" s="962"/>
      <c r="E172" s="963"/>
      <c r="F172" s="964"/>
      <c r="G172" s="965"/>
      <c r="H172" s="963"/>
      <c r="I172" s="963"/>
      <c r="J172" s="963"/>
      <c r="K172" s="966"/>
      <c r="L172" s="963"/>
      <c r="M172" s="965"/>
    </row>
    <row r="173" spans="1:13" ht="18.75" x14ac:dyDescent="0.3">
      <c r="A173" s="982" t="s">
        <v>1421</v>
      </c>
      <c r="B173" s="950"/>
      <c r="C173" s="962"/>
      <c r="D173" s="962"/>
      <c r="E173" s="963"/>
      <c r="F173" s="964"/>
      <c r="G173" s="965"/>
      <c r="H173" s="963"/>
      <c r="I173" s="963"/>
      <c r="J173" s="963"/>
      <c r="K173" s="966"/>
      <c r="L173" s="963"/>
      <c r="M173" s="965"/>
    </row>
    <row r="174" spans="1:13" ht="18.75" x14ac:dyDescent="0.3">
      <c r="A174" s="1319" t="s">
        <v>1780</v>
      </c>
      <c r="B174" s="950" t="s">
        <v>806</v>
      </c>
      <c r="C174" s="1320" t="s">
        <v>551</v>
      </c>
      <c r="D174" s="960" t="s">
        <v>307</v>
      </c>
      <c r="E174" s="951">
        <v>43500</v>
      </c>
      <c r="F174" s="952">
        <v>0</v>
      </c>
      <c r="G174" s="953">
        <v>43500</v>
      </c>
      <c r="H174" s="951">
        <v>1248.45</v>
      </c>
      <c r="I174" s="951">
        <v>936.62</v>
      </c>
      <c r="J174" s="951">
        <v>1322.4</v>
      </c>
      <c r="K174" s="954">
        <v>25</v>
      </c>
      <c r="L174" s="951">
        <v>3532.47</v>
      </c>
      <c r="M174" s="953">
        <v>39967.53</v>
      </c>
    </row>
    <row r="175" spans="1:13" ht="18.75" x14ac:dyDescent="0.3">
      <c r="A175" s="961" t="s">
        <v>749</v>
      </c>
      <c r="B175" s="950"/>
      <c r="C175" s="962">
        <v>1</v>
      </c>
      <c r="D175" s="962"/>
      <c r="E175" s="963">
        <v>43500</v>
      </c>
      <c r="F175" s="964">
        <v>0</v>
      </c>
      <c r="G175" s="965">
        <v>43500</v>
      </c>
      <c r="H175" s="963">
        <v>1248.45</v>
      </c>
      <c r="I175" s="963">
        <v>936.62</v>
      </c>
      <c r="J175" s="963">
        <v>1322.4</v>
      </c>
      <c r="K175" s="966">
        <v>25</v>
      </c>
      <c r="L175" s="963">
        <v>3532.47</v>
      </c>
      <c r="M175" s="965">
        <v>39967.53</v>
      </c>
    </row>
    <row r="176" spans="1:13" ht="18.75" x14ac:dyDescent="0.3">
      <c r="A176" s="961"/>
      <c r="B176" s="950"/>
      <c r="C176" s="962"/>
      <c r="D176" s="962"/>
      <c r="E176" s="963"/>
      <c r="F176" s="964"/>
      <c r="G176" s="965"/>
      <c r="H176" s="963"/>
      <c r="I176" s="963"/>
      <c r="J176" s="963"/>
      <c r="K176" s="966"/>
      <c r="L176" s="963"/>
      <c r="M176" s="965"/>
    </row>
    <row r="177" spans="1:13" ht="18.75" x14ac:dyDescent="0.3">
      <c r="A177" s="961" t="s">
        <v>803</v>
      </c>
      <c r="B177" s="950"/>
      <c r="C177" s="967"/>
      <c r="D177" s="967"/>
      <c r="E177" s="963"/>
      <c r="F177" s="964"/>
      <c r="G177" s="965"/>
      <c r="H177" s="963"/>
      <c r="I177" s="963"/>
      <c r="J177" s="963"/>
      <c r="K177" s="966"/>
      <c r="L177" s="963"/>
      <c r="M177" s="965"/>
    </row>
    <row r="178" spans="1:13" ht="18.75" x14ac:dyDescent="0.3">
      <c r="A178" s="955" t="s">
        <v>1698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974">
        <v>936.62</v>
      </c>
      <c r="J178" s="951">
        <v>1322.4</v>
      </c>
      <c r="K178" s="954">
        <v>25</v>
      </c>
      <c r="L178" s="951">
        <f t="shared" ref="L178:L182" si="45">+H178+I178+J178+K178</f>
        <v>3532.4700000000003</v>
      </c>
      <c r="M178" s="951">
        <f t="shared" ref="M178:M182" si="46">+G178-L178</f>
        <v>39967.53</v>
      </c>
    </row>
    <row r="179" spans="1:13" ht="18.75" x14ac:dyDescent="0.3">
      <c r="A179" s="955" t="s">
        <v>1699</v>
      </c>
      <c r="B179" s="950" t="s">
        <v>806</v>
      </c>
      <c r="C179" s="1024" t="s">
        <v>1325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974">
        <v>936.62</v>
      </c>
      <c r="J179" s="951">
        <v>1322.4</v>
      </c>
      <c r="K179" s="954">
        <v>25</v>
      </c>
      <c r="L179" s="951">
        <f t="shared" si="45"/>
        <v>3532.4700000000003</v>
      </c>
      <c r="M179" s="951">
        <f t="shared" si="46"/>
        <v>39967.53</v>
      </c>
    </row>
    <row r="180" spans="1:13" ht="18.75" x14ac:dyDescent="0.3">
      <c r="A180" s="955" t="s">
        <v>1700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4">
        <v>25</v>
      </c>
      <c r="L180" s="951">
        <f t="shared" si="45"/>
        <v>3532.4700000000003</v>
      </c>
      <c r="M180" s="951">
        <f t="shared" si="46"/>
        <v>39967.53</v>
      </c>
    </row>
    <row r="181" spans="1:13" ht="16.5" customHeight="1" x14ac:dyDescent="0.3">
      <c r="A181" s="1069" t="s">
        <v>1701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360.69</v>
      </c>
      <c r="J181" s="951">
        <v>1322.4</v>
      </c>
      <c r="K181" s="954">
        <v>5270.56</v>
      </c>
      <c r="L181" s="951">
        <f t="shared" si="45"/>
        <v>8202.1</v>
      </c>
      <c r="M181" s="951">
        <f t="shared" si="46"/>
        <v>35297.9</v>
      </c>
    </row>
    <row r="182" spans="1:13" ht="18.75" x14ac:dyDescent="0.3">
      <c r="A182" s="998" t="s">
        <v>1702</v>
      </c>
      <c r="B182" s="950" t="s">
        <v>1296</v>
      </c>
      <c r="C182" s="1024" t="s">
        <v>1325</v>
      </c>
      <c r="D182" s="960" t="s">
        <v>321</v>
      </c>
      <c r="E182" s="951">
        <v>43500</v>
      </c>
      <c r="F182" s="952">
        <v>0</v>
      </c>
      <c r="G182" s="953">
        <v>43500</v>
      </c>
      <c r="H182" s="951">
        <v>1248.45</v>
      </c>
      <c r="I182" s="974">
        <v>936.62</v>
      </c>
      <c r="J182" s="951">
        <v>1322.4</v>
      </c>
      <c r="K182" s="954">
        <v>25</v>
      </c>
      <c r="L182" s="951">
        <f t="shared" si="45"/>
        <v>3532.4700000000003</v>
      </c>
      <c r="M182" s="951">
        <f t="shared" si="46"/>
        <v>39967.53</v>
      </c>
    </row>
    <row r="183" spans="1:13" ht="18.75" x14ac:dyDescent="0.3">
      <c r="A183" s="961" t="s">
        <v>847</v>
      </c>
      <c r="B183" s="950"/>
      <c r="C183" s="962">
        <v>5</v>
      </c>
      <c r="D183" s="962"/>
      <c r="E183" s="963">
        <f>SUM(E178:E182)</f>
        <v>217500</v>
      </c>
      <c r="F183" s="964">
        <v>0</v>
      </c>
      <c r="G183" s="963">
        <f t="shared" ref="G183:M183" si="47">SUM(G178:G182)</f>
        <v>217500</v>
      </c>
      <c r="H183" s="963">
        <f t="shared" si="47"/>
        <v>6242.25</v>
      </c>
      <c r="I183" s="963">
        <f t="shared" si="47"/>
        <v>4107.17</v>
      </c>
      <c r="J183" s="963">
        <f t="shared" si="47"/>
        <v>6612</v>
      </c>
      <c r="K183" s="966">
        <f>SUM(K178:K182)</f>
        <v>5370.56</v>
      </c>
      <c r="L183" s="963">
        <f t="shared" si="47"/>
        <v>22331.980000000003</v>
      </c>
      <c r="M183" s="963">
        <f t="shared" si="47"/>
        <v>195168.02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6"/>
      <c r="L184" s="963"/>
      <c r="M184" s="963"/>
    </row>
    <row r="185" spans="1:13" ht="18.75" x14ac:dyDescent="0.3">
      <c r="A185" s="961" t="s">
        <v>1490</v>
      </c>
      <c r="B185" s="950"/>
      <c r="C185" s="962"/>
      <c r="D185" s="962"/>
      <c r="E185" s="963"/>
      <c r="F185" s="964"/>
      <c r="G185" s="963"/>
      <c r="H185" s="963"/>
      <c r="I185" s="963"/>
      <c r="J185" s="963"/>
      <c r="K185" s="966"/>
      <c r="L185" s="963"/>
      <c r="M185" s="963"/>
    </row>
    <row r="186" spans="1:13" ht="21" customHeight="1" x14ac:dyDescent="0.3">
      <c r="A186" s="1069" t="s">
        <v>1386</v>
      </c>
      <c r="B186" s="950" t="s">
        <v>806</v>
      </c>
      <c r="C186" s="1024" t="s">
        <v>1325</v>
      </c>
      <c r="D186" s="960" t="s">
        <v>321</v>
      </c>
      <c r="E186" s="951">
        <v>43500</v>
      </c>
      <c r="F186" s="974">
        <v>0</v>
      </c>
      <c r="G186" s="951">
        <v>43500</v>
      </c>
      <c r="H186" s="951">
        <v>1248.45</v>
      </c>
      <c r="I186" s="974">
        <v>936.62</v>
      </c>
      <c r="J186" s="951">
        <v>1322.4</v>
      </c>
      <c r="K186" s="954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1704</v>
      </c>
      <c r="B187" s="950" t="s">
        <v>806</v>
      </c>
      <c r="C187" s="1024" t="s">
        <v>1325</v>
      </c>
      <c r="D187" s="960" t="s">
        <v>307</v>
      </c>
      <c r="E187" s="951">
        <v>43500</v>
      </c>
      <c r="F187" s="974">
        <v>0</v>
      </c>
      <c r="G187" s="951">
        <v>43500</v>
      </c>
      <c r="H187" s="951">
        <v>1248.45</v>
      </c>
      <c r="I187" s="974">
        <v>936.62</v>
      </c>
      <c r="J187" s="951">
        <v>1322.4</v>
      </c>
      <c r="K187" s="954">
        <v>25</v>
      </c>
      <c r="L187" s="951">
        <f>+H187+I187+J187+K187</f>
        <v>3532.4700000000003</v>
      </c>
      <c r="M187" s="951">
        <f>+G187-L187</f>
        <v>39967.53</v>
      </c>
    </row>
    <row r="188" spans="1:13" ht="21" customHeight="1" x14ac:dyDescent="0.3">
      <c r="A188" s="1069" t="s">
        <v>1328</v>
      </c>
      <c r="B188" s="950" t="s">
        <v>1296</v>
      </c>
      <c r="C188" s="1024" t="s">
        <v>1325</v>
      </c>
      <c r="D188" s="960" t="s">
        <v>321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4">
        <v>25</v>
      </c>
      <c r="L188" s="951">
        <f>+H188+I188+J188+K188</f>
        <v>3532.4700000000003</v>
      </c>
      <c r="M188" s="951">
        <f>+G188-L188</f>
        <v>39967.53</v>
      </c>
    </row>
    <row r="189" spans="1:13" ht="18.75" x14ac:dyDescent="0.3">
      <c r="A189" s="1027" t="s">
        <v>1705</v>
      </c>
      <c r="B189" s="950" t="s">
        <v>806</v>
      </c>
      <c r="C189" s="1024" t="s">
        <v>1325</v>
      </c>
      <c r="D189" s="960" t="s">
        <v>307</v>
      </c>
      <c r="E189" s="951">
        <v>43500</v>
      </c>
      <c r="F189" s="974">
        <v>0</v>
      </c>
      <c r="G189" s="1032">
        <v>43500</v>
      </c>
      <c r="H189" s="951">
        <v>1248.45</v>
      </c>
      <c r="I189" s="1036">
        <v>936.62</v>
      </c>
      <c r="J189" s="951">
        <v>1322.4</v>
      </c>
      <c r="K189" s="954">
        <v>25</v>
      </c>
      <c r="L189" s="1032">
        <v>3532.4700000000003</v>
      </c>
      <c r="M189" s="1032">
        <v>39967.53</v>
      </c>
    </row>
    <row r="190" spans="1:13" ht="18.75" x14ac:dyDescent="0.3">
      <c r="A190" s="1027" t="s">
        <v>1781</v>
      </c>
      <c r="B190" s="950" t="s">
        <v>807</v>
      </c>
      <c r="C190" s="1024" t="s">
        <v>1325</v>
      </c>
      <c r="D190" s="960" t="s">
        <v>307</v>
      </c>
      <c r="E190" s="951">
        <v>43500</v>
      </c>
      <c r="F190" s="974">
        <v>0</v>
      </c>
      <c r="G190" s="1032">
        <v>43500</v>
      </c>
      <c r="H190" s="951">
        <v>1248.45</v>
      </c>
      <c r="I190" s="1036">
        <v>936.62</v>
      </c>
      <c r="J190" s="951">
        <v>1322.4</v>
      </c>
      <c r="K190" s="954">
        <v>25</v>
      </c>
      <c r="L190" s="1032">
        <v>3532.4700000000003</v>
      </c>
      <c r="M190" s="1032">
        <v>39967.53</v>
      </c>
    </row>
    <row r="191" spans="1:13" ht="18.75" x14ac:dyDescent="0.3">
      <c r="A191" s="961" t="s">
        <v>847</v>
      </c>
      <c r="B191" s="950"/>
      <c r="C191" s="962">
        <v>5</v>
      </c>
      <c r="D191" s="962"/>
      <c r="E191" s="963">
        <f>SUM(E186:E190)</f>
        <v>217500</v>
      </c>
      <c r="F191" s="964">
        <v>0</v>
      </c>
      <c r="G191" s="963">
        <f t="shared" ref="G191:M191" si="48">SUM(G186:G190)</f>
        <v>217500</v>
      </c>
      <c r="H191" s="963">
        <f t="shared" si="48"/>
        <v>6242.25</v>
      </c>
      <c r="I191" s="963">
        <f t="shared" si="48"/>
        <v>4683.1000000000004</v>
      </c>
      <c r="J191" s="963">
        <f t="shared" si="48"/>
        <v>6612</v>
      </c>
      <c r="K191" s="966">
        <f>SUM(K186:K190)</f>
        <v>125</v>
      </c>
      <c r="L191" s="963">
        <f t="shared" si="48"/>
        <v>17662.350000000002</v>
      </c>
      <c r="M191" s="963">
        <f t="shared" si="48"/>
        <v>199837.65</v>
      </c>
    </row>
    <row r="192" spans="1:13" ht="18.75" x14ac:dyDescent="0.3">
      <c r="A192" s="961"/>
      <c r="B192" s="950"/>
      <c r="C192" s="962"/>
      <c r="D192" s="962"/>
      <c r="E192" s="963"/>
      <c r="F192" s="964"/>
      <c r="G192" s="963"/>
      <c r="H192" s="963"/>
      <c r="I192" s="963"/>
      <c r="J192" s="963"/>
      <c r="K192" s="966"/>
      <c r="L192" s="963"/>
      <c r="M192" s="963"/>
    </row>
    <row r="193" spans="1:13" ht="18.75" x14ac:dyDescent="0.3">
      <c r="A193" s="961" t="s">
        <v>1221</v>
      </c>
      <c r="B193" s="950"/>
      <c r="C193" s="967"/>
      <c r="D193" s="967"/>
      <c r="E193" s="963"/>
      <c r="F193" s="964"/>
      <c r="G193" s="965"/>
      <c r="H193" s="963"/>
      <c r="I193" s="963"/>
      <c r="J193" s="963"/>
      <c r="K193" s="966"/>
      <c r="L193" s="963"/>
      <c r="M193" s="965"/>
    </row>
    <row r="194" spans="1:13" ht="18.75" x14ac:dyDescent="0.3">
      <c r="A194" s="961" t="s">
        <v>1739</v>
      </c>
      <c r="B194" s="950"/>
      <c r="C194" s="1026"/>
      <c r="D194" s="960"/>
      <c r="E194" s="951"/>
      <c r="F194" s="974"/>
      <c r="G194" s="1032"/>
      <c r="H194" s="951"/>
      <c r="I194" s="1036"/>
      <c r="J194" s="951"/>
      <c r="K194" s="954"/>
      <c r="L194" s="1032"/>
      <c r="M194" s="1032"/>
    </row>
    <row r="195" spans="1:13" ht="18.75" x14ac:dyDescent="0.3">
      <c r="A195" s="1027" t="s">
        <v>1478</v>
      </c>
      <c r="B195" s="950" t="s">
        <v>806</v>
      </c>
      <c r="C195" s="1024" t="s">
        <v>1706</v>
      </c>
      <c r="D195" s="960" t="s">
        <v>1069</v>
      </c>
      <c r="E195" s="951">
        <v>120000</v>
      </c>
      <c r="F195" s="974">
        <v>0</v>
      </c>
      <c r="G195" s="1032">
        <v>120000</v>
      </c>
      <c r="H195" s="951">
        <v>3444</v>
      </c>
      <c r="I195" s="1032">
        <v>16809.87</v>
      </c>
      <c r="J195" s="951">
        <v>3648</v>
      </c>
      <c r="K195" s="954">
        <v>25</v>
      </c>
      <c r="L195" s="1032">
        <f>+H195+I195+J195+K195</f>
        <v>23926.87</v>
      </c>
      <c r="M195" s="1032">
        <f t="shared" ref="M195:M201" si="49">+G195-L195</f>
        <v>96073.13</v>
      </c>
    </row>
    <row r="196" spans="1:13" ht="18.75" x14ac:dyDescent="0.3">
      <c r="A196" s="1027" t="s">
        <v>244</v>
      </c>
      <c r="B196" s="950" t="s">
        <v>806</v>
      </c>
      <c r="C196" s="1024" t="s">
        <v>489</v>
      </c>
      <c r="D196" s="960" t="s">
        <v>1064</v>
      </c>
      <c r="E196" s="951">
        <v>80000</v>
      </c>
      <c r="F196" s="974">
        <v>0</v>
      </c>
      <c r="G196" s="1032">
        <v>80000</v>
      </c>
      <c r="H196" s="951">
        <v>2296</v>
      </c>
      <c r="I196" s="1032">
        <v>7400.87</v>
      </c>
      <c r="J196" s="951">
        <v>2432</v>
      </c>
      <c r="K196" s="954">
        <v>25</v>
      </c>
      <c r="L196" s="1032">
        <f>+H196+I196+J196+K196</f>
        <v>12153.869999999999</v>
      </c>
      <c r="M196" s="1032">
        <f t="shared" si="49"/>
        <v>67846.13</v>
      </c>
    </row>
    <row r="197" spans="1:13" ht="18.75" x14ac:dyDescent="0.3">
      <c r="A197" s="1027" t="s">
        <v>84</v>
      </c>
      <c r="B197" s="950" t="s">
        <v>806</v>
      </c>
      <c r="C197" s="1024" t="s">
        <v>417</v>
      </c>
      <c r="D197" s="960" t="s">
        <v>307</v>
      </c>
      <c r="E197" s="951">
        <v>70000</v>
      </c>
      <c r="F197" s="974">
        <v>0</v>
      </c>
      <c r="G197" s="951">
        <v>70000</v>
      </c>
      <c r="H197" s="951">
        <v>2009</v>
      </c>
      <c r="I197" s="1032">
        <v>5368.48</v>
      </c>
      <c r="J197" s="951">
        <v>2128</v>
      </c>
      <c r="K197" s="954">
        <v>25</v>
      </c>
      <c r="L197" s="1032">
        <f>+H197+I197+J197+K197</f>
        <v>9530.48</v>
      </c>
      <c r="M197" s="1032">
        <f t="shared" si="49"/>
        <v>60469.520000000004</v>
      </c>
    </row>
    <row r="198" spans="1:13" s="259" customFormat="1" ht="18.75" x14ac:dyDescent="0.3">
      <c r="A198" s="1396" t="s">
        <v>94</v>
      </c>
      <c r="B198" s="1256" t="s">
        <v>807</v>
      </c>
      <c r="C198" s="1397" t="s">
        <v>417</v>
      </c>
      <c r="D198" s="1257" t="s">
        <v>1069</v>
      </c>
      <c r="E198" s="954">
        <v>70000</v>
      </c>
      <c r="F198" s="1191">
        <v>0</v>
      </c>
      <c r="G198" s="954">
        <v>70000</v>
      </c>
      <c r="H198" s="954">
        <v>2009</v>
      </c>
      <c r="I198" s="1198">
        <v>4984.5200000000004</v>
      </c>
      <c r="J198" s="954">
        <v>2128</v>
      </c>
      <c r="K198" s="954">
        <v>1944.78</v>
      </c>
      <c r="L198" s="1198">
        <f>SUM(H198:K198)</f>
        <v>11066.300000000001</v>
      </c>
      <c r="M198" s="1198">
        <f t="shared" si="49"/>
        <v>58933.7</v>
      </c>
    </row>
    <row r="199" spans="1:13" s="259" customFormat="1" ht="18.75" x14ac:dyDescent="0.3">
      <c r="A199" s="1396" t="s">
        <v>156</v>
      </c>
      <c r="B199" s="1256" t="s">
        <v>806</v>
      </c>
      <c r="C199" s="1397" t="s">
        <v>1773</v>
      </c>
      <c r="D199" s="1257" t="s">
        <v>1069</v>
      </c>
      <c r="E199" s="954">
        <v>80000</v>
      </c>
      <c r="F199" s="1191">
        <v>0</v>
      </c>
      <c r="G199" s="954">
        <v>80000</v>
      </c>
      <c r="H199" s="954">
        <v>2296</v>
      </c>
      <c r="I199" s="1198">
        <v>6920.92</v>
      </c>
      <c r="J199" s="954">
        <v>2432</v>
      </c>
      <c r="K199" s="954">
        <v>1944.78</v>
      </c>
      <c r="L199" s="1198">
        <f>+H199+I199+J199+K199</f>
        <v>13593.7</v>
      </c>
      <c r="M199" s="1198">
        <f t="shared" si="49"/>
        <v>66406.3</v>
      </c>
    </row>
    <row r="200" spans="1:13" ht="18.75" x14ac:dyDescent="0.3">
      <c r="A200" s="1028" t="s">
        <v>177</v>
      </c>
      <c r="B200" s="1001" t="s">
        <v>807</v>
      </c>
      <c r="C200" s="1025" t="s">
        <v>1204</v>
      </c>
      <c r="D200" s="1024" t="s">
        <v>1069</v>
      </c>
      <c r="E200" s="951">
        <v>55000</v>
      </c>
      <c r="F200" s="974">
        <v>0</v>
      </c>
      <c r="G200" s="1032">
        <v>55000</v>
      </c>
      <c r="H200" s="956">
        <v>1578.5</v>
      </c>
      <c r="I200" s="1275">
        <v>2559.6799999999998</v>
      </c>
      <c r="J200" s="951">
        <v>1672</v>
      </c>
      <c r="K200" s="987">
        <v>25</v>
      </c>
      <c r="L200" s="1032">
        <f>+H200+I200+J200+K200</f>
        <v>5835.18</v>
      </c>
      <c r="M200" s="1032">
        <f t="shared" si="49"/>
        <v>49164.82</v>
      </c>
    </row>
    <row r="201" spans="1:13" s="259" customFormat="1" ht="18.75" x14ac:dyDescent="0.3">
      <c r="A201" s="1258" t="s">
        <v>1710</v>
      </c>
      <c r="B201" s="1259" t="s">
        <v>807</v>
      </c>
      <c r="C201" s="1257" t="s">
        <v>521</v>
      </c>
      <c r="D201" s="1257" t="s">
        <v>307</v>
      </c>
      <c r="E201" s="954">
        <v>43500</v>
      </c>
      <c r="F201" s="1191">
        <v>0</v>
      </c>
      <c r="G201" s="954">
        <v>43500</v>
      </c>
      <c r="H201" s="954">
        <v>1248.45</v>
      </c>
      <c r="I201" s="1191">
        <v>648.66</v>
      </c>
      <c r="J201" s="954">
        <v>1322.4</v>
      </c>
      <c r="K201" s="954">
        <v>1944.78</v>
      </c>
      <c r="L201" s="954">
        <f>+H201+I201+J201+K201</f>
        <v>5164.29</v>
      </c>
      <c r="M201" s="954">
        <f t="shared" si="49"/>
        <v>38335.71</v>
      </c>
    </row>
    <row r="202" spans="1:13" ht="18.75" x14ac:dyDescent="0.3">
      <c r="A202" s="1027" t="s">
        <v>1717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4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1718</v>
      </c>
      <c r="B203" s="950" t="s">
        <v>806</v>
      </c>
      <c r="C203" s="1024" t="s">
        <v>1332</v>
      </c>
      <c r="D203" s="960" t="s">
        <v>321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4">
        <v>25</v>
      </c>
      <c r="L203" s="1032">
        <f>+H203+I203+J203+K203</f>
        <v>3532.4700000000003</v>
      </c>
      <c r="M203" s="1032">
        <f t="shared" ref="M203:M208" si="50">+G203-L203</f>
        <v>39967.53</v>
      </c>
    </row>
    <row r="204" spans="1:13" ht="18.75" x14ac:dyDescent="0.3">
      <c r="A204" s="1027" t="s">
        <v>1721</v>
      </c>
      <c r="B204" s="950" t="s">
        <v>807</v>
      </c>
      <c r="C204" s="1024" t="s">
        <v>105</v>
      </c>
      <c r="D204" s="960" t="s">
        <v>1067</v>
      </c>
      <c r="E204" s="951">
        <v>25000</v>
      </c>
      <c r="F204" s="974">
        <v>0</v>
      </c>
      <c r="G204" s="1032">
        <v>25000</v>
      </c>
      <c r="H204" s="951">
        <v>717.5</v>
      </c>
      <c r="I204" s="1036">
        <v>0</v>
      </c>
      <c r="J204" s="951">
        <v>760</v>
      </c>
      <c r="K204" s="954">
        <v>25</v>
      </c>
      <c r="L204" s="1032">
        <f>+H204+I204+J204+K204</f>
        <v>1502.5</v>
      </c>
      <c r="M204" s="1032">
        <f t="shared" si="50"/>
        <v>23497.5</v>
      </c>
    </row>
    <row r="205" spans="1:13" ht="18.75" x14ac:dyDescent="0.3">
      <c r="A205" s="1027" t="s">
        <v>1722</v>
      </c>
      <c r="B205" s="950" t="s">
        <v>1151</v>
      </c>
      <c r="C205" s="1024" t="s">
        <v>105</v>
      </c>
      <c r="D205" s="960" t="s">
        <v>1067</v>
      </c>
      <c r="E205" s="951">
        <v>25000</v>
      </c>
      <c r="F205" s="974">
        <v>0</v>
      </c>
      <c r="G205" s="1032">
        <v>25000</v>
      </c>
      <c r="H205" s="951">
        <v>717.5</v>
      </c>
      <c r="I205" s="1036">
        <v>0</v>
      </c>
      <c r="J205" s="951">
        <v>760</v>
      </c>
      <c r="K205" s="954">
        <v>25</v>
      </c>
      <c r="L205" s="1032">
        <f>+H205+I205+J205+K205</f>
        <v>1502.5</v>
      </c>
      <c r="M205" s="1032">
        <f t="shared" si="50"/>
        <v>23497.5</v>
      </c>
    </row>
    <row r="206" spans="1:13" ht="18.75" x14ac:dyDescent="0.3">
      <c r="A206" s="1024" t="s">
        <v>830</v>
      </c>
      <c r="B206" s="950" t="s">
        <v>806</v>
      </c>
      <c r="C206" s="1026" t="s">
        <v>92</v>
      </c>
      <c r="D206" s="960" t="s">
        <v>1067</v>
      </c>
      <c r="E206" s="978">
        <v>30000</v>
      </c>
      <c r="F206" s="979">
        <v>0</v>
      </c>
      <c r="G206" s="1032">
        <v>30000</v>
      </c>
      <c r="H206" s="951">
        <v>861</v>
      </c>
      <c r="I206" s="1036">
        <v>0</v>
      </c>
      <c r="J206" s="951">
        <v>912</v>
      </c>
      <c r="K206" s="954">
        <v>25</v>
      </c>
      <c r="L206" s="1032">
        <f>+H206+I206+J206+K206</f>
        <v>1798</v>
      </c>
      <c r="M206" s="1032">
        <f t="shared" si="50"/>
        <v>28202</v>
      </c>
    </row>
    <row r="207" spans="1:13" ht="18.75" x14ac:dyDescent="0.3">
      <c r="A207" s="1027" t="s">
        <v>1723</v>
      </c>
      <c r="B207" s="950" t="s">
        <v>806</v>
      </c>
      <c r="C207" s="1026" t="s">
        <v>92</v>
      </c>
      <c r="D207" s="960" t="s">
        <v>1067</v>
      </c>
      <c r="E207" s="951">
        <v>30000</v>
      </c>
      <c r="F207" s="974">
        <v>0</v>
      </c>
      <c r="G207" s="1032">
        <v>30000</v>
      </c>
      <c r="H207" s="951">
        <v>861</v>
      </c>
      <c r="I207" s="1036">
        <v>0</v>
      </c>
      <c r="J207" s="951">
        <v>912</v>
      </c>
      <c r="K207" s="954">
        <v>25</v>
      </c>
      <c r="L207" s="1032">
        <f>+H207+I207+J207+K207</f>
        <v>1798</v>
      </c>
      <c r="M207" s="1032">
        <f t="shared" si="50"/>
        <v>28202</v>
      </c>
    </row>
    <row r="208" spans="1:13" s="259" customFormat="1" ht="18.75" x14ac:dyDescent="0.3">
      <c r="A208" s="1396" t="s">
        <v>1729</v>
      </c>
      <c r="B208" s="1256" t="s">
        <v>806</v>
      </c>
      <c r="C208" s="1398" t="s">
        <v>92</v>
      </c>
      <c r="D208" s="1257" t="s">
        <v>1067</v>
      </c>
      <c r="E208" s="954">
        <v>30000</v>
      </c>
      <c r="F208" s="1191">
        <v>0</v>
      </c>
      <c r="G208" s="1198">
        <v>30000</v>
      </c>
      <c r="H208" s="954">
        <v>861</v>
      </c>
      <c r="I208" s="1197">
        <v>0</v>
      </c>
      <c r="J208" s="954">
        <v>912</v>
      </c>
      <c r="K208" s="954">
        <v>1944.78</v>
      </c>
      <c r="L208" s="1198">
        <f>SUM(H208:K208)</f>
        <v>3717.7799999999997</v>
      </c>
      <c r="M208" s="1198">
        <f t="shared" si="50"/>
        <v>26282.22</v>
      </c>
    </row>
    <row r="209" spans="1:13" ht="18.75" x14ac:dyDescent="0.3">
      <c r="A209" s="949" t="s">
        <v>847</v>
      </c>
      <c r="B209" s="999"/>
      <c r="C209" s="962">
        <v>14</v>
      </c>
      <c r="D209" s="962"/>
      <c r="E209" s="963">
        <f>SUM(E195:E208)</f>
        <v>745500</v>
      </c>
      <c r="F209" s="964">
        <v>0</v>
      </c>
      <c r="G209" s="963">
        <f t="shared" ref="G209:M209" si="51">SUM(G195:G208)</f>
        <v>745500</v>
      </c>
      <c r="H209" s="963">
        <f t="shared" si="51"/>
        <v>21395.850000000002</v>
      </c>
      <c r="I209" s="963">
        <f t="shared" si="51"/>
        <v>46566.240000000005</v>
      </c>
      <c r="J209" s="963">
        <f t="shared" si="51"/>
        <v>22663.200000000001</v>
      </c>
      <c r="K209" s="966">
        <f>SUM(K195:K208)</f>
        <v>8029.12</v>
      </c>
      <c r="L209" s="963">
        <f t="shared" si="51"/>
        <v>98654.409999999989</v>
      </c>
      <c r="M209" s="963">
        <f t="shared" si="51"/>
        <v>646845.59000000008</v>
      </c>
    </row>
    <row r="210" spans="1:13" ht="18.75" x14ac:dyDescent="0.3">
      <c r="A210" s="949"/>
      <c r="B210" s="999"/>
      <c r="C210" s="962"/>
      <c r="D210" s="962"/>
      <c r="E210" s="963"/>
      <c r="G210" s="963"/>
      <c r="H210" s="963"/>
      <c r="I210" s="963"/>
      <c r="J210" s="963"/>
      <c r="K210" s="966"/>
      <c r="L210" s="963"/>
      <c r="M210" s="963"/>
    </row>
    <row r="211" spans="1:13" ht="36" customHeight="1" x14ac:dyDescent="0.3">
      <c r="A211" s="1273" t="s">
        <v>1774</v>
      </c>
      <c r="B211" s="950"/>
      <c r="C211" s="967"/>
      <c r="D211" s="967"/>
      <c r="E211" s="963"/>
      <c r="F211" s="964"/>
      <c r="G211" s="965"/>
      <c r="H211" s="963"/>
      <c r="I211" s="963"/>
      <c r="J211" s="963"/>
      <c r="K211" s="966"/>
      <c r="L211" s="963"/>
      <c r="M211" s="965"/>
    </row>
    <row r="212" spans="1:13" ht="18.75" x14ac:dyDescent="0.3">
      <c r="A212" s="1027" t="s">
        <v>1707</v>
      </c>
      <c r="B212" s="950" t="s">
        <v>806</v>
      </c>
      <c r="C212" s="1024" t="s">
        <v>1708</v>
      </c>
      <c r="D212" s="960" t="s">
        <v>1069</v>
      </c>
      <c r="E212" s="951">
        <v>120000</v>
      </c>
      <c r="F212" s="974">
        <v>0</v>
      </c>
      <c r="G212" s="1032">
        <v>120000</v>
      </c>
      <c r="H212" s="951">
        <v>3444</v>
      </c>
      <c r="I212" s="1032">
        <v>16809.87</v>
      </c>
      <c r="J212" s="951">
        <v>3648</v>
      </c>
      <c r="K212" s="954">
        <v>25</v>
      </c>
      <c r="L212" s="1032">
        <f>+H212+I212+J212+K212</f>
        <v>23926.87</v>
      </c>
      <c r="M212" s="1031">
        <f>+G212-L212</f>
        <v>96073.13</v>
      </c>
    </row>
    <row r="213" spans="1:13" ht="18.75" x14ac:dyDescent="0.3">
      <c r="A213" s="1027" t="s">
        <v>1709</v>
      </c>
      <c r="B213" s="950" t="s">
        <v>807</v>
      </c>
      <c r="C213" s="1024" t="s">
        <v>417</v>
      </c>
      <c r="D213" s="960" t="s">
        <v>1069</v>
      </c>
      <c r="E213" s="951">
        <v>80000</v>
      </c>
      <c r="F213" s="974">
        <v>0</v>
      </c>
      <c r="G213" s="951">
        <v>80000</v>
      </c>
      <c r="H213" s="951">
        <v>2296</v>
      </c>
      <c r="I213" s="1032">
        <v>6482.36</v>
      </c>
      <c r="J213" s="951">
        <v>2432</v>
      </c>
      <c r="K213" s="954">
        <v>4567.5600000000004</v>
      </c>
      <c r="L213" s="1032">
        <f>+H213+I213+J213+K213</f>
        <v>15777.920000000002</v>
      </c>
      <c r="M213" s="1031">
        <f>+G213-L213</f>
        <v>64222.080000000002</v>
      </c>
    </row>
    <row r="214" spans="1:13" ht="18.75" x14ac:dyDescent="0.3">
      <c r="A214" s="1027" t="s">
        <v>1713</v>
      </c>
      <c r="B214" s="950" t="s">
        <v>807</v>
      </c>
      <c r="C214" s="1024" t="s">
        <v>276</v>
      </c>
      <c r="D214" s="960" t="s">
        <v>307</v>
      </c>
      <c r="E214" s="951">
        <v>37500</v>
      </c>
      <c r="F214" s="974">
        <v>0</v>
      </c>
      <c r="G214" s="1032">
        <v>37500</v>
      </c>
      <c r="H214" s="951">
        <v>1076.25</v>
      </c>
      <c r="I214" s="1036">
        <v>89.81</v>
      </c>
      <c r="J214" s="951">
        <v>1140</v>
      </c>
      <c r="K214" s="954">
        <v>25</v>
      </c>
      <c r="L214" s="1032">
        <f>+H214+I214+J214+K214</f>
        <v>2331.06</v>
      </c>
      <c r="M214" s="1032">
        <f>+G214-L214</f>
        <v>35168.94</v>
      </c>
    </row>
    <row r="215" spans="1:13" ht="18.75" x14ac:dyDescent="0.3">
      <c r="A215" s="1027" t="s">
        <v>1329</v>
      </c>
      <c r="B215" s="950" t="s">
        <v>1330</v>
      </c>
      <c r="C215" s="1024" t="s">
        <v>1325</v>
      </c>
      <c r="D215" s="960" t="s">
        <v>307</v>
      </c>
      <c r="E215" s="951">
        <v>43500</v>
      </c>
      <c r="F215" s="974">
        <v>0</v>
      </c>
      <c r="G215" s="1032">
        <v>43500</v>
      </c>
      <c r="H215" s="951">
        <v>1248.45</v>
      </c>
      <c r="I215" s="1036">
        <v>936.62</v>
      </c>
      <c r="J215" s="951">
        <v>1322.4</v>
      </c>
      <c r="K215" s="954">
        <v>25</v>
      </c>
      <c r="L215" s="1032">
        <f>+H215+I215+J215+K215</f>
        <v>3532.4700000000003</v>
      </c>
      <c r="M215" s="1032">
        <f>+G215-L215</f>
        <v>39967.53</v>
      </c>
    </row>
    <row r="216" spans="1:13" ht="18" customHeight="1" x14ac:dyDescent="0.3">
      <c r="A216" s="1027" t="s">
        <v>1716</v>
      </c>
      <c r="B216" s="950" t="s">
        <v>806</v>
      </c>
      <c r="C216" s="1024" t="s">
        <v>1325</v>
      </c>
      <c r="D216" s="960" t="s">
        <v>307</v>
      </c>
      <c r="E216" s="951">
        <v>43500</v>
      </c>
      <c r="F216" s="974">
        <v>0</v>
      </c>
      <c r="G216" s="1032">
        <v>43500</v>
      </c>
      <c r="H216" s="951">
        <v>1248.45</v>
      </c>
      <c r="I216" s="1036">
        <v>936.62</v>
      </c>
      <c r="J216" s="951">
        <v>1322.4</v>
      </c>
      <c r="K216" s="954">
        <v>25</v>
      </c>
      <c r="L216" s="1032">
        <v>3532.4700000000003</v>
      </c>
      <c r="M216" s="1032">
        <v>39967.53</v>
      </c>
    </row>
    <row r="217" spans="1:13" ht="18.75" x14ac:dyDescent="0.3">
      <c r="A217" s="1027" t="s">
        <v>698</v>
      </c>
      <c r="B217" s="950" t="s">
        <v>807</v>
      </c>
      <c r="C217" s="1024" t="s">
        <v>105</v>
      </c>
      <c r="D217" s="960" t="s">
        <v>1067</v>
      </c>
      <c r="E217" s="951">
        <v>25000</v>
      </c>
      <c r="F217" s="974">
        <v>0</v>
      </c>
      <c r="G217" s="1032">
        <v>25000</v>
      </c>
      <c r="H217" s="951">
        <v>717.5</v>
      </c>
      <c r="I217" s="1036">
        <v>0</v>
      </c>
      <c r="J217" s="951">
        <v>760</v>
      </c>
      <c r="K217" s="954">
        <v>25</v>
      </c>
      <c r="L217" s="1032">
        <f>+H217+I217+J217+K217</f>
        <v>1502.5</v>
      </c>
      <c r="M217" s="1032">
        <f>+G217-L217</f>
        <v>23497.5</v>
      </c>
    </row>
    <row r="218" spans="1:13" ht="18.75" x14ac:dyDescent="0.3">
      <c r="A218" s="1027" t="s">
        <v>1725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4">
        <v>2134</v>
      </c>
      <c r="L218" s="1032">
        <f>+H218+I218+J218+K218</f>
        <v>3907</v>
      </c>
      <c r="M218" s="1032">
        <f>+G218-L218</f>
        <v>26093</v>
      </c>
    </row>
    <row r="219" spans="1:13" ht="17.25" customHeight="1" x14ac:dyDescent="0.3">
      <c r="A219" s="1027" t="s">
        <v>1727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4">
        <v>25</v>
      </c>
      <c r="L219" s="1032">
        <f>+H219+I219+J219+K219</f>
        <v>1798</v>
      </c>
      <c r="M219" s="1032">
        <f>+G219-L219</f>
        <v>28202</v>
      </c>
    </row>
    <row r="220" spans="1:13" ht="18.75" x14ac:dyDescent="0.3">
      <c r="A220" s="1027" t="s">
        <v>1730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4">
        <v>25</v>
      </c>
      <c r="L220" s="1032">
        <v>1798</v>
      </c>
      <c r="M220" s="1032">
        <f>+G220-L220</f>
        <v>28202</v>
      </c>
    </row>
    <row r="221" spans="1:13" ht="18.75" x14ac:dyDescent="0.3">
      <c r="A221" s="961" t="s">
        <v>847</v>
      </c>
      <c r="B221" s="950"/>
      <c r="C221" s="962">
        <v>9</v>
      </c>
      <c r="D221" s="960"/>
      <c r="E221" s="963">
        <f>SUM(E212:E220)</f>
        <v>439500</v>
      </c>
      <c r="F221" s="964">
        <v>0</v>
      </c>
      <c r="G221" s="963">
        <f>SUM(G212:G220)</f>
        <v>439500</v>
      </c>
      <c r="H221" s="963">
        <f t="shared" ref="H221:M221" si="52">SUM(H212:H220)</f>
        <v>12613.65</v>
      </c>
      <c r="I221" s="963">
        <f t="shared" si="52"/>
        <v>25255.279999999999</v>
      </c>
      <c r="J221" s="963">
        <f t="shared" si="52"/>
        <v>13360.8</v>
      </c>
      <c r="K221" s="966">
        <f>SUM(K212:K220)</f>
        <v>6876.56</v>
      </c>
      <c r="L221" s="963">
        <f t="shared" si="52"/>
        <v>58106.29</v>
      </c>
      <c r="M221" s="963">
        <f t="shared" si="52"/>
        <v>381393.71</v>
      </c>
    </row>
    <row r="222" spans="1:13" ht="18.75" x14ac:dyDescent="0.3">
      <c r="A222" s="961"/>
      <c r="B222" s="950"/>
      <c r="C222" s="962"/>
      <c r="D222" s="960"/>
      <c r="F222" s="974"/>
      <c r="G222" s="1032"/>
      <c r="H222" s="951"/>
      <c r="I222" s="1036"/>
      <c r="J222" s="951"/>
      <c r="K222" s="954"/>
      <c r="L222" s="1032"/>
      <c r="M222" s="1032"/>
    </row>
    <row r="223" spans="1:13" ht="37.5" x14ac:dyDescent="0.3">
      <c r="A223" s="1273" t="s">
        <v>1775</v>
      </c>
      <c r="B223" s="950"/>
      <c r="C223" s="1026"/>
      <c r="D223" s="960"/>
      <c r="E223" s="951"/>
      <c r="F223" s="974"/>
      <c r="G223" s="1032"/>
      <c r="H223" s="951"/>
      <c r="I223" s="1036"/>
      <c r="J223" s="951"/>
      <c r="K223" s="954"/>
      <c r="L223" s="1032"/>
      <c r="M223" s="1032"/>
    </row>
    <row r="224" spans="1:13" ht="18.75" x14ac:dyDescent="0.3">
      <c r="A224" s="1027" t="s">
        <v>1712</v>
      </c>
      <c r="B224" s="950" t="s">
        <v>807</v>
      </c>
      <c r="C224" s="1024" t="s">
        <v>276</v>
      </c>
      <c r="D224" s="960" t="s">
        <v>307</v>
      </c>
      <c r="E224" s="951">
        <v>37500</v>
      </c>
      <c r="F224" s="974">
        <v>0</v>
      </c>
      <c r="G224" s="1032">
        <v>37500</v>
      </c>
      <c r="H224" s="951">
        <v>1076.25</v>
      </c>
      <c r="I224" s="1036">
        <v>89.81</v>
      </c>
      <c r="J224" s="951">
        <v>1140</v>
      </c>
      <c r="K224" s="954">
        <v>25</v>
      </c>
      <c r="L224" s="1032">
        <f>+H224+I224+J224+K224</f>
        <v>2331.06</v>
      </c>
      <c r="M224" s="1032">
        <f>+G224-L224</f>
        <v>35168.94</v>
      </c>
    </row>
    <row r="225" spans="1:13" ht="18.75" x14ac:dyDescent="0.3">
      <c r="A225" s="1027" t="s">
        <v>1715</v>
      </c>
      <c r="B225" s="950" t="s">
        <v>806</v>
      </c>
      <c r="C225" s="1024" t="s">
        <v>1325</v>
      </c>
      <c r="D225" s="960" t="s">
        <v>307</v>
      </c>
      <c r="E225" s="951">
        <v>43500</v>
      </c>
      <c r="F225" s="974">
        <v>0</v>
      </c>
      <c r="G225" s="1032">
        <v>43500</v>
      </c>
      <c r="H225" s="951">
        <v>1248.45</v>
      </c>
      <c r="I225" s="1036">
        <v>936.62</v>
      </c>
      <c r="J225" s="951">
        <v>1322.4</v>
      </c>
      <c r="K225" s="954">
        <v>25</v>
      </c>
      <c r="L225" s="1032">
        <f>+H225+I225+J225+K225</f>
        <v>3532.4700000000003</v>
      </c>
      <c r="M225" s="1032">
        <f>+G225-L225</f>
        <v>39967.53</v>
      </c>
    </row>
    <row r="226" spans="1:13" ht="18.75" x14ac:dyDescent="0.3">
      <c r="A226" s="1027" t="s">
        <v>1336</v>
      </c>
      <c r="B226" s="950" t="s">
        <v>806</v>
      </c>
      <c r="C226" s="1024" t="s">
        <v>1325</v>
      </c>
      <c r="D226" s="960" t="s">
        <v>307</v>
      </c>
      <c r="E226" s="951">
        <v>43500</v>
      </c>
      <c r="F226" s="974">
        <v>0</v>
      </c>
      <c r="G226" s="1032">
        <v>43500</v>
      </c>
      <c r="H226" s="951">
        <v>1248.45</v>
      </c>
      <c r="I226" s="1036">
        <v>936.62</v>
      </c>
      <c r="J226" s="951">
        <v>1322.4</v>
      </c>
      <c r="K226" s="954">
        <v>25</v>
      </c>
      <c r="L226" s="1032">
        <v>3532.4700000000003</v>
      </c>
      <c r="M226" s="1032">
        <v>39967.53</v>
      </c>
    </row>
    <row r="227" spans="1:13" ht="18.75" x14ac:dyDescent="0.3">
      <c r="A227" s="1027" t="s">
        <v>1719</v>
      </c>
      <c r="B227" s="999" t="s">
        <v>807</v>
      </c>
      <c r="C227" s="1024" t="s">
        <v>105</v>
      </c>
      <c r="D227" s="960" t="s">
        <v>1067</v>
      </c>
      <c r="E227" s="951">
        <v>25000</v>
      </c>
      <c r="F227" s="974">
        <v>0</v>
      </c>
      <c r="G227" s="1032">
        <v>25000</v>
      </c>
      <c r="H227" s="951">
        <v>717.5</v>
      </c>
      <c r="I227" s="1036">
        <v>0</v>
      </c>
      <c r="J227" s="951">
        <v>760</v>
      </c>
      <c r="K227" s="954">
        <v>25</v>
      </c>
      <c r="L227" s="1032">
        <f>+H227+I227+J227+K227</f>
        <v>1502.5</v>
      </c>
      <c r="M227" s="1032">
        <f>+G227-L227</f>
        <v>23497.5</v>
      </c>
    </row>
    <row r="228" spans="1:13" ht="18.75" x14ac:dyDescent="0.3">
      <c r="A228" s="1027" t="s">
        <v>1726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036">
        <v>0</v>
      </c>
      <c r="J228" s="951">
        <v>912</v>
      </c>
      <c r="K228" s="954">
        <v>25</v>
      </c>
      <c r="L228" s="1032">
        <f>+H228+I228+J228+K228</f>
        <v>1798</v>
      </c>
      <c r="M228" s="1032">
        <f>+G228-L228</f>
        <v>28202</v>
      </c>
    </row>
    <row r="229" spans="1:13" ht="18.75" x14ac:dyDescent="0.3">
      <c r="A229" s="1027" t="s">
        <v>1728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036">
        <v>0</v>
      </c>
      <c r="J229" s="951">
        <v>912</v>
      </c>
      <c r="K229" s="954">
        <v>25</v>
      </c>
      <c r="L229" s="1032">
        <v>1798</v>
      </c>
      <c r="M229" s="1032">
        <f>+G229-L229</f>
        <v>28202</v>
      </c>
    </row>
    <row r="230" spans="1:13" ht="18.75" x14ac:dyDescent="0.3">
      <c r="A230" s="1027" t="s">
        <v>1731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4">
        <v>25</v>
      </c>
      <c r="L230" s="1032">
        <v>1798</v>
      </c>
      <c r="M230" s="1032">
        <f>+G230-L230</f>
        <v>28202</v>
      </c>
    </row>
    <row r="231" spans="1:13" ht="18.75" x14ac:dyDescent="0.3">
      <c r="A231" s="961" t="s">
        <v>847</v>
      </c>
      <c r="B231" s="950"/>
      <c r="C231" s="962">
        <v>7</v>
      </c>
      <c r="D231" s="960"/>
      <c r="E231" s="963">
        <f>SUM(E224:E230)</f>
        <v>239500</v>
      </c>
      <c r="F231" s="964">
        <v>0</v>
      </c>
      <c r="G231" s="963">
        <f t="shared" ref="G231:M231" si="53">SUM(G224:G230)</f>
        <v>239500</v>
      </c>
      <c r="H231" s="963">
        <f t="shared" si="53"/>
        <v>6873.65</v>
      </c>
      <c r="I231" s="963">
        <f t="shared" si="53"/>
        <v>1963.0500000000002</v>
      </c>
      <c r="J231" s="963">
        <f t="shared" si="53"/>
        <v>7280.8</v>
      </c>
      <c r="K231" s="966">
        <f>SUM(K224:K230)</f>
        <v>175</v>
      </c>
      <c r="L231" s="963">
        <f t="shared" si="53"/>
        <v>16292.5</v>
      </c>
      <c r="M231" s="963">
        <f t="shared" si="53"/>
        <v>223207.5</v>
      </c>
    </row>
    <row r="232" spans="1:13" ht="18.75" x14ac:dyDescent="0.3">
      <c r="A232" s="961"/>
      <c r="B232" s="950"/>
      <c r="C232" s="962"/>
      <c r="D232" s="960"/>
      <c r="E232" s="951"/>
      <c r="F232" s="974"/>
      <c r="G232" s="1032"/>
      <c r="H232" s="951"/>
      <c r="I232" s="1036"/>
      <c r="J232" s="951"/>
      <c r="K232" s="954"/>
      <c r="L232" s="1032"/>
      <c r="M232" s="1032"/>
    </row>
    <row r="233" spans="1:13" ht="18.75" x14ac:dyDescent="0.3">
      <c r="A233" s="1273" t="s">
        <v>1776</v>
      </c>
      <c r="B233" s="950"/>
      <c r="C233" s="1026"/>
      <c r="D233" s="960"/>
      <c r="E233" s="951"/>
      <c r="F233" s="974"/>
      <c r="G233" s="1032"/>
      <c r="H233" s="951"/>
      <c r="I233" s="1036"/>
      <c r="J233" s="951"/>
      <c r="K233" s="954"/>
      <c r="L233" s="1032"/>
      <c r="M233" s="1032"/>
    </row>
    <row r="234" spans="1:13" ht="18.75" x14ac:dyDescent="0.3">
      <c r="A234" s="1027" t="s">
        <v>1711</v>
      </c>
      <c r="B234" s="950" t="s">
        <v>807</v>
      </c>
      <c r="C234" s="1024" t="s">
        <v>521</v>
      </c>
      <c r="D234" s="960" t="s">
        <v>307</v>
      </c>
      <c r="E234" s="951">
        <v>37500</v>
      </c>
      <c r="F234" s="974">
        <v>0</v>
      </c>
      <c r="G234" s="1032">
        <v>37500</v>
      </c>
      <c r="H234" s="951">
        <v>1076.25</v>
      </c>
      <c r="I234" s="1036">
        <v>89.81</v>
      </c>
      <c r="J234" s="951">
        <v>1140</v>
      </c>
      <c r="K234" s="954">
        <v>25</v>
      </c>
      <c r="L234" s="1032">
        <f>+H234+I234+J234+K234</f>
        <v>2331.06</v>
      </c>
      <c r="M234" s="1032">
        <f t="shared" ref="M234:M239" si="54">+G234-L234</f>
        <v>35168.94</v>
      </c>
    </row>
    <row r="235" spans="1:13" ht="18.75" x14ac:dyDescent="0.3">
      <c r="A235" s="1027" t="s">
        <v>1714</v>
      </c>
      <c r="B235" s="950" t="s">
        <v>807</v>
      </c>
      <c r="C235" s="1024" t="s">
        <v>276</v>
      </c>
      <c r="D235" s="960" t="s">
        <v>307</v>
      </c>
      <c r="E235" s="951">
        <v>43500</v>
      </c>
      <c r="F235" s="974">
        <v>0</v>
      </c>
      <c r="G235" s="1032">
        <v>43500</v>
      </c>
      <c r="H235" s="951">
        <v>1248.45</v>
      </c>
      <c r="I235" s="1036">
        <v>936.62</v>
      </c>
      <c r="J235" s="951">
        <v>1322.4</v>
      </c>
      <c r="K235" s="954">
        <v>25</v>
      </c>
      <c r="L235" s="1032">
        <f>+H235+I235+J235+K235</f>
        <v>3532.4700000000003</v>
      </c>
      <c r="M235" s="1032">
        <f t="shared" si="54"/>
        <v>39967.53</v>
      </c>
    </row>
    <row r="236" spans="1:13" ht="18.75" x14ac:dyDescent="0.3">
      <c r="A236" s="1027" t="s">
        <v>1440</v>
      </c>
      <c r="B236" s="950" t="s">
        <v>807</v>
      </c>
      <c r="C236" s="1024" t="s">
        <v>276</v>
      </c>
      <c r="D236" s="960" t="s">
        <v>307</v>
      </c>
      <c r="E236" s="951">
        <v>37500</v>
      </c>
      <c r="F236" s="974">
        <v>0</v>
      </c>
      <c r="G236" s="1032">
        <v>37500</v>
      </c>
      <c r="H236" s="951">
        <v>1076.25</v>
      </c>
      <c r="I236" s="1036">
        <v>89.81</v>
      </c>
      <c r="J236" s="951">
        <v>1140</v>
      </c>
      <c r="K236" s="954">
        <v>25</v>
      </c>
      <c r="L236" s="1032">
        <v>2331.06</v>
      </c>
      <c r="M236" s="1032">
        <f t="shared" si="54"/>
        <v>35168.94</v>
      </c>
    </row>
    <row r="237" spans="1:13" ht="18.75" x14ac:dyDescent="0.3">
      <c r="A237" s="1027" t="s">
        <v>1720</v>
      </c>
      <c r="B237" s="999" t="s">
        <v>807</v>
      </c>
      <c r="C237" s="1024" t="s">
        <v>105</v>
      </c>
      <c r="D237" s="960" t="s">
        <v>1067</v>
      </c>
      <c r="E237" s="951">
        <v>25000</v>
      </c>
      <c r="F237" s="974">
        <v>0</v>
      </c>
      <c r="G237" s="1032">
        <v>25000</v>
      </c>
      <c r="H237" s="951">
        <v>717.5</v>
      </c>
      <c r="I237" s="1036">
        <v>0</v>
      </c>
      <c r="J237" s="951">
        <v>760</v>
      </c>
      <c r="K237" s="954">
        <v>25</v>
      </c>
      <c r="L237" s="1032">
        <f>+H237+I237+J237+K237</f>
        <v>1502.5</v>
      </c>
      <c r="M237" s="1032">
        <f t="shared" si="54"/>
        <v>23497.5</v>
      </c>
    </row>
    <row r="238" spans="1:13" ht="18.75" x14ac:dyDescent="0.3">
      <c r="A238" s="1024" t="s">
        <v>1056</v>
      </c>
      <c r="B238" s="950" t="s">
        <v>806</v>
      </c>
      <c r="C238" s="1026" t="s">
        <v>92</v>
      </c>
      <c r="D238" s="960" t="s">
        <v>1067</v>
      </c>
      <c r="E238" s="978">
        <v>30000</v>
      </c>
      <c r="F238" s="979">
        <v>0</v>
      </c>
      <c r="G238" s="1032">
        <v>30000</v>
      </c>
      <c r="H238" s="951">
        <v>861</v>
      </c>
      <c r="I238" s="1036">
        <v>0</v>
      </c>
      <c r="J238" s="951">
        <v>912</v>
      </c>
      <c r="K238" s="954">
        <v>25</v>
      </c>
      <c r="L238" s="1032">
        <f>+H238+I238+J238+K238</f>
        <v>1798</v>
      </c>
      <c r="M238" s="1032">
        <f t="shared" si="54"/>
        <v>28202</v>
      </c>
    </row>
    <row r="239" spans="1:13" ht="18.75" x14ac:dyDescent="0.3">
      <c r="A239" s="1027" t="s">
        <v>1724</v>
      </c>
      <c r="B239" s="950" t="s">
        <v>1296</v>
      </c>
      <c r="C239" s="1026" t="s">
        <v>92</v>
      </c>
      <c r="D239" s="960" t="s">
        <v>1067</v>
      </c>
      <c r="E239" s="951">
        <v>30000</v>
      </c>
      <c r="F239" s="974">
        <v>0</v>
      </c>
      <c r="G239" s="1032">
        <v>30000</v>
      </c>
      <c r="H239" s="951">
        <v>861</v>
      </c>
      <c r="I239" s="1036">
        <v>0</v>
      </c>
      <c r="J239" s="951">
        <v>912</v>
      </c>
      <c r="K239" s="954">
        <v>25</v>
      </c>
      <c r="L239" s="1032">
        <f>+H239+I239+J239+K239</f>
        <v>1798</v>
      </c>
      <c r="M239" s="1032">
        <f t="shared" si="54"/>
        <v>28202</v>
      </c>
    </row>
    <row r="240" spans="1:13" ht="18.75" x14ac:dyDescent="0.3">
      <c r="A240" s="961" t="s">
        <v>847</v>
      </c>
      <c r="B240" s="950"/>
      <c r="C240" s="962">
        <v>6</v>
      </c>
      <c r="D240" s="960"/>
      <c r="E240" s="963">
        <f>SUM(E234:E239)</f>
        <v>203500</v>
      </c>
      <c r="F240" s="1071">
        <v>0</v>
      </c>
      <c r="G240" s="963">
        <f t="shared" ref="G240:M240" si="55">SUM(G234:G239)</f>
        <v>203500</v>
      </c>
      <c r="H240" s="963">
        <f t="shared" si="55"/>
        <v>5840.45</v>
      </c>
      <c r="I240" s="963">
        <f t="shared" si="55"/>
        <v>1116.24</v>
      </c>
      <c r="J240" s="963">
        <f t="shared" si="55"/>
        <v>6186.4</v>
      </c>
      <c r="K240" s="966">
        <f>SUM(K234:K239)</f>
        <v>150</v>
      </c>
      <c r="L240" s="963">
        <f t="shared" si="55"/>
        <v>13293.09</v>
      </c>
      <c r="M240" s="963">
        <f t="shared" si="55"/>
        <v>190206.91</v>
      </c>
    </row>
    <row r="241" spans="1:13" ht="18.75" x14ac:dyDescent="0.3">
      <c r="A241" s="961"/>
      <c r="B241" s="950"/>
      <c r="C241" s="962"/>
      <c r="D241" s="960"/>
      <c r="E241" s="963">
        <f>+E209+E221+E231+E240</f>
        <v>1628000</v>
      </c>
      <c r="F241" s="964">
        <v>0</v>
      </c>
      <c r="G241" s="963">
        <f t="shared" ref="G241:M241" si="56">+G209+G221+G231+G240</f>
        <v>1628000</v>
      </c>
      <c r="H241" s="963">
        <f>+H209+H221+H231+H240</f>
        <v>46723.6</v>
      </c>
      <c r="I241" s="963">
        <f>+I209+I221+I231+I240</f>
        <v>74900.810000000012</v>
      </c>
      <c r="J241" s="963">
        <f t="shared" si="56"/>
        <v>49491.200000000004</v>
      </c>
      <c r="K241" s="966">
        <f>+K209+K221+K231+K240</f>
        <v>15230.68</v>
      </c>
      <c r="L241" s="963">
        <f t="shared" si="56"/>
        <v>186346.28999999998</v>
      </c>
      <c r="M241" s="963">
        <f t="shared" si="56"/>
        <v>1441653.71</v>
      </c>
    </row>
    <row r="242" spans="1:13" ht="18.75" x14ac:dyDescent="0.3">
      <c r="A242" s="961"/>
      <c r="B242" s="958"/>
      <c r="C242" s="962"/>
      <c r="D242" s="962"/>
      <c r="E242" s="963"/>
      <c r="F242" s="964"/>
      <c r="G242" s="965"/>
      <c r="H242" s="963"/>
      <c r="I242" s="963"/>
      <c r="J242" s="963"/>
      <c r="K242" s="966"/>
      <c r="L242" s="963"/>
      <c r="M242" s="965"/>
    </row>
    <row r="243" spans="1:13" ht="27.75" customHeight="1" x14ac:dyDescent="0.3">
      <c r="A243" s="1058" t="s">
        <v>865</v>
      </c>
      <c r="B243" s="1059"/>
      <c r="C243" s="1058">
        <f>+C221+C191+C183+C171+C166+C162+C156+C152+C147+C140+C132+C124+C116+C112+C101++C92+C79+C61+C56+C48+C43+C39+C24+C96+C106+C31+C128+C240+C231+C209+C175</f>
        <v>130</v>
      </c>
      <c r="D243" s="1058"/>
      <c r="E243" s="1076">
        <f>+E24+E31+E39+E43+E48+E56+E61+E79+E92+E96+E101+E106+E112+E116+E124+E128+E132+E140+E147+E152+E156+E162+E166+E171+E175+E183+E191+E209+E221+E231+E240</f>
        <v>6958000</v>
      </c>
      <c r="F243" s="1072">
        <v>0</v>
      </c>
      <c r="G243" s="1076">
        <f>+G24+G31+G39+G43+G48+G56+G61+G79+G92+G96+G101+G106+G112+G116+G124+G128+G132+G140+G147+G152+G156+G162+G166+G171+G175+G183+G191+G209+G221+G231+G240</f>
        <v>6958000</v>
      </c>
      <c r="H243" s="1076">
        <f>+H24+H31+H39+H43+H48+H56+H61+H79+H92+H96+H101+H106+H112+H116+H124+H128+H132+H140+H147+H152+H156+H162+H166+H171+H175+H183+H191+H209+H221+H231+H240</f>
        <v>199694.59999999998</v>
      </c>
      <c r="I243" s="1076">
        <f>+I24+I31+I39+I43+I48+I56+I61+I79+I92+I96+I101+I106+I112+I116+I124+I128+I132+I140+I147+I152+I156+I162+I166+I171+I175+I183+I191+I209+I221+I231+I240</f>
        <v>465489.81999999989</v>
      </c>
      <c r="J243" s="1076">
        <f>+J24+J31+J39+J43+J48+J56+J61+J79+J92+J96+J101+J106+J112+J116+J124+J128+J132+J140+J147+J152+J156+J162+J166+J171+J175+J183+J191+J209+J221+J231+J240</f>
        <v>210208.33999999994</v>
      </c>
      <c r="K243" s="1076">
        <f>+K240+K231+K221+K209++K191+K183++K175+K171+K166+K162+K156+K152+K147+K140+K132+K128+K124+K116+K112+K106+K101+K96+K92+K79+K61+K56+K48+K43+K39+K31+K24</f>
        <v>137254.97999999998</v>
      </c>
      <c r="L243" s="1076">
        <f>+L24+L31+L39+L43+L48+L56+L61+L79+L92+L96+L101+L106+L112+L116+L124+L128+L132+L140+L147+L152+L156+L162+L166+L171+L175+L183+L191+L209+L221+L231+L240</f>
        <v>1012647.74</v>
      </c>
      <c r="M243" s="1076">
        <f>+M24+M31+M39+M43+M48+M56+M61+M79+M92+M96+M101+M106+M112+M116+M124+M128+M132+M140+M147+M152+M156+M162+M166+M171+M175+M183+M191+M209+M221+M231+M240</f>
        <v>5945352.2599999988</v>
      </c>
    </row>
    <row r="244" spans="1:13" ht="15.75" x14ac:dyDescent="0.25">
      <c r="A244" s="853"/>
      <c r="B244" s="871"/>
      <c r="C244" s="853"/>
      <c r="D244" s="853"/>
      <c r="E244" s="213"/>
      <c r="F244" s="853"/>
      <c r="G244" s="271"/>
      <c r="H244" s="1324"/>
      <c r="I244" s="1324"/>
      <c r="J244" s="1324"/>
      <c r="K244" s="271"/>
      <c r="L244" s="1324"/>
      <c r="M244" s="271"/>
    </row>
    <row r="245" spans="1:13" ht="14.25" customHeight="1" x14ac:dyDescent="0.25">
      <c r="A245" s="853"/>
      <c r="B245" s="871"/>
      <c r="C245" s="853"/>
      <c r="D245" s="853"/>
      <c r="E245" s="213"/>
      <c r="F245" s="853"/>
      <c r="G245" s="1022"/>
      <c r="H245" s="1093"/>
      <c r="I245" s="1093"/>
      <c r="J245" s="1093"/>
      <c r="K245" s="1022"/>
      <c r="L245" s="1093"/>
      <c r="M245" s="1022"/>
    </row>
    <row r="246" spans="1:13" ht="15.75" x14ac:dyDescent="0.25">
      <c r="A246" s="853"/>
      <c r="B246" s="871"/>
      <c r="C246" s="853"/>
      <c r="D246" s="853"/>
      <c r="E246" s="1093"/>
      <c r="F246" s="853"/>
      <c r="G246" s="853"/>
      <c r="H246" s="869"/>
      <c r="I246" s="1092"/>
      <c r="J246" s="1093"/>
      <c r="K246" s="1022"/>
      <c r="L246" s="1093"/>
      <c r="M246" s="1022"/>
    </row>
    <row r="247" spans="1:13" ht="15.75" x14ac:dyDescent="0.25">
      <c r="A247" s="853"/>
      <c r="B247" s="871"/>
      <c r="C247" s="1022"/>
      <c r="D247" s="1244"/>
      <c r="E247" s="869"/>
      <c r="F247" s="853"/>
      <c r="G247" s="853"/>
      <c r="H247" s="869"/>
      <c r="I247" s="1092"/>
      <c r="J247" s="1093"/>
      <c r="K247" s="1022"/>
      <c r="L247" s="1093"/>
      <c r="M247" s="1022"/>
    </row>
    <row r="248" spans="1:13" ht="68.25" customHeight="1" x14ac:dyDescent="0.25">
      <c r="A248" s="853"/>
      <c r="B248" s="871"/>
      <c r="C248" s="1022"/>
      <c r="D248" s="1244"/>
      <c r="E248" s="869"/>
      <c r="F248" s="853"/>
      <c r="G248" s="853"/>
      <c r="H248" s="869"/>
      <c r="I248" s="1092"/>
      <c r="J248" s="1093"/>
      <c r="K248" s="1022"/>
      <c r="L248" s="1093"/>
      <c r="M248" s="1022"/>
    </row>
    <row r="249" spans="1:13" ht="15.75" x14ac:dyDescent="0.25">
      <c r="A249" s="853"/>
      <c r="B249" s="871"/>
      <c r="C249" s="1022"/>
      <c r="E249" s="869"/>
      <c r="F249" s="853"/>
      <c r="G249" s="853"/>
      <c r="H249" s="869"/>
      <c r="I249" s="1093"/>
      <c r="J249" s="1093"/>
      <c r="K249" s="1022"/>
      <c r="L249" s="1093"/>
      <c r="M249" s="1022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69"/>
      <c r="I250" s="869"/>
      <c r="J250" s="869"/>
      <c r="K250" s="853"/>
      <c r="L250" s="869"/>
      <c r="M250" s="853"/>
    </row>
    <row r="251" spans="1:13" ht="15.75" x14ac:dyDescent="0.25">
      <c r="A251" s="853"/>
      <c r="B251" s="871"/>
      <c r="C251" s="853"/>
      <c r="D251" s="853"/>
      <c r="E251" s="852"/>
      <c r="F251" s="853"/>
      <c r="G251" s="853"/>
      <c r="H251" s="869"/>
      <c r="I251" s="869"/>
      <c r="J251" s="869"/>
      <c r="K251" s="853"/>
      <c r="L251" s="869"/>
      <c r="M251" s="853"/>
    </row>
    <row r="252" spans="1:13" ht="32.25" customHeight="1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53"/>
      <c r="L252" s="869"/>
      <c r="M252" s="853"/>
    </row>
    <row r="253" spans="1:13" ht="17.25" customHeight="1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53"/>
      <c r="L253" s="869"/>
      <c r="M253" s="853"/>
    </row>
    <row r="254" spans="1:13" ht="25.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53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53"/>
      <c r="L255" s="869"/>
      <c r="M255" s="853"/>
    </row>
    <row r="256" spans="1:13" ht="31.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53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53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53"/>
      <c r="L258" s="869"/>
      <c r="M258" s="853"/>
    </row>
    <row r="259" spans="1:14" ht="28.5" customHeight="1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53"/>
      <c r="L259" s="869"/>
      <c r="M259" s="853"/>
    </row>
    <row r="260" spans="1:14" ht="15.75" x14ac:dyDescent="0.25">
      <c r="A260" s="873"/>
      <c r="B260" s="874"/>
      <c r="C260" s="873"/>
      <c r="D260" s="873"/>
      <c r="E260" s="875"/>
      <c r="F260" s="873"/>
      <c r="G260" s="873"/>
      <c r="H260" s="1094"/>
      <c r="I260" s="1094"/>
      <c r="J260" s="1094"/>
      <c r="K260" s="873"/>
      <c r="L260" s="1094"/>
      <c r="M260" s="873"/>
    </row>
    <row r="261" spans="1:14" ht="15.75" x14ac:dyDescent="0.25">
      <c r="A261" s="873"/>
      <c r="B261" s="871"/>
      <c r="C261" s="873"/>
      <c r="D261" s="873"/>
      <c r="E261" s="875"/>
      <c r="F261" s="873"/>
      <c r="G261" s="873"/>
      <c r="H261" s="1094"/>
      <c r="I261" s="1094"/>
      <c r="J261" s="1094"/>
      <c r="K261" s="873"/>
      <c r="L261" s="1094"/>
      <c r="M261" s="873"/>
    </row>
    <row r="262" spans="1:14" ht="15.75" x14ac:dyDescent="0.25">
      <c r="A262" s="871"/>
      <c r="B262" s="871"/>
      <c r="C262" s="871"/>
      <c r="D262" s="871"/>
      <c r="E262" s="876"/>
      <c r="F262" s="877"/>
      <c r="G262" s="878"/>
      <c r="H262" s="1380"/>
      <c r="I262" s="1095"/>
      <c r="J262" s="1095"/>
      <c r="K262" s="1200"/>
      <c r="L262" s="1095"/>
      <c r="M262" s="880"/>
    </row>
    <row r="263" spans="1:14" ht="15.75" x14ac:dyDescent="0.25">
      <c r="A263" s="1703" t="s">
        <v>1271</v>
      </c>
      <c r="B263" s="1703"/>
      <c r="C263" s="874"/>
      <c r="D263" s="874"/>
      <c r="E263" s="875"/>
      <c r="F263" s="873"/>
      <c r="G263" s="873"/>
      <c r="H263" s="1683" t="s">
        <v>852</v>
      </c>
      <c r="I263" s="1683"/>
      <c r="J263" s="1683"/>
      <c r="K263" s="1683"/>
      <c r="L263" s="1683"/>
      <c r="M263" s="1683"/>
    </row>
    <row r="264" spans="1:14" ht="15.75" x14ac:dyDescent="0.25">
      <c r="A264" s="930" t="s">
        <v>1376</v>
      </c>
      <c r="B264" s="871"/>
      <c r="C264" s="871"/>
      <c r="D264" s="871"/>
      <c r="E264" s="875"/>
      <c r="F264" s="873"/>
      <c r="H264" s="520"/>
      <c r="I264" s="1610" t="s">
        <v>1504</v>
      </c>
      <c r="J264" s="1610"/>
      <c r="K264" s="1684"/>
      <c r="L264" s="1610"/>
      <c r="M264" s="622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519"/>
      <c r="I265" s="519"/>
      <c r="J265" s="519"/>
      <c r="K265" s="928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519"/>
      <c r="I266" s="519"/>
      <c r="J266" s="519"/>
      <c r="K266" s="928"/>
      <c r="L266" s="519"/>
      <c r="M266" s="928"/>
      <c r="N266" s="537"/>
    </row>
    <row r="267" spans="1:14" ht="308.25" customHeight="1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928"/>
      <c r="L267" s="519"/>
      <c r="M267" s="928"/>
      <c r="N267" s="537"/>
    </row>
    <row r="268" spans="1:14" ht="19.5" customHeight="1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928"/>
      <c r="L268" s="519"/>
      <c r="M268" s="928"/>
      <c r="N268" s="537"/>
    </row>
    <row r="269" spans="1:14" ht="6.7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928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928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928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928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928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928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928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928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928"/>
      <c r="L277" s="519"/>
      <c r="M277" s="928"/>
      <c r="N277" s="537"/>
    </row>
    <row r="278" spans="1:14" ht="15.75" x14ac:dyDescent="0.25">
      <c r="A278" s="874"/>
      <c r="B278" s="851"/>
      <c r="C278" s="874"/>
      <c r="D278" s="874"/>
      <c r="E278" s="883"/>
      <c r="F278" s="874"/>
      <c r="G278" s="884"/>
      <c r="H278" s="1381"/>
      <c r="I278" s="1094"/>
      <c r="J278" s="1096"/>
      <c r="K278" s="885"/>
      <c r="L278" s="1096"/>
      <c r="M278" s="885"/>
    </row>
  </sheetData>
  <mergeCells count="20">
    <mergeCell ref="A10:M10"/>
    <mergeCell ref="A11:N11"/>
    <mergeCell ref="A12:M12"/>
    <mergeCell ref="A13:M13"/>
    <mergeCell ref="A14:M14"/>
    <mergeCell ref="M16:M17"/>
    <mergeCell ref="A263:B263"/>
    <mergeCell ref="H263:M263"/>
    <mergeCell ref="I264:L264"/>
    <mergeCell ref="G16:G17"/>
    <mergeCell ref="H16:H17"/>
    <mergeCell ref="I16:I17"/>
    <mergeCell ref="J16:J17"/>
    <mergeCell ref="K16:K17"/>
    <mergeCell ref="L16:L17"/>
    <mergeCell ref="A16:A17"/>
    <mergeCell ref="B16:B17"/>
    <mergeCell ref="C16:C17"/>
    <mergeCell ref="D16:D17"/>
    <mergeCell ref="F16:F17"/>
  </mergeCells>
  <pageMargins left="0.22" right="0.23622047244094491" top="0.12" bottom="0" header="0.12" footer="0"/>
  <pageSetup paperSize="345" scale="39" fitToHeight="0" orientation="landscape" r:id="rId1"/>
  <rowBreaks count="3" manualBreakCount="3">
    <brk id="80" max="12" man="1"/>
    <brk id="157" max="12" man="1"/>
    <brk id="232" max="12" man="1"/>
  </rowBreaks>
  <drawing r:id="rId2"/>
</worksheet>
</file>

<file path=xl/worksheets/sheet3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D59A7A-D284-471E-B9C2-22A63B1D2125}">
  <dimension ref="A1:Q205"/>
  <sheetViews>
    <sheetView topLeftCell="B1" zoomScaleNormal="100" zoomScaleSheetLayoutView="89" workbookViewId="0">
      <pane ySplit="11" topLeftCell="A147" activePane="bottomLeft" state="frozen"/>
      <selection pane="bottomLeft" activeCell="D153" sqref="D153"/>
    </sheetView>
  </sheetViews>
  <sheetFormatPr baseColWidth="10" defaultRowHeight="15" x14ac:dyDescent="0.25"/>
  <cols>
    <col min="1" max="1" width="4.140625" style="259" hidden="1" customWidth="1"/>
    <col min="2" max="2" width="53.42578125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3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556" t="s">
        <v>1502</v>
      </c>
      <c r="C4" s="1556"/>
      <c r="D4" s="1556"/>
      <c r="E4" s="1556"/>
      <c r="F4" s="1556"/>
      <c r="G4" s="1556"/>
      <c r="H4" s="1556"/>
      <c r="I4" s="1556"/>
      <c r="J4" s="1556"/>
      <c r="K4" s="1556"/>
      <c r="L4" s="1556"/>
      <c r="M4" s="1556"/>
      <c r="N4" s="1556"/>
      <c r="O4" s="1556"/>
      <c r="P4" s="1556"/>
    </row>
    <row r="5" spans="1:16" x14ac:dyDescent="0.25">
      <c r="B5" s="1556" t="s">
        <v>1</v>
      </c>
      <c r="C5" s="1556"/>
      <c r="D5" s="1556"/>
      <c r="E5" s="1556"/>
      <c r="F5" s="1556"/>
      <c r="G5" s="1556"/>
      <c r="H5" s="1556"/>
      <c r="I5" s="1556"/>
      <c r="J5" s="1556"/>
      <c r="K5" s="1556"/>
      <c r="L5" s="1556"/>
      <c r="M5" s="1556"/>
      <c r="N5" s="1556"/>
      <c r="O5" s="1556"/>
      <c r="P5" s="1556"/>
    </row>
    <row r="6" spans="1:16" x14ac:dyDescent="0.25">
      <c r="B6" s="1556" t="s">
        <v>3</v>
      </c>
      <c r="C6" s="1556"/>
      <c r="D6" s="1556"/>
      <c r="E6" s="1556"/>
      <c r="F6" s="1556"/>
      <c r="G6" s="1556"/>
      <c r="H6" s="1556"/>
      <c r="I6" s="1556"/>
      <c r="J6" s="1556"/>
      <c r="K6" s="1556"/>
      <c r="L6" s="1556"/>
      <c r="M6" s="1556"/>
      <c r="N6" s="1556"/>
      <c r="O6" s="1556"/>
      <c r="P6" s="1556"/>
    </row>
    <row r="7" spans="1:16" x14ac:dyDescent="0.25">
      <c r="B7" s="1556" t="s">
        <v>1836</v>
      </c>
      <c r="C7" s="1556"/>
      <c r="D7" s="1556"/>
      <c r="E7" s="1556"/>
      <c r="F7" s="1556"/>
      <c r="G7" s="1556"/>
      <c r="H7" s="1556"/>
      <c r="I7" s="1556"/>
      <c r="J7" s="1556"/>
      <c r="K7" s="1556"/>
      <c r="L7" s="1556"/>
      <c r="M7" s="1556"/>
      <c r="N7" s="1556"/>
      <c r="O7" s="1556"/>
      <c r="P7" s="1556"/>
    </row>
    <row r="8" spans="1:16" x14ac:dyDescent="0.25">
      <c r="B8" s="1634" t="s">
        <v>441</v>
      </c>
      <c r="C8" s="1634"/>
      <c r="D8" s="1634"/>
      <c r="E8" s="1634"/>
      <c r="F8" s="1634"/>
      <c r="G8" s="1634"/>
      <c r="H8" s="1634"/>
      <c r="I8" s="1634"/>
      <c r="J8" s="1634"/>
      <c r="K8" s="1634"/>
      <c r="L8" s="1634"/>
      <c r="M8" s="1634"/>
      <c r="N8" s="1634"/>
      <c r="O8" s="1634"/>
      <c r="P8" s="1634"/>
    </row>
    <row r="9" spans="1:16" x14ac:dyDescent="0.25">
      <c r="B9" s="615"/>
      <c r="C9" s="1221"/>
      <c r="D9" s="616"/>
      <c r="E9" s="617"/>
      <c r="F9" s="617"/>
      <c r="G9" s="617"/>
      <c r="H9" s="344"/>
      <c r="I9" s="618"/>
      <c r="J9" s="615"/>
      <c r="K9" s="615"/>
      <c r="L9" s="615"/>
      <c r="M9" s="345"/>
      <c r="N9" s="344"/>
      <c r="O9" s="344"/>
      <c r="P9" s="615"/>
    </row>
    <row r="10" spans="1:16" x14ac:dyDescent="0.25">
      <c r="B10" s="1709" t="s">
        <v>7</v>
      </c>
      <c r="C10" s="1709" t="s">
        <v>937</v>
      </c>
      <c r="D10" s="1712" t="s">
        <v>10</v>
      </c>
      <c r="E10" s="1709" t="s">
        <v>832</v>
      </c>
      <c r="F10" s="1709" t="s">
        <v>834</v>
      </c>
      <c r="G10" s="1709" t="s">
        <v>209</v>
      </c>
      <c r="H10" s="1051" t="s">
        <v>12</v>
      </c>
      <c r="I10" s="1711" t="s">
        <v>13</v>
      </c>
      <c r="J10" s="1710" t="s">
        <v>14</v>
      </c>
      <c r="K10" s="1710" t="s">
        <v>15</v>
      </c>
      <c r="L10" s="1710" t="s">
        <v>16</v>
      </c>
      <c r="M10" s="1722" t="s">
        <v>17</v>
      </c>
      <c r="N10" s="1722" t="s">
        <v>18</v>
      </c>
      <c r="O10" s="1722" t="s">
        <v>19</v>
      </c>
      <c r="P10" s="1710" t="s">
        <v>20</v>
      </c>
    </row>
    <row r="11" spans="1:16" x14ac:dyDescent="0.25">
      <c r="A11" s="1378"/>
      <c r="B11" s="1709"/>
      <c r="C11" s="1709"/>
      <c r="D11" s="1712"/>
      <c r="E11" s="1709"/>
      <c r="F11" s="1709"/>
      <c r="G11" s="1709"/>
      <c r="H11" s="1051" t="s">
        <v>21</v>
      </c>
      <c r="I11" s="1711"/>
      <c r="J11" s="1710"/>
      <c r="K11" s="1710"/>
      <c r="L11" s="1710"/>
      <c r="M11" s="1722"/>
      <c r="N11" s="1722"/>
      <c r="O11" s="1722"/>
      <c r="P11" s="1710"/>
    </row>
    <row r="12" spans="1:16" ht="21" customHeight="1" x14ac:dyDescent="0.25">
      <c r="B12" s="1326" t="s">
        <v>872</v>
      </c>
      <c r="C12" s="1327"/>
      <c r="D12" s="1328"/>
      <c r="E12" s="1327"/>
      <c r="F12" s="1327"/>
      <c r="G12" s="1327"/>
      <c r="H12" s="1329"/>
      <c r="I12" s="1330"/>
      <c r="J12" s="1329"/>
      <c r="K12" s="1329"/>
      <c r="L12" s="1329"/>
      <c r="M12" s="1329"/>
      <c r="N12" s="1329"/>
      <c r="O12" s="1329"/>
      <c r="P12" s="1329"/>
    </row>
    <row r="13" spans="1:16" ht="21" customHeight="1" x14ac:dyDescent="0.25">
      <c r="B13" s="153" t="s">
        <v>1577</v>
      </c>
      <c r="C13" s="685" t="s">
        <v>807</v>
      </c>
      <c r="D13" s="282" t="s">
        <v>1408</v>
      </c>
      <c r="E13" s="281" t="s">
        <v>1281</v>
      </c>
      <c r="F13" s="855">
        <v>45839</v>
      </c>
      <c r="G13" s="855">
        <v>45992</v>
      </c>
      <c r="H13" s="626">
        <v>100000</v>
      </c>
      <c r="I13" s="1169">
        <v>0</v>
      </c>
      <c r="J13" s="626">
        <v>100000</v>
      </c>
      <c r="K13" s="468">
        <v>2870</v>
      </c>
      <c r="L13" s="468">
        <v>12105.37</v>
      </c>
      <c r="M13" s="1149">
        <v>3040</v>
      </c>
      <c r="N13" s="468">
        <v>25</v>
      </c>
      <c r="O13" s="468">
        <v>18040.37</v>
      </c>
      <c r="P13" s="468">
        <f>+J13-O13</f>
        <v>81959.63</v>
      </c>
    </row>
    <row r="14" spans="1:16" ht="21" customHeight="1" x14ac:dyDescent="0.25">
      <c r="B14" s="286" t="s">
        <v>1406</v>
      </c>
      <c r="C14" s="685" t="s">
        <v>806</v>
      </c>
      <c r="D14" s="282" t="s">
        <v>268</v>
      </c>
      <c r="E14" s="281" t="s">
        <v>1281</v>
      </c>
      <c r="F14" s="855">
        <v>45839</v>
      </c>
      <c r="G14" s="855">
        <v>45992</v>
      </c>
      <c r="H14" s="626">
        <v>30000</v>
      </c>
      <c r="I14" s="1169">
        <v>0</v>
      </c>
      <c r="J14" s="626">
        <v>30000</v>
      </c>
      <c r="K14" s="468">
        <v>861</v>
      </c>
      <c r="L14" s="487">
        <v>0</v>
      </c>
      <c r="M14" s="1149">
        <v>912</v>
      </c>
      <c r="N14" s="468">
        <v>25</v>
      </c>
      <c r="O14" s="468">
        <f>+K14+L14+M14+N14</f>
        <v>1798</v>
      </c>
      <c r="P14" s="468">
        <f>+J14-O14</f>
        <v>28202</v>
      </c>
    </row>
    <row r="15" spans="1:16" ht="21" customHeight="1" x14ac:dyDescent="0.25">
      <c r="B15" s="466" t="s">
        <v>813</v>
      </c>
      <c r="C15" s="569"/>
      <c r="D15" s="707">
        <v>2</v>
      </c>
      <c r="E15" s="465"/>
      <c r="F15" s="465"/>
      <c r="G15" s="465"/>
      <c r="H15" s="1145">
        <f>SUM(H13:H14)</f>
        <v>130000</v>
      </c>
      <c r="I15" s="1144">
        <v>0</v>
      </c>
      <c r="J15" s="1145">
        <f>SUM(J13:J14)</f>
        <v>130000</v>
      </c>
      <c r="K15" s="1145">
        <f t="shared" ref="K15:P15" si="0">SUM(K13:K14)</f>
        <v>3731</v>
      </c>
      <c r="L15" s="1146">
        <f t="shared" si="0"/>
        <v>12105.37</v>
      </c>
      <c r="M15" s="1145">
        <f t="shared" si="0"/>
        <v>3952</v>
      </c>
      <c r="N15" s="1145">
        <f>SUM(N13:N14)</f>
        <v>50</v>
      </c>
      <c r="O15" s="1145">
        <f t="shared" si="0"/>
        <v>19838.37</v>
      </c>
      <c r="P15" s="1145">
        <f t="shared" si="0"/>
        <v>110161.63</v>
      </c>
    </row>
    <row r="16" spans="1:16" ht="21" customHeight="1" x14ac:dyDescent="0.25">
      <c r="B16" s="466"/>
      <c r="C16" s="569"/>
      <c r="D16" s="570"/>
      <c r="E16" s="569"/>
      <c r="F16" s="569"/>
      <c r="G16" s="569"/>
      <c r="H16" s="571"/>
      <c r="I16" s="1170"/>
      <c r="J16" s="571"/>
      <c r="K16" s="571"/>
      <c r="L16" s="571"/>
      <c r="M16" s="571"/>
      <c r="N16" s="571"/>
      <c r="O16" s="571"/>
      <c r="P16" s="571"/>
    </row>
    <row r="17" spans="1:16" ht="21" customHeight="1" x14ac:dyDescent="0.25">
      <c r="B17" s="466" t="s">
        <v>1458</v>
      </c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7" customHeight="1" x14ac:dyDescent="0.25">
      <c r="B18" s="286" t="s">
        <v>1279</v>
      </c>
      <c r="C18" s="685" t="s">
        <v>807</v>
      </c>
      <c r="D18" s="282" t="s">
        <v>1548</v>
      </c>
      <c r="E18" s="281" t="s">
        <v>1281</v>
      </c>
      <c r="F18" s="855">
        <v>45931</v>
      </c>
      <c r="G18" s="855">
        <v>46082</v>
      </c>
      <c r="H18" s="626">
        <v>120000</v>
      </c>
      <c r="I18" s="1169">
        <v>0</v>
      </c>
      <c r="J18" s="468">
        <v>120000</v>
      </c>
      <c r="K18" s="468">
        <v>3444</v>
      </c>
      <c r="L18" s="468">
        <v>16809.87</v>
      </c>
      <c r="M18" s="1149">
        <v>3648</v>
      </c>
      <c r="N18" s="468">
        <v>2097.1999999999998</v>
      </c>
      <c r="O18" s="468">
        <f>+K18+L18+M18+N18</f>
        <v>25999.07</v>
      </c>
      <c r="P18" s="468">
        <f>+J18-O18</f>
        <v>94000.93</v>
      </c>
    </row>
    <row r="19" spans="1:16" s="25" customFormat="1" ht="21" customHeight="1" x14ac:dyDescent="0.25">
      <c r="A19" s="531"/>
      <c r="B19" s="466" t="s">
        <v>813</v>
      </c>
      <c r="C19" s="569"/>
      <c r="D19" s="707">
        <v>1</v>
      </c>
      <c r="E19" s="465"/>
      <c r="F19" s="465"/>
      <c r="G19" s="465"/>
      <c r="H19" s="1145">
        <f>SUM(H18)</f>
        <v>120000</v>
      </c>
      <c r="I19" s="1144">
        <f t="shared" ref="I19:P19" si="1">SUM(I18)</f>
        <v>0</v>
      </c>
      <c r="J19" s="1145">
        <f t="shared" si="1"/>
        <v>120000</v>
      </c>
      <c r="K19" s="1145">
        <f t="shared" si="1"/>
        <v>3444</v>
      </c>
      <c r="L19" s="1146">
        <f t="shared" si="1"/>
        <v>16809.87</v>
      </c>
      <c r="M19" s="1145">
        <f t="shared" si="1"/>
        <v>3648</v>
      </c>
      <c r="N19" s="1145">
        <f>SUM(N18)</f>
        <v>2097.1999999999998</v>
      </c>
      <c r="O19" s="1145">
        <f t="shared" si="1"/>
        <v>25999.07</v>
      </c>
      <c r="P19" s="1145">
        <f t="shared" si="1"/>
        <v>94000.93</v>
      </c>
    </row>
    <row r="20" spans="1:16" s="25" customFormat="1" ht="21" customHeight="1" x14ac:dyDescent="0.25">
      <c r="A20" s="531"/>
      <c r="B20" s="466"/>
      <c r="C20" s="569"/>
      <c r="D20" s="707"/>
      <c r="E20" s="465"/>
      <c r="F20" s="465"/>
      <c r="G20" s="465"/>
      <c r="H20" s="1145"/>
      <c r="I20" s="1144"/>
      <c r="J20" s="1145"/>
      <c r="K20" s="1145"/>
      <c r="L20" s="1145"/>
      <c r="M20" s="1145"/>
      <c r="N20" s="1145"/>
      <c r="O20" s="1145"/>
      <c r="P20" s="1145"/>
    </row>
    <row r="21" spans="1:16" ht="21" customHeight="1" x14ac:dyDescent="0.25">
      <c r="B21" s="490" t="s">
        <v>837</v>
      </c>
      <c r="C21" s="1223"/>
      <c r="D21" s="492"/>
      <c r="E21" s="1015"/>
      <c r="F21" s="492"/>
      <c r="G21" s="492"/>
      <c r="H21" s="695"/>
      <c r="I21" s="1112"/>
      <c r="J21" s="463"/>
      <c r="K21" s="463"/>
      <c r="L21" s="463"/>
      <c r="M21" s="1145"/>
      <c r="N21" s="697"/>
      <c r="O21" s="697"/>
      <c r="P21" s="463"/>
    </row>
    <row r="22" spans="1:16" ht="21.75" customHeight="1" x14ac:dyDescent="0.25">
      <c r="B22" s="496" t="s">
        <v>989</v>
      </c>
      <c r="C22" s="684" t="s">
        <v>807</v>
      </c>
      <c r="D22" s="282" t="s">
        <v>1573</v>
      </c>
      <c r="E22" s="281" t="s">
        <v>1281</v>
      </c>
      <c r="F22" s="1084">
        <v>45870</v>
      </c>
      <c r="G22" s="1084">
        <v>46023</v>
      </c>
      <c r="H22" s="626">
        <v>150000</v>
      </c>
      <c r="I22" s="1111">
        <v>0</v>
      </c>
      <c r="J22" s="457">
        <v>150000</v>
      </c>
      <c r="K22" s="457">
        <v>4305</v>
      </c>
      <c r="L22" s="457">
        <v>23866.62</v>
      </c>
      <c r="M22" s="1149">
        <v>4560</v>
      </c>
      <c r="N22" s="468">
        <v>25</v>
      </c>
      <c r="O22" s="468">
        <v>32756.62</v>
      </c>
      <c r="P22" s="457">
        <v>117243.38</v>
      </c>
    </row>
    <row r="23" spans="1:16" ht="21" customHeight="1" x14ac:dyDescent="0.25">
      <c r="B23" s="496" t="s">
        <v>1578</v>
      </c>
      <c r="C23" s="684" t="s">
        <v>807</v>
      </c>
      <c r="D23" s="282" t="s">
        <v>1180</v>
      </c>
      <c r="E23" s="281" t="s">
        <v>1063</v>
      </c>
      <c r="F23" s="855">
        <v>45901</v>
      </c>
      <c r="G23" s="855">
        <v>46054</v>
      </c>
      <c r="H23" s="626">
        <v>70000</v>
      </c>
      <c r="I23" s="1111">
        <v>0</v>
      </c>
      <c r="J23" s="457">
        <v>70000</v>
      </c>
      <c r="K23" s="457">
        <v>2009</v>
      </c>
      <c r="L23" s="457">
        <v>5368.48</v>
      </c>
      <c r="M23" s="1149">
        <v>2128</v>
      </c>
      <c r="N23" s="468">
        <v>14760.71</v>
      </c>
      <c r="O23" s="468">
        <f>+K23+L23+M23+N23</f>
        <v>24266.19</v>
      </c>
      <c r="P23" s="457">
        <f>+J23-O23</f>
        <v>45733.81</v>
      </c>
    </row>
    <row r="24" spans="1:16" ht="21" customHeight="1" x14ac:dyDescent="0.25">
      <c r="B24" s="496" t="s">
        <v>1652</v>
      </c>
      <c r="C24" s="497" t="s">
        <v>806</v>
      </c>
      <c r="D24" s="282" t="s">
        <v>1180</v>
      </c>
      <c r="E24" s="281" t="s">
        <v>1063</v>
      </c>
      <c r="F24" s="855">
        <v>45839</v>
      </c>
      <c r="G24" s="855">
        <v>45992</v>
      </c>
      <c r="H24" s="626">
        <v>60000</v>
      </c>
      <c r="I24" s="1111">
        <v>0</v>
      </c>
      <c r="J24" s="457">
        <v>60000</v>
      </c>
      <c r="K24" s="457">
        <v>1722</v>
      </c>
      <c r="L24" s="457">
        <v>3486.68</v>
      </c>
      <c r="M24" s="1149">
        <v>1824</v>
      </c>
      <c r="N24" s="468">
        <v>1296.7</v>
      </c>
      <c r="O24" s="468">
        <f>SUM(K24:N24)</f>
        <v>8329.380000000001</v>
      </c>
      <c r="P24" s="457">
        <f>+H24-O24</f>
        <v>51670.619999999995</v>
      </c>
    </row>
    <row r="25" spans="1:16" ht="21" customHeight="1" x14ac:dyDescent="0.25">
      <c r="B25" s="466" t="s">
        <v>813</v>
      </c>
      <c r="C25" s="569"/>
      <c r="D25" s="492">
        <v>3</v>
      </c>
      <c r="E25" s="281"/>
      <c r="F25" s="1019"/>
      <c r="G25" s="857"/>
      <c r="H25" s="1145">
        <f>SUM(H22:H24)</f>
        <v>280000</v>
      </c>
      <c r="I25" s="1112">
        <v>0</v>
      </c>
      <c r="J25" s="1145">
        <f t="shared" ref="J25:P25" si="2">SUM(J22:J24)</f>
        <v>280000</v>
      </c>
      <c r="K25" s="1145">
        <f t="shared" si="2"/>
        <v>8036</v>
      </c>
      <c r="L25" s="1146">
        <f>SUM(L22:L24)</f>
        <v>32721.78</v>
      </c>
      <c r="M25" s="1145">
        <f t="shared" si="2"/>
        <v>8512</v>
      </c>
      <c r="N25" s="1145">
        <f t="shared" si="2"/>
        <v>16082.41</v>
      </c>
      <c r="O25" s="1145">
        <f t="shared" si="2"/>
        <v>65352.19</v>
      </c>
      <c r="P25" s="1145">
        <f t="shared" si="2"/>
        <v>214647.81</v>
      </c>
    </row>
    <row r="26" spans="1:16" ht="21" customHeight="1" x14ac:dyDescent="0.25">
      <c r="B26" s="466"/>
      <c r="C26" s="569"/>
      <c r="D26" s="492"/>
      <c r="E26" s="281"/>
      <c r="F26" s="1019"/>
      <c r="G26" s="857"/>
      <c r="H26" s="1145"/>
      <c r="I26" s="1112"/>
      <c r="J26" s="1145"/>
      <c r="K26" s="1145"/>
      <c r="L26" s="1145"/>
      <c r="M26" s="1145"/>
      <c r="N26" s="1145"/>
      <c r="O26" s="1145"/>
      <c r="P26" s="1145"/>
    </row>
    <row r="27" spans="1:16" s="25" customFormat="1" ht="21" customHeight="1" x14ac:dyDescent="0.25">
      <c r="A27" s="531"/>
      <c r="B27" s="466" t="s">
        <v>1144</v>
      </c>
      <c r="C27" s="569"/>
      <c r="D27" s="707"/>
      <c r="E27" s="465"/>
      <c r="F27" s="465"/>
      <c r="G27" s="465"/>
      <c r="H27" s="1145"/>
      <c r="I27" s="1144"/>
      <c r="J27" s="1145"/>
      <c r="K27" s="1145"/>
      <c r="L27" s="1145"/>
      <c r="M27" s="1145"/>
      <c r="N27" s="1145"/>
      <c r="O27" s="1145"/>
      <c r="P27" s="1145"/>
    </row>
    <row r="28" spans="1:16" s="25" customFormat="1" ht="21" customHeight="1" x14ac:dyDescent="0.25">
      <c r="A28" s="531"/>
      <c r="B28" s="286" t="s">
        <v>1821</v>
      </c>
      <c r="C28" s="685" t="s">
        <v>807</v>
      </c>
      <c r="D28" s="749" t="s">
        <v>925</v>
      </c>
      <c r="E28" s="281" t="s">
        <v>1281</v>
      </c>
      <c r="F28" s="855">
        <v>45901</v>
      </c>
      <c r="G28" s="855">
        <v>46054</v>
      </c>
      <c r="H28" s="1149">
        <v>80000</v>
      </c>
      <c r="I28" s="1169">
        <v>0</v>
      </c>
      <c r="J28" s="1149">
        <v>80000</v>
      </c>
      <c r="K28" s="1149">
        <v>2296</v>
      </c>
      <c r="L28" s="1149">
        <v>7400.87</v>
      </c>
      <c r="M28" s="1149">
        <v>2432</v>
      </c>
      <c r="N28" s="1149">
        <v>25</v>
      </c>
      <c r="O28" s="1149">
        <f>SUM(K28:N28)</f>
        <v>12153.869999999999</v>
      </c>
      <c r="P28" s="1149">
        <f>+J28-O28</f>
        <v>67846.13</v>
      </c>
    </row>
    <row r="29" spans="1:16" s="25" customFormat="1" ht="21" customHeight="1" x14ac:dyDescent="0.25">
      <c r="A29" s="531"/>
      <c r="B29" s="466"/>
      <c r="C29" s="569"/>
      <c r="D29" s="707">
        <v>1</v>
      </c>
      <c r="E29" s="465"/>
      <c r="F29" s="465"/>
      <c r="G29" s="855"/>
      <c r="H29" s="1145">
        <v>80000</v>
      </c>
      <c r="I29" s="1144">
        <v>0</v>
      </c>
      <c r="J29" s="1145">
        <v>80000</v>
      </c>
      <c r="K29" s="1145">
        <v>2296</v>
      </c>
      <c r="L29" s="1146">
        <v>7400.87</v>
      </c>
      <c r="M29" s="1145">
        <v>2432</v>
      </c>
      <c r="N29" s="1145">
        <v>25</v>
      </c>
      <c r="O29" s="1145">
        <f>SUM(K29:N29)</f>
        <v>12153.869999999999</v>
      </c>
      <c r="P29" s="1145">
        <f>+J29-O29</f>
        <v>67846.13</v>
      </c>
    </row>
    <row r="30" spans="1:16" ht="21" customHeight="1" x14ac:dyDescent="0.25">
      <c r="B30" s="466" t="s">
        <v>1492</v>
      </c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1:16" s="259" customFormat="1" ht="21" customHeight="1" x14ac:dyDescent="0.25">
      <c r="B31" s="1251" t="s">
        <v>917</v>
      </c>
      <c r="C31" s="1252" t="s">
        <v>807</v>
      </c>
      <c r="D31" s="1246" t="s">
        <v>1494</v>
      </c>
      <c r="E31" s="1247" t="s">
        <v>1063</v>
      </c>
      <c r="F31" s="855">
        <v>45962</v>
      </c>
      <c r="G31" s="855">
        <v>46113</v>
      </c>
      <c r="H31" s="1100">
        <v>90000</v>
      </c>
      <c r="I31" s="1249">
        <v>0</v>
      </c>
      <c r="J31" s="1100">
        <v>90000</v>
      </c>
      <c r="K31" s="1100">
        <v>2583</v>
      </c>
      <c r="L31" s="1100">
        <v>9753.1200000000008</v>
      </c>
      <c r="M31" s="1250">
        <v>2736</v>
      </c>
      <c r="N31" s="626">
        <v>8903.93</v>
      </c>
      <c r="O31" s="626">
        <f>SUM(K31:N31)</f>
        <v>23976.050000000003</v>
      </c>
      <c r="P31" s="1100">
        <f>+H31-O31</f>
        <v>66023.95</v>
      </c>
    </row>
    <row r="32" spans="1:16" ht="21" customHeight="1" x14ac:dyDescent="0.25">
      <c r="B32" s="466" t="s">
        <v>813</v>
      </c>
      <c r="C32" s="569"/>
      <c r="D32" s="492">
        <v>1</v>
      </c>
      <c r="E32" s="465"/>
      <c r="F32" s="695"/>
      <c r="G32" s="696"/>
      <c r="H32" s="1099">
        <v>90000</v>
      </c>
      <c r="I32" s="1253">
        <v>0</v>
      </c>
      <c r="J32" s="1099">
        <v>90000</v>
      </c>
      <c r="K32" s="1099">
        <v>2583</v>
      </c>
      <c r="L32" s="1099">
        <v>9753.1200000000008</v>
      </c>
      <c r="M32" s="1146">
        <v>2736</v>
      </c>
      <c r="N32" s="695">
        <v>8903.93</v>
      </c>
      <c r="O32" s="695">
        <f>SUM(K32:N32)</f>
        <v>23976.050000000003</v>
      </c>
      <c r="P32" s="1099">
        <f>+H32-O32</f>
        <v>66023.95</v>
      </c>
    </row>
    <row r="33" spans="2:16" ht="21" customHeight="1" x14ac:dyDescent="0.25">
      <c r="B33" s="466"/>
      <c r="C33" s="569"/>
      <c r="D33" s="492"/>
      <c r="E33" s="465"/>
      <c r="F33" s="695"/>
      <c r="G33" s="696"/>
      <c r="H33" s="695"/>
      <c r="I33" s="1144"/>
      <c r="J33" s="695"/>
      <c r="K33" s="695"/>
      <c r="L33" s="695"/>
      <c r="M33" s="1145"/>
      <c r="N33" s="695"/>
      <c r="O33" s="695"/>
      <c r="P33" s="1099"/>
    </row>
    <row r="34" spans="2:16" ht="21" customHeight="1" x14ac:dyDescent="0.25">
      <c r="B34" s="466" t="s">
        <v>1145</v>
      </c>
      <c r="C34" s="569"/>
      <c r="D34" s="466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1099"/>
    </row>
    <row r="35" spans="2:16" ht="21" customHeight="1" x14ac:dyDescent="0.25">
      <c r="B35" s="286" t="s">
        <v>1844</v>
      </c>
      <c r="C35" s="685" t="s">
        <v>807</v>
      </c>
      <c r="D35" s="286" t="s">
        <v>1158</v>
      </c>
      <c r="E35" s="1247" t="s">
        <v>1063</v>
      </c>
      <c r="F35" s="855">
        <v>45962</v>
      </c>
      <c r="G35" s="855">
        <v>46113</v>
      </c>
      <c r="H35" s="626">
        <v>90000</v>
      </c>
      <c r="I35" s="1169">
        <v>0</v>
      </c>
      <c r="J35" s="626">
        <v>90000</v>
      </c>
      <c r="K35" s="626">
        <v>2583</v>
      </c>
      <c r="L35" s="626">
        <v>9753.1200000000008</v>
      </c>
      <c r="M35" s="1149">
        <v>2736</v>
      </c>
      <c r="N35" s="626">
        <v>25</v>
      </c>
      <c r="O35" s="626">
        <f>SUM(K35:N35)</f>
        <v>15097.12</v>
      </c>
      <c r="P35" s="1100">
        <f>+J35-O35</f>
        <v>74902.880000000005</v>
      </c>
    </row>
    <row r="36" spans="2:16" ht="21" customHeight="1" x14ac:dyDescent="0.25">
      <c r="B36" s="466" t="s">
        <v>813</v>
      </c>
      <c r="C36" s="569"/>
      <c r="D36" s="492">
        <v>1</v>
      </c>
      <c r="E36" s="465"/>
      <c r="F36" s="695"/>
      <c r="G36" s="696"/>
      <c r="H36" s="695">
        <v>90000</v>
      </c>
      <c r="I36" s="1144">
        <v>0</v>
      </c>
      <c r="J36" s="695">
        <v>90000</v>
      </c>
      <c r="K36" s="695">
        <v>2583</v>
      </c>
      <c r="L36" s="1099">
        <v>9753.1200000000008</v>
      </c>
      <c r="M36" s="1145">
        <v>2736</v>
      </c>
      <c r="N36" s="695">
        <v>25</v>
      </c>
      <c r="O36" s="695">
        <f>SUM(K36:N36)</f>
        <v>15097.12</v>
      </c>
      <c r="P36" s="1099">
        <f>+J36-O36</f>
        <v>74902.880000000005</v>
      </c>
    </row>
    <row r="37" spans="2:16" ht="21" customHeight="1" x14ac:dyDescent="0.25">
      <c r="B37" s="466"/>
      <c r="C37" s="569"/>
      <c r="D37" s="492"/>
      <c r="E37" s="465"/>
      <c r="F37" s="695"/>
      <c r="G37" s="696"/>
      <c r="H37" s="695"/>
      <c r="I37" s="1144"/>
      <c r="J37" s="695"/>
      <c r="K37" s="695"/>
      <c r="L37" s="695"/>
      <c r="M37" s="1145"/>
      <c r="N37" s="695"/>
      <c r="O37" s="695"/>
      <c r="P37" s="695"/>
    </row>
    <row r="38" spans="2:16" ht="21" customHeight="1" x14ac:dyDescent="0.25">
      <c r="B38" s="466" t="s">
        <v>1783</v>
      </c>
      <c r="C38" s="569"/>
      <c r="D38" s="492"/>
      <c r="E38" s="465"/>
      <c r="F38" s="695"/>
      <c r="G38" s="696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275" t="s">
        <v>1654</v>
      </c>
      <c r="C39" s="1245" t="s">
        <v>807</v>
      </c>
      <c r="D39" s="1246" t="s">
        <v>1784</v>
      </c>
      <c r="E39" s="1247" t="s">
        <v>1063</v>
      </c>
      <c r="F39" s="855">
        <v>45839</v>
      </c>
      <c r="G39" s="855">
        <v>45992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25</v>
      </c>
      <c r="O39" s="626">
        <f>SUM(K39:N39)</f>
        <v>9530.48</v>
      </c>
      <c r="P39" s="626">
        <f>+H39-O39</f>
        <v>60469.520000000004</v>
      </c>
    </row>
    <row r="40" spans="2:16" ht="21" customHeight="1" x14ac:dyDescent="0.25">
      <c r="B40" s="460" t="s">
        <v>1785</v>
      </c>
      <c r="C40" s="685" t="s">
        <v>807</v>
      </c>
      <c r="D40" s="1246" t="s">
        <v>1784</v>
      </c>
      <c r="E40" s="1247" t="s">
        <v>1063</v>
      </c>
      <c r="F40" s="855">
        <v>45839</v>
      </c>
      <c r="G40" s="855">
        <v>45992</v>
      </c>
      <c r="H40" s="626">
        <v>70000</v>
      </c>
      <c r="I40" s="1169">
        <v>0</v>
      </c>
      <c r="J40" s="626">
        <v>70000</v>
      </c>
      <c r="K40" s="626">
        <v>2009</v>
      </c>
      <c r="L40" s="626">
        <v>4984.5200000000004</v>
      </c>
      <c r="M40" s="1149">
        <v>2128</v>
      </c>
      <c r="N40" s="626">
        <v>1944.78</v>
      </c>
      <c r="O40" s="626">
        <f>SUM(K40:N40)</f>
        <v>11066.300000000001</v>
      </c>
      <c r="P40" s="626">
        <f>+H40-O40</f>
        <v>58933.7</v>
      </c>
    </row>
    <row r="41" spans="2:16" ht="21" customHeight="1" x14ac:dyDescent="0.25">
      <c r="B41" s="466" t="s">
        <v>813</v>
      </c>
      <c r="C41" s="569"/>
      <c r="D41" s="492">
        <v>2</v>
      </c>
      <c r="E41" s="465"/>
      <c r="F41" s="500"/>
      <c r="G41" s="855"/>
      <c r="H41" s="695">
        <f>SUM(H39:H40)</f>
        <v>140000</v>
      </c>
      <c r="I41" s="1253">
        <v>0</v>
      </c>
      <c r="J41" s="695">
        <f t="shared" ref="J41:P41" si="3">SUM(J39:J40)</f>
        <v>140000</v>
      </c>
      <c r="K41" s="695">
        <f t="shared" si="3"/>
        <v>4018</v>
      </c>
      <c r="L41" s="1099">
        <f t="shared" si="3"/>
        <v>10353</v>
      </c>
      <c r="M41" s="695">
        <f t="shared" si="3"/>
        <v>4256</v>
      </c>
      <c r="N41" s="695">
        <f t="shared" si="3"/>
        <v>1969.78</v>
      </c>
      <c r="O41" s="695">
        <f t="shared" si="3"/>
        <v>20596.78</v>
      </c>
      <c r="P41" s="695">
        <f t="shared" si="3"/>
        <v>119403.22</v>
      </c>
    </row>
    <row r="42" spans="2:16" ht="21" customHeight="1" x14ac:dyDescent="0.25">
      <c r="B42" s="466"/>
      <c r="C42" s="569"/>
      <c r="D42" s="492"/>
      <c r="E42" s="465"/>
      <c r="F42" s="500"/>
      <c r="G42" s="855"/>
      <c r="H42" s="695"/>
      <c r="I42" s="1253"/>
      <c r="J42" s="695"/>
      <c r="K42" s="695"/>
      <c r="L42" s="695"/>
      <c r="M42" s="695"/>
      <c r="N42" s="695"/>
      <c r="O42" s="695"/>
      <c r="P42" s="695"/>
    </row>
    <row r="43" spans="2:16" ht="21" customHeight="1" x14ac:dyDescent="0.25">
      <c r="B43" s="466" t="s">
        <v>1531</v>
      </c>
      <c r="C43" s="569"/>
      <c r="D43" s="492"/>
      <c r="E43" s="465"/>
      <c r="F43" s="500"/>
      <c r="G43" s="855"/>
      <c r="H43" s="695"/>
      <c r="I43" s="1253"/>
      <c r="J43" s="695"/>
      <c r="K43" s="695"/>
      <c r="L43" s="695"/>
      <c r="M43" s="695"/>
      <c r="N43" s="695"/>
      <c r="O43" s="695"/>
      <c r="P43" s="695"/>
    </row>
    <row r="44" spans="2:16" ht="21" customHeight="1" x14ac:dyDescent="0.25">
      <c r="B44" s="286" t="s">
        <v>169</v>
      </c>
      <c r="C44" s="281" t="s">
        <v>807</v>
      </c>
      <c r="D44" s="286" t="s">
        <v>1843</v>
      </c>
      <c r="E44" s="1247" t="s">
        <v>1063</v>
      </c>
      <c r="F44" s="855">
        <v>45962</v>
      </c>
      <c r="G44" s="855">
        <v>46113</v>
      </c>
      <c r="H44" s="626">
        <v>95000</v>
      </c>
      <c r="I44" s="1249">
        <v>0</v>
      </c>
      <c r="J44" s="626">
        <v>95000</v>
      </c>
      <c r="K44" s="626">
        <v>2726.5</v>
      </c>
      <c r="L44" s="626">
        <v>10929.24</v>
      </c>
      <c r="M44" s="626">
        <v>2888</v>
      </c>
      <c r="N44" s="626">
        <v>1296.7</v>
      </c>
      <c r="O44" s="626">
        <f>SUM(K44:N44)</f>
        <v>17840.439999999999</v>
      </c>
      <c r="P44" s="626">
        <f>+H44-O44</f>
        <v>77159.56</v>
      </c>
    </row>
    <row r="45" spans="2:16" ht="21" customHeight="1" x14ac:dyDescent="0.25">
      <c r="B45" s="466" t="s">
        <v>813</v>
      </c>
      <c r="C45" s="569"/>
      <c r="D45" s="282">
        <v>1</v>
      </c>
      <c r="E45" s="465"/>
      <c r="F45" s="500"/>
      <c r="G45" s="855"/>
      <c r="H45" s="695">
        <v>95000</v>
      </c>
      <c r="I45" s="1253">
        <v>0</v>
      </c>
      <c r="J45" s="695">
        <v>95000</v>
      </c>
      <c r="K45" s="695">
        <v>2726.5</v>
      </c>
      <c r="L45" s="1099">
        <v>10929.24</v>
      </c>
      <c r="M45" s="695">
        <v>2888</v>
      </c>
      <c r="N45" s="695">
        <v>1296.7</v>
      </c>
      <c r="O45" s="695">
        <f>SUM(K45:N45)</f>
        <v>17840.439999999999</v>
      </c>
      <c r="P45" s="695">
        <f>+H45-O45</f>
        <v>77159.56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695"/>
      <c r="J46" s="695"/>
      <c r="K46" s="695"/>
      <c r="L46" s="695"/>
      <c r="M46" s="695"/>
      <c r="N46" s="695"/>
      <c r="O46" s="695"/>
      <c r="P46" s="695"/>
    </row>
    <row r="47" spans="2:16" ht="21" customHeight="1" x14ac:dyDescent="0.25">
      <c r="B47" s="466" t="s">
        <v>1126</v>
      </c>
      <c r="C47" s="569"/>
      <c r="D47" s="492"/>
      <c r="E47" s="465"/>
      <c r="F47" s="695"/>
      <c r="G47" s="696"/>
      <c r="H47" s="695"/>
      <c r="I47" s="1145"/>
      <c r="J47" s="695"/>
      <c r="K47" s="695"/>
      <c r="L47" s="695"/>
      <c r="M47" s="1145"/>
      <c r="N47" s="695"/>
      <c r="O47" s="153"/>
      <c r="P47" s="153"/>
    </row>
    <row r="48" spans="2:16" s="259" customFormat="1" ht="18.75" customHeight="1" x14ac:dyDescent="0.25">
      <c r="B48" s="275" t="s">
        <v>1580</v>
      </c>
      <c r="C48" s="1247" t="s">
        <v>806</v>
      </c>
      <c r="D48" s="1246" t="s">
        <v>1842</v>
      </c>
      <c r="E48" s="1247" t="s">
        <v>1063</v>
      </c>
      <c r="F48" s="855">
        <v>45962</v>
      </c>
      <c r="G48" s="855">
        <v>46113</v>
      </c>
      <c r="H48" s="1100">
        <v>105000</v>
      </c>
      <c r="I48" s="1249">
        <v>0</v>
      </c>
      <c r="J48" s="1100">
        <v>105000</v>
      </c>
      <c r="K48" s="1100">
        <v>3013.5</v>
      </c>
      <c r="L48" s="1100">
        <v>13281.49</v>
      </c>
      <c r="M48" s="1250">
        <v>3192</v>
      </c>
      <c r="N48" s="626">
        <v>2837</v>
      </c>
      <c r="O48" s="626">
        <f>SUM(K48:N48)</f>
        <v>22323.989999999998</v>
      </c>
      <c r="P48" s="1100">
        <f>+H48-O48</f>
        <v>82676.010000000009</v>
      </c>
    </row>
    <row r="49" spans="2:16" s="259" customFormat="1" ht="21" customHeight="1" x14ac:dyDescent="0.25">
      <c r="B49" s="1251" t="s">
        <v>1674</v>
      </c>
      <c r="C49" s="1252" t="s">
        <v>807</v>
      </c>
      <c r="D49" s="1246" t="s">
        <v>607</v>
      </c>
      <c r="E49" s="1247" t="s">
        <v>1063</v>
      </c>
      <c r="F49" s="855">
        <v>45839</v>
      </c>
      <c r="G49" s="855">
        <v>45992</v>
      </c>
      <c r="H49" s="1100">
        <v>70000</v>
      </c>
      <c r="I49" s="1249">
        <v>0</v>
      </c>
      <c r="J49" s="1100">
        <v>70000</v>
      </c>
      <c r="K49" s="1100">
        <v>2009</v>
      </c>
      <c r="L49" s="1103">
        <v>4984.5200000000004</v>
      </c>
      <c r="M49" s="1250">
        <v>2128</v>
      </c>
      <c r="N49" s="626">
        <v>1944.78</v>
      </c>
      <c r="O49" s="468">
        <f>SUM(K49:N49)</f>
        <v>11066.300000000001</v>
      </c>
      <c r="P49" s="675">
        <f>+H49-O49</f>
        <v>58933.7</v>
      </c>
    </row>
    <row r="50" spans="2:16" ht="21" customHeight="1" x14ac:dyDescent="0.25">
      <c r="B50" s="466" t="s">
        <v>813</v>
      </c>
      <c r="C50" s="569"/>
      <c r="D50" s="492">
        <v>2</v>
      </c>
      <c r="E50" s="465"/>
      <c r="F50" s="695"/>
      <c r="G50" s="696"/>
      <c r="H50" s="1099">
        <f>SUM(H48:H49)</f>
        <v>175000</v>
      </c>
      <c r="I50" s="1253">
        <v>0</v>
      </c>
      <c r="J50" s="1099">
        <f t="shared" ref="J50:P50" si="4">SUM(J48:J49)</f>
        <v>175000</v>
      </c>
      <c r="K50" s="1099">
        <f t="shared" si="4"/>
        <v>5022.5</v>
      </c>
      <c r="L50" s="1099">
        <f t="shared" si="4"/>
        <v>18266.010000000002</v>
      </c>
      <c r="M50" s="1099">
        <f t="shared" si="4"/>
        <v>5320</v>
      </c>
      <c r="N50" s="1099">
        <f t="shared" si="4"/>
        <v>4781.78</v>
      </c>
      <c r="O50" s="1099">
        <f t="shared" si="4"/>
        <v>33390.29</v>
      </c>
      <c r="P50" s="1099">
        <f t="shared" si="4"/>
        <v>141609.71000000002</v>
      </c>
    </row>
    <row r="51" spans="2:16" ht="21" customHeight="1" x14ac:dyDescent="0.25">
      <c r="B51" s="466"/>
      <c r="C51" s="569"/>
      <c r="D51" s="492"/>
      <c r="E51" s="465"/>
      <c r="F51" s="695"/>
      <c r="G51" s="696"/>
      <c r="H51" s="1099"/>
      <c r="I51" s="1253"/>
      <c r="J51" s="1099"/>
      <c r="K51" s="1099"/>
      <c r="L51" s="1099"/>
      <c r="M51" s="1099"/>
      <c r="N51" s="695"/>
      <c r="O51" s="695"/>
      <c r="P51" s="1099"/>
    </row>
    <row r="52" spans="2:16" ht="21" customHeight="1" x14ac:dyDescent="0.25">
      <c r="B52" s="466" t="s">
        <v>1443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s="259" customFormat="1" ht="21" customHeight="1" x14ac:dyDescent="0.25">
      <c r="B53" s="1251" t="s">
        <v>382</v>
      </c>
      <c r="C53" s="1252" t="s">
        <v>807</v>
      </c>
      <c r="D53" s="1246" t="s">
        <v>1749</v>
      </c>
      <c r="E53" s="1247" t="s">
        <v>1063</v>
      </c>
      <c r="F53" s="1248">
        <v>45809</v>
      </c>
      <c r="G53" s="1248">
        <v>45992</v>
      </c>
      <c r="H53" s="1100">
        <v>70000</v>
      </c>
      <c r="I53" s="1249">
        <v>0</v>
      </c>
      <c r="J53" s="1100">
        <v>70000</v>
      </c>
      <c r="K53" s="1100">
        <v>2009</v>
      </c>
      <c r="L53" s="1103">
        <v>5368.48</v>
      </c>
      <c r="M53" s="1250">
        <v>2128</v>
      </c>
      <c r="N53" s="626">
        <v>25</v>
      </c>
      <c r="O53" s="468">
        <f>+K53+L53+M53+N53</f>
        <v>9530.48</v>
      </c>
      <c r="P53" s="675">
        <f>+J53-O53</f>
        <v>60469.520000000004</v>
      </c>
    </row>
    <row r="54" spans="2:16" s="259" customFormat="1" ht="21" customHeight="1" x14ac:dyDescent="0.25">
      <c r="B54" s="466" t="s">
        <v>813</v>
      </c>
      <c r="C54" s="1252"/>
      <c r="D54" s="1325">
        <v>1</v>
      </c>
      <c r="E54" s="1247"/>
      <c r="F54" s="1248"/>
      <c r="G54" s="1248"/>
      <c r="H54" s="1099">
        <v>70000</v>
      </c>
      <c r="I54" s="1253">
        <v>0</v>
      </c>
      <c r="J54" s="1099">
        <v>70000</v>
      </c>
      <c r="K54" s="1099">
        <v>2009</v>
      </c>
      <c r="L54" s="1099">
        <v>5368.48</v>
      </c>
      <c r="M54" s="1099">
        <v>2128</v>
      </c>
      <c r="N54" s="695">
        <v>25</v>
      </c>
      <c r="O54" s="695">
        <f>SUM(K54:N54)</f>
        <v>9530.48</v>
      </c>
      <c r="P54" s="1099">
        <f>+H54-O54</f>
        <v>60469.520000000004</v>
      </c>
    </row>
    <row r="55" spans="2:16" ht="23.25" customHeight="1" x14ac:dyDescent="0.25">
      <c r="B55" s="466"/>
      <c r="C55" s="569"/>
      <c r="D55" s="492"/>
      <c r="E55" s="1247"/>
      <c r="F55" s="500"/>
      <c r="G55" s="855"/>
      <c r="H55" s="1099"/>
      <c r="I55" s="1253"/>
      <c r="J55" s="1099"/>
      <c r="K55" s="1099"/>
      <c r="L55" s="1099"/>
      <c r="M55" s="1099"/>
      <c r="N55" s="695"/>
      <c r="O55" s="695"/>
      <c r="P55" s="1099"/>
    </row>
    <row r="56" spans="2:16" ht="21" customHeight="1" x14ac:dyDescent="0.25">
      <c r="B56" s="466" t="s">
        <v>839</v>
      </c>
      <c r="C56" s="569"/>
      <c r="D56" s="492"/>
      <c r="E56" s="465"/>
      <c r="F56" s="500"/>
      <c r="G56" s="855"/>
      <c r="H56" s="695"/>
      <c r="I56" s="1144"/>
      <c r="J56" s="695"/>
      <c r="K56" s="695"/>
      <c r="L56" s="695"/>
      <c r="M56" s="1145"/>
      <c r="N56" s="695"/>
      <c r="O56" s="695"/>
      <c r="P56" s="695"/>
    </row>
    <row r="57" spans="2:16" ht="27.75" customHeight="1" x14ac:dyDescent="0.25">
      <c r="B57" s="286" t="s">
        <v>1581</v>
      </c>
      <c r="C57" s="685" t="s">
        <v>807</v>
      </c>
      <c r="D57" s="282" t="s">
        <v>1570</v>
      </c>
      <c r="E57" s="281" t="s">
        <v>1063</v>
      </c>
      <c r="F57" s="855">
        <v>45931</v>
      </c>
      <c r="G57" s="855">
        <v>46082</v>
      </c>
      <c r="H57" s="626">
        <v>150000</v>
      </c>
      <c r="I57" s="1169">
        <v>0</v>
      </c>
      <c r="J57" s="626">
        <v>150000</v>
      </c>
      <c r="K57" s="626">
        <v>4305</v>
      </c>
      <c r="L57" s="626">
        <v>23386.67</v>
      </c>
      <c r="M57" s="1149">
        <v>4560</v>
      </c>
      <c r="N57" s="626">
        <v>4116.9799999999996</v>
      </c>
      <c r="O57" s="626">
        <f>SUM(K57:N57)</f>
        <v>36368.649999999994</v>
      </c>
      <c r="P57" s="626">
        <f>+H57-O57</f>
        <v>113631.35</v>
      </c>
    </row>
    <row r="58" spans="2:16" ht="21" customHeight="1" x14ac:dyDescent="0.25">
      <c r="B58" s="453" t="s">
        <v>813</v>
      </c>
      <c r="C58" s="569"/>
      <c r="D58" s="492">
        <v>1</v>
      </c>
      <c r="E58" s="465"/>
      <c r="F58" s="500"/>
      <c r="G58" s="855"/>
      <c r="H58" s="695">
        <v>150000</v>
      </c>
      <c r="I58" s="1144">
        <v>0</v>
      </c>
      <c r="J58" s="695">
        <v>150000</v>
      </c>
      <c r="K58" s="695">
        <v>4305</v>
      </c>
      <c r="L58" s="1099">
        <v>23386.67</v>
      </c>
      <c r="M58" s="1145">
        <v>4560</v>
      </c>
      <c r="N58" s="695">
        <v>4116.9799999999996</v>
      </c>
      <c r="O58" s="695">
        <f>SUM(K58:N58)</f>
        <v>36368.649999999994</v>
      </c>
      <c r="P58" s="695">
        <f>+H58-O58</f>
        <v>113631.35</v>
      </c>
    </row>
    <row r="59" spans="2:16" ht="21" customHeight="1" x14ac:dyDescent="0.25">
      <c r="B59" s="453"/>
      <c r="C59" s="569"/>
      <c r="D59" s="492"/>
      <c r="E59" s="465"/>
      <c r="F59" s="500"/>
      <c r="G59" s="855"/>
      <c r="H59" s="695"/>
      <c r="I59" s="1144"/>
      <c r="J59" s="695"/>
      <c r="K59" s="695"/>
      <c r="L59" s="695"/>
      <c r="M59" s="1145"/>
      <c r="N59" s="695"/>
      <c r="O59" s="695"/>
      <c r="P59" s="695"/>
    </row>
    <row r="60" spans="2:16" ht="30" customHeight="1" x14ac:dyDescent="0.25">
      <c r="B60" s="492" t="s">
        <v>1822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280" t="s">
        <v>1823</v>
      </c>
      <c r="C61" s="685" t="s">
        <v>807</v>
      </c>
      <c r="D61" s="282" t="s">
        <v>1824</v>
      </c>
      <c r="E61" s="281" t="s">
        <v>1063</v>
      </c>
      <c r="F61" s="855">
        <v>45931</v>
      </c>
      <c r="G61" s="855">
        <v>46082</v>
      </c>
      <c r="H61" s="1100">
        <v>70000</v>
      </c>
      <c r="I61" s="1249">
        <v>0</v>
      </c>
      <c r="J61" s="1100">
        <v>70000</v>
      </c>
      <c r="K61" s="1100">
        <v>2009</v>
      </c>
      <c r="L61" s="1103">
        <v>4984.5200000000004</v>
      </c>
      <c r="M61" s="1250">
        <v>2128</v>
      </c>
      <c r="N61" s="626">
        <v>1944.78</v>
      </c>
      <c r="O61" s="468">
        <f>SUM(K61:N61)</f>
        <v>11066.300000000001</v>
      </c>
      <c r="P61" s="675">
        <f>+H61-O61</f>
        <v>58933.7</v>
      </c>
    </row>
    <row r="62" spans="2:16" ht="21" customHeight="1" x14ac:dyDescent="0.25">
      <c r="B62" s="496"/>
      <c r="C62" s="684"/>
      <c r="D62" s="492">
        <v>1</v>
      </c>
      <c r="E62" s="281"/>
      <c r="F62" s="858"/>
      <c r="G62" s="855"/>
      <c r="H62" s="1099">
        <v>70000</v>
      </c>
      <c r="I62" s="1253">
        <v>0</v>
      </c>
      <c r="J62" s="1099">
        <v>70000</v>
      </c>
      <c r="K62" s="1099">
        <v>2009</v>
      </c>
      <c r="L62" s="1254">
        <v>4984.5200000000004</v>
      </c>
      <c r="M62" s="1146">
        <v>2128</v>
      </c>
      <c r="N62" s="695">
        <v>1944.78</v>
      </c>
      <c r="O62" s="697">
        <f>SUM(K62:N62)</f>
        <v>11066.300000000001</v>
      </c>
      <c r="P62" s="676">
        <f>+H62-O62</f>
        <v>58933.7</v>
      </c>
    </row>
    <row r="63" spans="2:16" ht="21" customHeight="1" x14ac:dyDescent="0.25">
      <c r="B63" s="453" t="s">
        <v>1128</v>
      </c>
      <c r="C63" s="569"/>
      <c r="D63" s="280"/>
      <c r="E63" s="281"/>
      <c r="F63" s="858"/>
      <c r="G63" s="855"/>
      <c r="H63" s="280"/>
      <c r="I63" s="1113"/>
      <c r="J63" s="487"/>
      <c r="K63" s="457"/>
      <c r="L63" s="457"/>
      <c r="M63" s="1149"/>
      <c r="N63" s="468"/>
      <c r="O63" s="468"/>
      <c r="P63" s="457"/>
    </row>
    <row r="64" spans="2:16" ht="29.25" customHeight="1" x14ac:dyDescent="0.25">
      <c r="B64" s="280" t="s">
        <v>461</v>
      </c>
      <c r="C64" s="685" t="s">
        <v>807</v>
      </c>
      <c r="D64" s="282" t="s">
        <v>1574</v>
      </c>
      <c r="E64" s="281" t="s">
        <v>1063</v>
      </c>
      <c r="F64" s="855">
        <v>45931</v>
      </c>
      <c r="G64" s="855">
        <v>46082</v>
      </c>
      <c r="H64" s="468">
        <v>115000</v>
      </c>
      <c r="I64" s="1111">
        <v>0</v>
      </c>
      <c r="J64" s="489">
        <v>115000</v>
      </c>
      <c r="K64" s="489">
        <v>3300.5</v>
      </c>
      <c r="L64" s="489">
        <v>15633.74</v>
      </c>
      <c r="M64" s="1149">
        <v>3496</v>
      </c>
      <c r="N64" s="861">
        <v>1431</v>
      </c>
      <c r="O64" s="468">
        <f>+K64+L64+M64+N64</f>
        <v>23861.239999999998</v>
      </c>
      <c r="P64" s="457">
        <f>+J64-O64</f>
        <v>91138.760000000009</v>
      </c>
    </row>
    <row r="65" spans="2:16" ht="21" customHeight="1" x14ac:dyDescent="0.25">
      <c r="B65" s="280" t="s">
        <v>1283</v>
      </c>
      <c r="C65" s="685" t="s">
        <v>807</v>
      </c>
      <c r="D65" s="282" t="s">
        <v>1495</v>
      </c>
      <c r="E65" s="281" t="s">
        <v>1281</v>
      </c>
      <c r="F65" s="855">
        <v>45931</v>
      </c>
      <c r="G65" s="855">
        <v>46082</v>
      </c>
      <c r="H65" s="468">
        <v>60000</v>
      </c>
      <c r="I65" s="1169">
        <v>0</v>
      </c>
      <c r="J65" s="628">
        <v>60000</v>
      </c>
      <c r="K65" s="628">
        <v>1722</v>
      </c>
      <c r="L65" s="628">
        <v>3486.68</v>
      </c>
      <c r="M65" s="1149">
        <v>1824</v>
      </c>
      <c r="N65" s="861">
        <v>728</v>
      </c>
      <c r="O65" s="468">
        <f>+K65+L65+M65+N65</f>
        <v>7760.68</v>
      </c>
      <c r="P65" s="468">
        <f>+J65-O65</f>
        <v>52239.32</v>
      </c>
    </row>
    <row r="66" spans="2:16" ht="21" customHeight="1" x14ac:dyDescent="0.25">
      <c r="B66" s="453" t="s">
        <v>813</v>
      </c>
      <c r="C66" s="569"/>
      <c r="D66" s="453">
        <v>2</v>
      </c>
      <c r="E66" s="1399"/>
      <c r="F66" s="500"/>
      <c r="G66" s="855"/>
      <c r="H66" s="695">
        <f>SUM(H64:H65)</f>
        <v>175000</v>
      </c>
      <c r="I66" s="1144">
        <f t="shared" ref="I66" si="5">SUM(I65)</f>
        <v>0</v>
      </c>
      <c r="J66" s="695">
        <f t="shared" ref="J66:P66" si="6">SUM(J64:J65)</f>
        <v>175000</v>
      </c>
      <c r="K66" s="695">
        <f t="shared" si="6"/>
        <v>5022.5</v>
      </c>
      <c r="L66" s="1099">
        <f t="shared" si="6"/>
        <v>19120.419999999998</v>
      </c>
      <c r="M66" s="1145">
        <f t="shared" si="6"/>
        <v>5320</v>
      </c>
      <c r="N66" s="695">
        <f>SUM(N64:N65)</f>
        <v>2159</v>
      </c>
      <c r="O66" s="695">
        <f t="shared" si="6"/>
        <v>31621.919999999998</v>
      </c>
      <c r="P66" s="695">
        <f t="shared" si="6"/>
        <v>143378.08000000002</v>
      </c>
    </row>
    <row r="67" spans="2:16" ht="21" customHeight="1" x14ac:dyDescent="0.25">
      <c r="B67" s="453"/>
      <c r="C67" s="569"/>
      <c r="D67" s="453"/>
      <c r="E67" s="1399"/>
      <c r="F67" s="500"/>
      <c r="G67" s="855"/>
      <c r="H67" s="695"/>
      <c r="I67" s="1144"/>
      <c r="J67" s="695"/>
      <c r="K67" s="695"/>
      <c r="L67" s="695"/>
      <c r="M67" s="1145"/>
      <c r="N67" s="695"/>
      <c r="O67" s="695"/>
      <c r="P67" s="695"/>
    </row>
    <row r="68" spans="2:16" ht="21" customHeight="1" x14ac:dyDescent="0.25">
      <c r="B68" s="453" t="s">
        <v>1462</v>
      </c>
      <c r="C68" s="569"/>
      <c r="D68" s="453"/>
      <c r="E68" s="1399"/>
      <c r="F68" s="500"/>
      <c r="G68" s="855"/>
      <c r="H68" s="695"/>
      <c r="I68" s="1144"/>
      <c r="J68" s="695"/>
      <c r="K68" s="695"/>
      <c r="L68" s="695"/>
      <c r="M68" s="1145"/>
      <c r="N68" s="695"/>
      <c r="O68" s="695"/>
      <c r="P68" s="695"/>
    </row>
    <row r="69" spans="2:16" ht="21" customHeight="1" x14ac:dyDescent="0.25">
      <c r="B69" s="280" t="s">
        <v>1825</v>
      </c>
      <c r="C69" s="685" t="s">
        <v>807</v>
      </c>
      <c r="D69" s="280" t="s">
        <v>1826</v>
      </c>
      <c r="E69" s="281" t="s">
        <v>1281</v>
      </c>
      <c r="F69" s="855">
        <v>45931</v>
      </c>
      <c r="G69" s="855">
        <v>46082</v>
      </c>
      <c r="H69" s="468">
        <v>60000</v>
      </c>
      <c r="I69" s="1169">
        <v>0</v>
      </c>
      <c r="J69" s="628">
        <v>60000</v>
      </c>
      <c r="K69" s="628">
        <v>1722</v>
      </c>
      <c r="L69" s="628">
        <v>3486.68</v>
      </c>
      <c r="M69" s="1149">
        <v>1824</v>
      </c>
      <c r="N69" s="861">
        <v>25</v>
      </c>
      <c r="O69" s="468">
        <f>+K69+L69+M69+N69</f>
        <v>7057.68</v>
      </c>
      <c r="P69" s="468">
        <f>+J69-O69</f>
        <v>52942.32</v>
      </c>
    </row>
    <row r="70" spans="2:16" ht="21" customHeight="1" x14ac:dyDescent="0.25">
      <c r="B70" s="461"/>
      <c r="C70" s="1223"/>
      <c r="D70" s="453">
        <v>1</v>
      </c>
      <c r="E70" s="1399"/>
      <c r="F70" s="858"/>
      <c r="G70" s="855"/>
      <c r="H70" s="697">
        <v>60000</v>
      </c>
      <c r="I70" s="1144">
        <v>0</v>
      </c>
      <c r="J70" s="698">
        <v>60000</v>
      </c>
      <c r="K70" s="698">
        <v>1722</v>
      </c>
      <c r="L70" s="1403">
        <v>3486.68</v>
      </c>
      <c r="M70" s="1145">
        <v>1824</v>
      </c>
      <c r="N70" s="1173">
        <v>25</v>
      </c>
      <c r="O70" s="697">
        <f>+K70+L70+M70+N70</f>
        <v>7057.68</v>
      </c>
      <c r="P70" s="697">
        <f>+J70-O70</f>
        <v>52942.32</v>
      </c>
    </row>
    <row r="71" spans="2:16" ht="21" customHeight="1" x14ac:dyDescent="0.25">
      <c r="B71" s="1014" t="s">
        <v>1575</v>
      </c>
      <c r="C71" s="569"/>
      <c r="D71" s="492"/>
      <c r="E71" s="465"/>
      <c r="F71" s="500"/>
      <c r="G71" s="855"/>
      <c r="H71" s="695"/>
      <c r="I71" s="1144"/>
      <c r="J71" s="695"/>
      <c r="K71" s="695"/>
      <c r="L71" s="695"/>
      <c r="M71" s="1145"/>
      <c r="N71" s="695"/>
      <c r="O71" s="695"/>
      <c r="P71" s="695"/>
    </row>
    <row r="72" spans="2:16" s="259" customFormat="1" ht="30.75" customHeight="1" x14ac:dyDescent="0.25">
      <c r="B72" s="1251" t="s">
        <v>1582</v>
      </c>
      <c r="C72" s="1252" t="s">
        <v>807</v>
      </c>
      <c r="D72" s="1246" t="s">
        <v>1571</v>
      </c>
      <c r="E72" s="1247" t="s">
        <v>1063</v>
      </c>
      <c r="F72" s="1084">
        <v>45870</v>
      </c>
      <c r="G72" s="1084">
        <v>46023</v>
      </c>
      <c r="H72" s="1100">
        <v>95000</v>
      </c>
      <c r="I72" s="1249">
        <v>0</v>
      </c>
      <c r="J72" s="1100">
        <v>95000</v>
      </c>
      <c r="K72" s="1100">
        <v>2726.5</v>
      </c>
      <c r="L72" s="1103">
        <v>10929.24</v>
      </c>
      <c r="M72" s="1250">
        <v>2888</v>
      </c>
      <c r="N72" s="626">
        <v>18566.330000000002</v>
      </c>
      <c r="O72" s="468">
        <f>+K72+L72+M72+N72</f>
        <v>35110.07</v>
      </c>
      <c r="P72" s="675">
        <f>+J72-O72</f>
        <v>59889.93</v>
      </c>
    </row>
    <row r="73" spans="2:16" ht="21" customHeight="1" x14ac:dyDescent="0.25">
      <c r="B73" s="453" t="s">
        <v>813</v>
      </c>
      <c r="C73" s="685"/>
      <c r="D73" s="453">
        <v>1</v>
      </c>
      <c r="E73" s="281"/>
      <c r="F73" s="1019"/>
      <c r="G73" s="857"/>
      <c r="H73" s="697">
        <f>SUM(H72)</f>
        <v>95000</v>
      </c>
      <c r="I73" s="1144">
        <f>SUM(I72)</f>
        <v>0</v>
      </c>
      <c r="J73" s="697">
        <f t="shared" ref="J73:P73" si="7">SUM(J72)</f>
        <v>95000</v>
      </c>
      <c r="K73" s="697">
        <f t="shared" si="7"/>
        <v>2726.5</v>
      </c>
      <c r="L73" s="676">
        <f t="shared" si="7"/>
        <v>10929.24</v>
      </c>
      <c r="M73" s="1145">
        <f t="shared" si="7"/>
        <v>2888</v>
      </c>
      <c r="N73" s="697">
        <f>SUM(N72)</f>
        <v>18566.330000000002</v>
      </c>
      <c r="O73" s="697">
        <f t="shared" si="7"/>
        <v>35110.07</v>
      </c>
      <c r="P73" s="697">
        <f t="shared" si="7"/>
        <v>59889.93</v>
      </c>
    </row>
    <row r="74" spans="2:16" ht="21" customHeight="1" x14ac:dyDescent="0.25">
      <c r="B74" s="496"/>
      <c r="C74" s="684"/>
      <c r="D74" s="282"/>
      <c r="E74" s="281"/>
      <c r="F74" s="856"/>
      <c r="G74" s="857"/>
      <c r="H74" s="626"/>
      <c r="I74" s="1111"/>
      <c r="J74" s="457"/>
      <c r="K74" s="457"/>
      <c r="L74" s="457"/>
      <c r="M74" s="1149"/>
      <c r="N74" s="468"/>
      <c r="O74" s="468"/>
      <c r="P74" s="457"/>
    </row>
    <row r="75" spans="2:16" ht="32.25" customHeight="1" x14ac:dyDescent="0.25">
      <c r="B75" s="1014" t="s">
        <v>1136</v>
      </c>
      <c r="C75" s="570"/>
      <c r="D75" s="492"/>
      <c r="E75" s="465"/>
      <c r="F75" s="1019"/>
      <c r="G75" s="857"/>
      <c r="H75" s="695"/>
      <c r="I75" s="1144"/>
      <c r="J75" s="697"/>
      <c r="K75" s="697"/>
      <c r="L75" s="697"/>
      <c r="M75" s="1145"/>
      <c r="N75" s="697"/>
      <c r="O75" s="697"/>
      <c r="P75" s="697"/>
    </row>
    <row r="76" spans="2:16" ht="31.5" customHeight="1" x14ac:dyDescent="0.25">
      <c r="B76" s="153" t="s">
        <v>1583</v>
      </c>
      <c r="C76" s="685" t="s">
        <v>806</v>
      </c>
      <c r="D76" s="749" t="s">
        <v>1572</v>
      </c>
      <c r="E76" s="281" t="s">
        <v>1063</v>
      </c>
      <c r="F76" s="855">
        <v>45839</v>
      </c>
      <c r="G76" s="855">
        <v>45992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2568.4</v>
      </c>
      <c r="O76" s="468">
        <f>+K76+L76+M76+N76</f>
        <v>26470.27</v>
      </c>
      <c r="P76" s="626">
        <f>+J76-O76</f>
        <v>93529.73</v>
      </c>
    </row>
    <row r="77" spans="2:16" s="259" customFormat="1" ht="21" customHeight="1" x14ac:dyDescent="0.25">
      <c r="B77" s="1251" t="s">
        <v>1750</v>
      </c>
      <c r="C77" s="1252" t="s">
        <v>807</v>
      </c>
      <c r="D77" s="1246" t="s">
        <v>1751</v>
      </c>
      <c r="E77" s="1247" t="s">
        <v>1063</v>
      </c>
      <c r="F77" s="855">
        <v>45839</v>
      </c>
      <c r="G77" s="855">
        <v>45992</v>
      </c>
      <c r="H77" s="1100">
        <v>50000</v>
      </c>
      <c r="I77" s="1249">
        <v>0</v>
      </c>
      <c r="J77" s="1100">
        <v>50000</v>
      </c>
      <c r="K77" s="1100">
        <v>1435</v>
      </c>
      <c r="L77" s="1103">
        <v>1854</v>
      </c>
      <c r="M77" s="1250">
        <v>1520</v>
      </c>
      <c r="N77" s="626">
        <v>25</v>
      </c>
      <c r="O77" s="468">
        <f>+K77+L77+M77+N77</f>
        <v>4834</v>
      </c>
      <c r="P77" s="675">
        <f>+J77-O77</f>
        <v>45166</v>
      </c>
    </row>
    <row r="78" spans="2:16" ht="21" customHeight="1" x14ac:dyDescent="0.25">
      <c r="B78" s="496" t="s">
        <v>1352</v>
      </c>
      <c r="C78" s="684" t="s">
        <v>806</v>
      </c>
      <c r="D78" s="286" t="s">
        <v>1635</v>
      </c>
      <c r="E78" s="281" t="s">
        <v>1063</v>
      </c>
      <c r="F78" s="855">
        <v>45931</v>
      </c>
      <c r="G78" s="855">
        <v>46082</v>
      </c>
      <c r="H78" s="626">
        <v>55000</v>
      </c>
      <c r="I78" s="1111">
        <v>0</v>
      </c>
      <c r="J78" s="457">
        <v>55000</v>
      </c>
      <c r="K78" s="457">
        <v>1578.5</v>
      </c>
      <c r="L78" s="457">
        <v>2559.6799999999998</v>
      </c>
      <c r="M78" s="1149">
        <v>1672</v>
      </c>
      <c r="N78" s="468">
        <v>25</v>
      </c>
      <c r="O78" s="468">
        <v>5835.18</v>
      </c>
      <c r="P78" s="498">
        <f>+J78-O78</f>
        <v>49164.82</v>
      </c>
    </row>
    <row r="79" spans="2:16" ht="21" customHeight="1" x14ac:dyDescent="0.25">
      <c r="B79" s="275" t="s">
        <v>875</v>
      </c>
      <c r="C79" s="1245" t="s">
        <v>807</v>
      </c>
      <c r="D79" s="1246" t="s">
        <v>1784</v>
      </c>
      <c r="E79" s="1247" t="s">
        <v>1063</v>
      </c>
      <c r="F79" s="855">
        <v>45839</v>
      </c>
      <c r="G79" s="855">
        <v>45992</v>
      </c>
      <c r="H79" s="626">
        <v>70000</v>
      </c>
      <c r="I79" s="1169">
        <v>0</v>
      </c>
      <c r="J79" s="626">
        <v>70000</v>
      </c>
      <c r="K79" s="626">
        <v>2009</v>
      </c>
      <c r="L79" s="626">
        <v>5368.48</v>
      </c>
      <c r="M79" s="1149">
        <v>2128</v>
      </c>
      <c r="N79" s="626">
        <v>2517.7399999999998</v>
      </c>
      <c r="O79" s="626">
        <f>SUM(K79:N79)</f>
        <v>12023.22</v>
      </c>
      <c r="P79" s="626">
        <f>+H79-O79</f>
        <v>57976.78</v>
      </c>
    </row>
    <row r="80" spans="2:16" ht="21" customHeight="1" x14ac:dyDescent="0.25">
      <c r="B80" s="466" t="s">
        <v>813</v>
      </c>
      <c r="C80" s="569"/>
      <c r="D80" s="492">
        <v>4</v>
      </c>
      <c r="E80" s="465"/>
      <c r="F80" s="500"/>
      <c r="G80" s="855"/>
      <c r="H80" s="697">
        <f>SUM(H76:H79)</f>
        <v>295000</v>
      </c>
      <c r="I80" s="1144">
        <v>0</v>
      </c>
      <c r="J80" s="697">
        <f t="shared" ref="J80:P80" si="8">SUM(J76:J79)</f>
        <v>295000</v>
      </c>
      <c r="K80" s="697">
        <f t="shared" si="8"/>
        <v>8466.5</v>
      </c>
      <c r="L80" s="676">
        <f t="shared" si="8"/>
        <v>26592.03</v>
      </c>
      <c r="M80" s="697">
        <f t="shared" si="8"/>
        <v>8968</v>
      </c>
      <c r="N80" s="697">
        <f t="shared" si="8"/>
        <v>5136.1399999999994</v>
      </c>
      <c r="O80" s="697">
        <f t="shared" si="8"/>
        <v>49162.67</v>
      </c>
      <c r="P80" s="697">
        <f t="shared" si="8"/>
        <v>245837.33</v>
      </c>
    </row>
    <row r="81" spans="2:16" ht="21" customHeight="1" x14ac:dyDescent="0.25">
      <c r="B81" s="466"/>
      <c r="C81" s="569"/>
      <c r="D81" s="492"/>
      <c r="E81" s="465"/>
      <c r="F81" s="500"/>
      <c r="G81" s="855"/>
      <c r="H81" s="697"/>
      <c r="I81" s="1144"/>
      <c r="J81" s="697"/>
      <c r="K81" s="697"/>
      <c r="L81" s="697"/>
      <c r="M81" s="1145"/>
      <c r="N81" s="697"/>
      <c r="O81" s="697"/>
      <c r="P81" s="697"/>
    </row>
    <row r="82" spans="2:16" ht="21" customHeight="1" x14ac:dyDescent="0.25">
      <c r="B82" s="466" t="s">
        <v>1791</v>
      </c>
      <c r="C82" s="569"/>
      <c r="D82" s="492"/>
      <c r="E82" s="465"/>
      <c r="F82" s="500"/>
      <c r="G82" s="855"/>
      <c r="H82" s="697"/>
      <c r="I82" s="1144"/>
      <c r="J82" s="697"/>
      <c r="K82" s="697"/>
      <c r="L82" s="697"/>
      <c r="M82" s="1145"/>
      <c r="N82" s="697"/>
      <c r="O82" s="697"/>
      <c r="P82" s="697"/>
    </row>
    <row r="83" spans="2:16" ht="21" customHeight="1" x14ac:dyDescent="0.25">
      <c r="B83" s="286" t="s">
        <v>1793</v>
      </c>
      <c r="C83" s="685" t="s">
        <v>807</v>
      </c>
      <c r="D83" s="282" t="s">
        <v>1794</v>
      </c>
      <c r="E83" s="281" t="s">
        <v>1063</v>
      </c>
      <c r="F83" s="855">
        <v>45839</v>
      </c>
      <c r="G83" s="855">
        <v>45992</v>
      </c>
      <c r="H83" s="626">
        <v>120000</v>
      </c>
      <c r="I83" s="1169">
        <v>0</v>
      </c>
      <c r="J83" s="468">
        <v>120000</v>
      </c>
      <c r="K83" s="468">
        <v>3444</v>
      </c>
      <c r="L83" s="468">
        <v>16809.87</v>
      </c>
      <c r="M83" s="1149">
        <v>3648</v>
      </c>
      <c r="N83" s="468">
        <v>25</v>
      </c>
      <c r="O83" s="468">
        <f>SUM(K83:N83)</f>
        <v>23926.87</v>
      </c>
      <c r="P83" s="468">
        <f>+H83-O83</f>
        <v>96073.13</v>
      </c>
    </row>
    <row r="84" spans="2:16" ht="21" customHeight="1" x14ac:dyDescent="0.25">
      <c r="B84" s="466" t="s">
        <v>813</v>
      </c>
      <c r="C84" s="569"/>
      <c r="D84" s="492">
        <v>1</v>
      </c>
      <c r="E84" s="465"/>
      <c r="F84" s="500"/>
      <c r="G84" s="855"/>
      <c r="H84" s="695">
        <v>120000</v>
      </c>
      <c r="I84" s="1144">
        <v>0</v>
      </c>
      <c r="J84" s="697">
        <v>120000</v>
      </c>
      <c r="K84" s="697">
        <v>3444</v>
      </c>
      <c r="L84" s="676">
        <v>16809.87</v>
      </c>
      <c r="M84" s="1145">
        <v>3648</v>
      </c>
      <c r="N84" s="697">
        <v>25</v>
      </c>
      <c r="O84" s="697">
        <f>SUM(K84:N84)</f>
        <v>23926.87</v>
      </c>
      <c r="P84" s="697">
        <f>+H84-O84</f>
        <v>96073.13</v>
      </c>
    </row>
    <row r="85" spans="2:16" ht="21" customHeight="1" x14ac:dyDescent="0.25">
      <c r="B85" s="466"/>
      <c r="C85" s="569"/>
      <c r="D85" s="492"/>
      <c r="E85" s="465"/>
      <c r="F85" s="500"/>
      <c r="G85" s="855"/>
      <c r="H85" s="697"/>
      <c r="I85" s="1144"/>
      <c r="J85" s="697"/>
      <c r="K85" s="697"/>
      <c r="L85" s="697"/>
      <c r="M85" s="1145"/>
      <c r="N85" s="697"/>
      <c r="O85" s="697"/>
      <c r="P85" s="697"/>
    </row>
    <row r="86" spans="2:16" ht="21" customHeight="1" x14ac:dyDescent="0.25">
      <c r="B86" s="453" t="s">
        <v>1515</v>
      </c>
      <c r="C86" s="569"/>
      <c r="D86" s="492"/>
      <c r="E86" s="465"/>
      <c r="F86" s="1019"/>
      <c r="G86" s="857"/>
      <c r="H86" s="695"/>
      <c r="I86" s="1144"/>
      <c r="J86" s="697"/>
      <c r="K86" s="697"/>
      <c r="L86" s="697"/>
      <c r="M86" s="1145"/>
      <c r="N86" s="697"/>
      <c r="O86" s="697"/>
      <c r="P86" s="697"/>
    </row>
    <row r="87" spans="2:16" ht="32.25" customHeight="1" x14ac:dyDescent="0.25">
      <c r="B87" s="280" t="s">
        <v>1584</v>
      </c>
      <c r="C87" s="685" t="s">
        <v>806</v>
      </c>
      <c r="D87" s="282" t="s">
        <v>1357</v>
      </c>
      <c r="E87" s="281" t="s">
        <v>1063</v>
      </c>
      <c r="F87" s="855">
        <v>45931</v>
      </c>
      <c r="G87" s="855">
        <v>46082</v>
      </c>
      <c r="H87" s="626">
        <v>125000</v>
      </c>
      <c r="I87" s="1111">
        <v>0</v>
      </c>
      <c r="J87" s="1038">
        <v>125000</v>
      </c>
      <c r="K87" s="1038">
        <v>3587.5</v>
      </c>
      <c r="L87" s="1037">
        <v>17985.990000000002</v>
      </c>
      <c r="M87" s="1150">
        <v>3800</v>
      </c>
      <c r="N87" s="1038">
        <v>25</v>
      </c>
      <c r="O87" s="468">
        <f t="shared" ref="O87:O92" si="9">+K87+L87+M87+N87</f>
        <v>25398.49</v>
      </c>
      <c r="P87" s="498">
        <f t="shared" ref="P87:P92" si="10">+J87-O87</f>
        <v>99601.51</v>
      </c>
    </row>
    <row r="88" spans="2:16" ht="32.25" customHeight="1" x14ac:dyDescent="0.25">
      <c r="B88" s="280" t="s">
        <v>1585</v>
      </c>
      <c r="C88" s="685" t="s">
        <v>806</v>
      </c>
      <c r="D88" s="282" t="s">
        <v>1357</v>
      </c>
      <c r="E88" s="281" t="s">
        <v>1063</v>
      </c>
      <c r="F88" s="855">
        <v>45931</v>
      </c>
      <c r="G88" s="855">
        <v>45717</v>
      </c>
      <c r="H88" s="626">
        <v>125000</v>
      </c>
      <c r="I88" s="1111">
        <v>0</v>
      </c>
      <c r="J88" s="1038">
        <v>125000</v>
      </c>
      <c r="K88" s="1038">
        <v>3587.5</v>
      </c>
      <c r="L88" s="1037">
        <v>17985.990000000002</v>
      </c>
      <c r="M88" s="1150">
        <v>3800</v>
      </c>
      <c r="N88" s="1038">
        <v>25</v>
      </c>
      <c r="O88" s="468">
        <f t="shared" si="9"/>
        <v>25398.49</v>
      </c>
      <c r="P88" s="498">
        <f t="shared" si="10"/>
        <v>99601.51</v>
      </c>
    </row>
    <row r="89" spans="2:16" ht="32.25" customHeight="1" x14ac:dyDescent="0.25">
      <c r="B89" s="280" t="s">
        <v>1586</v>
      </c>
      <c r="C89" s="685" t="s">
        <v>806</v>
      </c>
      <c r="D89" s="282" t="s">
        <v>1355</v>
      </c>
      <c r="E89" s="281" t="s">
        <v>1063</v>
      </c>
      <c r="F89" s="855">
        <v>45931</v>
      </c>
      <c r="G89" s="855">
        <v>46082</v>
      </c>
      <c r="H89" s="626">
        <v>125000</v>
      </c>
      <c r="I89" s="1111">
        <v>0</v>
      </c>
      <c r="J89" s="1038">
        <v>125000</v>
      </c>
      <c r="K89" s="1038">
        <v>3587.5</v>
      </c>
      <c r="L89" s="1037">
        <v>17985.990000000002</v>
      </c>
      <c r="M89" s="1150">
        <v>3800</v>
      </c>
      <c r="N89" s="1038">
        <v>25</v>
      </c>
      <c r="O89" s="468">
        <f t="shared" si="9"/>
        <v>25398.49</v>
      </c>
      <c r="P89" s="498">
        <f t="shared" si="10"/>
        <v>99601.51</v>
      </c>
    </row>
    <row r="90" spans="2:16" ht="32.25" customHeight="1" x14ac:dyDescent="0.25">
      <c r="B90" s="153" t="s">
        <v>1587</v>
      </c>
      <c r="C90" s="685" t="s">
        <v>806</v>
      </c>
      <c r="D90" s="282" t="s">
        <v>1357</v>
      </c>
      <c r="E90" s="281" t="s">
        <v>1063</v>
      </c>
      <c r="F90" s="855">
        <v>45931</v>
      </c>
      <c r="G90" s="855">
        <v>46082</v>
      </c>
      <c r="H90" s="626">
        <v>125000</v>
      </c>
      <c r="I90" s="1111">
        <v>0</v>
      </c>
      <c r="J90" s="1038">
        <v>125000</v>
      </c>
      <c r="K90" s="1038">
        <v>3587.5</v>
      </c>
      <c r="L90" s="1037">
        <v>17985.990000000002</v>
      </c>
      <c r="M90" s="1150">
        <v>3800</v>
      </c>
      <c r="N90" s="1038">
        <v>25</v>
      </c>
      <c r="O90" s="468">
        <f t="shared" si="9"/>
        <v>25398.49</v>
      </c>
      <c r="P90" s="498">
        <f t="shared" si="10"/>
        <v>99601.51</v>
      </c>
    </row>
    <row r="91" spans="2:16" ht="32.25" customHeight="1" x14ac:dyDescent="0.25">
      <c r="B91" s="280" t="s">
        <v>1588</v>
      </c>
      <c r="C91" s="685" t="s">
        <v>806</v>
      </c>
      <c r="D91" s="282" t="s">
        <v>1357</v>
      </c>
      <c r="E91" s="281" t="s">
        <v>1063</v>
      </c>
      <c r="F91" s="855">
        <v>45931</v>
      </c>
      <c r="G91" s="855">
        <v>46082</v>
      </c>
      <c r="H91" s="626">
        <v>125000</v>
      </c>
      <c r="I91" s="1169">
        <v>0</v>
      </c>
      <c r="J91" s="1038">
        <v>125000</v>
      </c>
      <c r="K91" s="1038">
        <v>3587.5</v>
      </c>
      <c r="L91" s="1037">
        <v>17985.990000000002</v>
      </c>
      <c r="M91" s="1150">
        <v>3800</v>
      </c>
      <c r="N91" s="1038">
        <v>25</v>
      </c>
      <c r="O91" s="468">
        <f t="shared" si="9"/>
        <v>25398.49</v>
      </c>
      <c r="P91" s="626">
        <f t="shared" si="10"/>
        <v>99601.51</v>
      </c>
    </row>
    <row r="92" spans="2:16" ht="32.25" customHeight="1" x14ac:dyDescent="0.25">
      <c r="B92" s="280" t="s">
        <v>1589</v>
      </c>
      <c r="C92" s="685" t="s">
        <v>807</v>
      </c>
      <c r="D92" s="282" t="s">
        <v>1357</v>
      </c>
      <c r="E92" s="281" t="s">
        <v>1063</v>
      </c>
      <c r="F92" s="855">
        <v>45931</v>
      </c>
      <c r="G92" s="855">
        <v>46082</v>
      </c>
      <c r="H92" s="626">
        <v>135000</v>
      </c>
      <c r="I92" s="1169">
        <v>0</v>
      </c>
      <c r="J92" s="1038">
        <v>135000</v>
      </c>
      <c r="K92" s="1038">
        <v>3874.5</v>
      </c>
      <c r="L92" s="1038">
        <v>19858.3</v>
      </c>
      <c r="M92" s="1150">
        <v>4104</v>
      </c>
      <c r="N92" s="1038">
        <v>1944.78</v>
      </c>
      <c r="O92" s="468">
        <f t="shared" si="9"/>
        <v>29781.579999999998</v>
      </c>
      <c r="P92" s="626">
        <f t="shared" si="10"/>
        <v>105218.42</v>
      </c>
    </row>
    <row r="93" spans="2:16" ht="33" customHeight="1" x14ac:dyDescent="0.25">
      <c r="B93" s="153" t="s">
        <v>1590</v>
      </c>
      <c r="C93" s="685" t="s">
        <v>807</v>
      </c>
      <c r="D93" s="282" t="s">
        <v>1357</v>
      </c>
      <c r="E93" s="281" t="s">
        <v>1063</v>
      </c>
      <c r="F93" s="855">
        <v>45931</v>
      </c>
      <c r="G93" s="855">
        <v>46082</v>
      </c>
      <c r="H93" s="626">
        <v>125000</v>
      </c>
      <c r="I93" s="1111">
        <v>0</v>
      </c>
      <c r="J93" s="1038">
        <v>125000</v>
      </c>
      <c r="K93" s="1038">
        <v>3587.5</v>
      </c>
      <c r="L93" s="1038">
        <v>17985.990000000002</v>
      </c>
      <c r="M93" s="1150">
        <v>3800</v>
      </c>
      <c r="N93" s="1038">
        <v>25</v>
      </c>
      <c r="O93" s="468">
        <v>25398.49</v>
      </c>
      <c r="P93" s="498">
        <v>99601.51</v>
      </c>
    </row>
    <row r="94" spans="2:16" ht="21" customHeight="1" x14ac:dyDescent="0.25">
      <c r="B94" s="466" t="s">
        <v>813</v>
      </c>
      <c r="C94" s="569"/>
      <c r="D94" s="492">
        <v>7</v>
      </c>
      <c r="E94" s="465"/>
      <c r="F94" s="500"/>
      <c r="G94" s="855"/>
      <c r="H94" s="697">
        <f>SUM(H87:H93)</f>
        <v>885000</v>
      </c>
      <c r="I94" s="1112">
        <v>0</v>
      </c>
      <c r="J94" s="697">
        <f t="shared" ref="J94:P94" si="11">SUM(J87:J93)</f>
        <v>885000</v>
      </c>
      <c r="K94" s="697">
        <f t="shared" si="11"/>
        <v>25399.5</v>
      </c>
      <c r="L94" s="676">
        <f t="shared" si="11"/>
        <v>127774.24000000002</v>
      </c>
      <c r="M94" s="1145">
        <f t="shared" si="11"/>
        <v>26904</v>
      </c>
      <c r="N94" s="697">
        <f t="shared" si="11"/>
        <v>2094.7799999999997</v>
      </c>
      <c r="O94" s="697">
        <f t="shared" si="11"/>
        <v>182172.52</v>
      </c>
      <c r="P94" s="697">
        <f t="shared" si="11"/>
        <v>702827.48</v>
      </c>
    </row>
    <row r="95" spans="2:16" ht="21" customHeight="1" x14ac:dyDescent="0.25">
      <c r="B95" s="466"/>
      <c r="C95" s="569"/>
      <c r="D95" s="492"/>
      <c r="E95" s="465"/>
      <c r="F95" s="500"/>
      <c r="G95" s="855"/>
      <c r="H95" s="697"/>
      <c r="I95" s="1145"/>
      <c r="J95" s="697"/>
      <c r="K95" s="697"/>
      <c r="L95" s="697"/>
      <c r="M95" s="1145"/>
      <c r="N95" s="697"/>
      <c r="O95" s="697"/>
      <c r="P95" s="697"/>
    </row>
    <row r="96" spans="2:16" ht="21" customHeight="1" x14ac:dyDescent="0.25">
      <c r="B96" s="466" t="s">
        <v>821</v>
      </c>
      <c r="C96" s="569"/>
      <c r="D96" s="492"/>
      <c r="E96" s="465"/>
      <c r="F96" s="500"/>
      <c r="G96" s="855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30.75" customHeight="1" x14ac:dyDescent="0.25">
      <c r="B97" s="286" t="s">
        <v>593</v>
      </c>
      <c r="C97" s="685" t="s">
        <v>806</v>
      </c>
      <c r="D97" s="282" t="s">
        <v>1541</v>
      </c>
      <c r="E97" s="281" t="s">
        <v>1063</v>
      </c>
      <c r="F97" s="855">
        <v>45931</v>
      </c>
      <c r="G97" s="855">
        <v>46082</v>
      </c>
      <c r="H97" s="626">
        <v>150000</v>
      </c>
      <c r="I97" s="1169">
        <v>0</v>
      </c>
      <c r="J97" s="468">
        <v>150000</v>
      </c>
      <c r="K97" s="468">
        <v>4305</v>
      </c>
      <c r="L97" s="468">
        <v>23866.62</v>
      </c>
      <c r="M97" s="1149">
        <v>4560</v>
      </c>
      <c r="N97" s="468">
        <v>2568.4</v>
      </c>
      <c r="O97" s="468">
        <v>35300.019999999997</v>
      </c>
      <c r="P97" s="468">
        <f t="shared" ref="P97:P102" si="12">+J97-O97</f>
        <v>114699.98000000001</v>
      </c>
    </row>
    <row r="98" spans="2:16" ht="24.75" customHeight="1" x14ac:dyDescent="0.25">
      <c r="B98" s="286" t="s">
        <v>1591</v>
      </c>
      <c r="C98" s="684" t="s">
        <v>806</v>
      </c>
      <c r="D98" s="282" t="s">
        <v>489</v>
      </c>
      <c r="E98" s="281" t="s">
        <v>1063</v>
      </c>
      <c r="F98" s="855">
        <v>45931</v>
      </c>
      <c r="G98" s="855">
        <v>46082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25</v>
      </c>
      <c r="O98" s="468">
        <f>+K98+L98+M98+N98</f>
        <v>9530.48</v>
      </c>
      <c r="P98" s="457">
        <f t="shared" si="12"/>
        <v>60469.520000000004</v>
      </c>
    </row>
    <row r="99" spans="2:16" ht="24.75" customHeight="1" x14ac:dyDescent="0.25">
      <c r="B99" s="286" t="s">
        <v>1288</v>
      </c>
      <c r="C99" s="685" t="s">
        <v>807</v>
      </c>
      <c r="D99" s="282" t="s">
        <v>417</v>
      </c>
      <c r="E99" s="281" t="s">
        <v>1063</v>
      </c>
      <c r="F99" s="855">
        <v>45931</v>
      </c>
      <c r="G99" s="855">
        <v>46082</v>
      </c>
      <c r="H99" s="626">
        <v>70000</v>
      </c>
      <c r="I99" s="1169">
        <v>0</v>
      </c>
      <c r="J99" s="468">
        <v>70000</v>
      </c>
      <c r="K99" s="468">
        <v>2009</v>
      </c>
      <c r="L99" s="468">
        <v>5368.48</v>
      </c>
      <c r="M99" s="1149">
        <v>2128</v>
      </c>
      <c r="N99" s="468">
        <v>25</v>
      </c>
      <c r="O99" s="468">
        <f>+K99+L99+M99+N99</f>
        <v>9530.48</v>
      </c>
      <c r="P99" s="468">
        <f t="shared" si="12"/>
        <v>60469.520000000004</v>
      </c>
    </row>
    <row r="100" spans="2:16" ht="24.75" customHeight="1" x14ac:dyDescent="0.25">
      <c r="B100" s="286" t="s">
        <v>1496</v>
      </c>
      <c r="C100" s="685" t="s">
        <v>806</v>
      </c>
      <c r="D100" s="282" t="s">
        <v>489</v>
      </c>
      <c r="E100" s="281" t="s">
        <v>1063</v>
      </c>
      <c r="F100" s="855">
        <v>45931</v>
      </c>
      <c r="G100" s="855">
        <v>46082</v>
      </c>
      <c r="H100" s="626">
        <v>70000</v>
      </c>
      <c r="I100" s="1169">
        <v>0</v>
      </c>
      <c r="J100" s="468">
        <v>70000</v>
      </c>
      <c r="K100" s="468">
        <v>2009</v>
      </c>
      <c r="L100" s="468">
        <v>5368.48</v>
      </c>
      <c r="M100" s="1149">
        <v>2128</v>
      </c>
      <c r="N100" s="468">
        <v>25</v>
      </c>
      <c r="O100" s="468">
        <f>+K100+L100+M100+N100</f>
        <v>9530.48</v>
      </c>
      <c r="P100" s="468">
        <f t="shared" si="12"/>
        <v>60469.520000000004</v>
      </c>
    </row>
    <row r="101" spans="2:16" ht="21" customHeight="1" x14ac:dyDescent="0.25">
      <c r="B101" s="153" t="s">
        <v>1599</v>
      </c>
      <c r="C101" s="684" t="s">
        <v>806</v>
      </c>
      <c r="D101" s="282" t="s">
        <v>417</v>
      </c>
      <c r="E101" s="281" t="s">
        <v>1063</v>
      </c>
      <c r="F101" s="855">
        <v>45931</v>
      </c>
      <c r="G101" s="855">
        <v>46082</v>
      </c>
      <c r="H101" s="626">
        <v>70000</v>
      </c>
      <c r="I101" s="1111">
        <v>0</v>
      </c>
      <c r="J101" s="457">
        <v>70000</v>
      </c>
      <c r="K101" s="457">
        <v>2009</v>
      </c>
      <c r="L101" s="457">
        <v>5368.48</v>
      </c>
      <c r="M101" s="1149">
        <v>2128</v>
      </c>
      <c r="N101" s="468">
        <v>25</v>
      </c>
      <c r="O101" s="468">
        <f>+K101+L101+M101+N101</f>
        <v>9530.48</v>
      </c>
      <c r="P101" s="457">
        <f t="shared" si="12"/>
        <v>60469.520000000004</v>
      </c>
    </row>
    <row r="102" spans="2:16" ht="21" customHeight="1" x14ac:dyDescent="0.25">
      <c r="B102" s="153" t="s">
        <v>1786</v>
      </c>
      <c r="C102" s="684" t="s">
        <v>806</v>
      </c>
      <c r="D102" s="282" t="s">
        <v>417</v>
      </c>
      <c r="E102" s="281" t="s">
        <v>1063</v>
      </c>
      <c r="F102" s="855">
        <v>45931</v>
      </c>
      <c r="G102" s="855">
        <v>46082</v>
      </c>
      <c r="H102" s="626">
        <v>60000</v>
      </c>
      <c r="I102" s="1111">
        <v>0</v>
      </c>
      <c r="J102" s="457">
        <v>60000</v>
      </c>
      <c r="K102" s="457">
        <v>1722</v>
      </c>
      <c r="L102" s="457">
        <v>3486.68</v>
      </c>
      <c r="M102" s="1149">
        <v>1824</v>
      </c>
      <c r="N102" s="468">
        <v>25</v>
      </c>
      <c r="O102" s="468">
        <f>+K102+L102+M102+N102</f>
        <v>7057.68</v>
      </c>
      <c r="P102" s="457">
        <f t="shared" si="12"/>
        <v>52942.32</v>
      </c>
    </row>
    <row r="103" spans="2:16" ht="21" customHeight="1" x14ac:dyDescent="0.25">
      <c r="B103" s="466" t="s">
        <v>813</v>
      </c>
      <c r="C103" s="569"/>
      <c r="D103" s="492">
        <v>6</v>
      </c>
      <c r="E103" s="465"/>
      <c r="F103" s="500"/>
      <c r="G103" s="855"/>
      <c r="H103" s="695">
        <f>SUM(H97:H102)</f>
        <v>490000</v>
      </c>
      <c r="I103" s="1112">
        <v>0</v>
      </c>
      <c r="J103" s="695">
        <f t="shared" ref="J103:P103" si="13">SUM(J97:J102)</f>
        <v>490000</v>
      </c>
      <c r="K103" s="695">
        <f t="shared" si="13"/>
        <v>14063</v>
      </c>
      <c r="L103" s="1099">
        <f t="shared" si="13"/>
        <v>48827.219999999994</v>
      </c>
      <c r="M103" s="695">
        <f t="shared" si="13"/>
        <v>14896</v>
      </c>
      <c r="N103" s="695">
        <f t="shared" si="13"/>
        <v>2693.4</v>
      </c>
      <c r="O103" s="695">
        <f t="shared" si="13"/>
        <v>80479.62</v>
      </c>
      <c r="P103" s="695">
        <f t="shared" si="13"/>
        <v>409520.38000000006</v>
      </c>
    </row>
    <row r="104" spans="2:16" ht="21" customHeight="1" x14ac:dyDescent="0.25">
      <c r="B104" s="490"/>
      <c r="C104" s="1223"/>
      <c r="D104" s="492"/>
      <c r="E104" s="465"/>
      <c r="F104" s="856"/>
      <c r="G104" s="857"/>
      <c r="H104" s="695"/>
      <c r="I104" s="1112"/>
      <c r="J104" s="494"/>
      <c r="K104" s="494"/>
      <c r="L104" s="494"/>
      <c r="M104" s="1145"/>
      <c r="N104" s="695"/>
      <c r="O104" s="695"/>
      <c r="P104" s="494"/>
    </row>
    <row r="105" spans="2:16" ht="21" customHeight="1" x14ac:dyDescent="0.25">
      <c r="B105" s="490" t="s">
        <v>1542</v>
      </c>
      <c r="C105" s="1223"/>
      <c r="D105" s="492"/>
      <c r="E105" s="1015"/>
      <c r="F105" s="856"/>
      <c r="G105" s="857"/>
      <c r="H105" s="695"/>
      <c r="I105" s="1112"/>
      <c r="J105" s="463"/>
      <c r="K105" s="463"/>
      <c r="L105" s="463"/>
      <c r="M105" s="1145"/>
      <c r="N105" s="697"/>
      <c r="O105" s="697"/>
      <c r="P105" s="463"/>
    </row>
    <row r="106" spans="2:16" ht="21" customHeight="1" x14ac:dyDescent="0.25">
      <c r="B106" s="496" t="s">
        <v>1592</v>
      </c>
      <c r="C106" s="684" t="s">
        <v>807</v>
      </c>
      <c r="D106" s="282" t="s">
        <v>1427</v>
      </c>
      <c r="E106" s="281" t="s">
        <v>1063</v>
      </c>
      <c r="F106" s="855">
        <v>45931</v>
      </c>
      <c r="G106" s="855">
        <v>46082</v>
      </c>
      <c r="H106" s="626">
        <v>185000</v>
      </c>
      <c r="I106" s="1111">
        <v>0</v>
      </c>
      <c r="J106" s="457">
        <v>185000</v>
      </c>
      <c r="K106" s="457">
        <v>5309.5</v>
      </c>
      <c r="L106" s="457">
        <v>32099.49</v>
      </c>
      <c r="M106" s="1149">
        <v>5624</v>
      </c>
      <c r="N106" s="468">
        <v>5010.4799999999996</v>
      </c>
      <c r="O106" s="468">
        <f>+K106+L106+M106+N106</f>
        <v>48043.47</v>
      </c>
      <c r="P106" s="457">
        <f>+J106-O106</f>
        <v>136956.53</v>
      </c>
    </row>
    <row r="107" spans="2:16" ht="21" customHeight="1" x14ac:dyDescent="0.25">
      <c r="B107" s="466" t="s">
        <v>813</v>
      </c>
      <c r="C107" s="569"/>
      <c r="D107" s="492">
        <v>1</v>
      </c>
      <c r="E107" s="1015"/>
      <c r="F107" s="1016"/>
      <c r="G107" s="855"/>
      <c r="H107" s="695">
        <f>+H106</f>
        <v>185000</v>
      </c>
      <c r="I107" s="1144">
        <f t="shared" ref="I107:P107" si="14">SUM(I106)</f>
        <v>0</v>
      </c>
      <c r="J107" s="695">
        <f t="shared" si="14"/>
        <v>185000</v>
      </c>
      <c r="K107" s="695">
        <f t="shared" si="14"/>
        <v>5309.5</v>
      </c>
      <c r="L107" s="1099">
        <f t="shared" si="14"/>
        <v>32099.49</v>
      </c>
      <c r="M107" s="1145">
        <f t="shared" si="14"/>
        <v>5624</v>
      </c>
      <c r="N107" s="695">
        <f>SUM(N106)</f>
        <v>5010.4799999999996</v>
      </c>
      <c r="O107" s="695">
        <f t="shared" si="14"/>
        <v>48043.47</v>
      </c>
      <c r="P107" s="695">
        <f t="shared" si="14"/>
        <v>136956.53</v>
      </c>
    </row>
    <row r="108" spans="2:16" ht="21" customHeight="1" x14ac:dyDescent="0.25">
      <c r="B108" s="490"/>
      <c r="C108" s="1223"/>
      <c r="D108" s="492"/>
      <c r="E108" s="1015"/>
      <c r="F108" s="856"/>
      <c r="G108" s="857"/>
      <c r="H108" s="695"/>
      <c r="I108" s="1112"/>
      <c r="J108" s="494"/>
      <c r="K108" s="494"/>
      <c r="L108" s="494"/>
      <c r="M108" s="1145"/>
      <c r="N108" s="695"/>
      <c r="O108" s="695"/>
      <c r="P108" s="494"/>
    </row>
    <row r="109" spans="2:16" ht="30" customHeight="1" x14ac:dyDescent="0.25">
      <c r="B109" s="469" t="s">
        <v>1565</v>
      </c>
      <c r="C109" s="1223"/>
      <c r="D109" s="625"/>
      <c r="E109" s="281"/>
      <c r="F109" s="856"/>
      <c r="G109" s="857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s="259" customFormat="1" ht="21" customHeight="1" x14ac:dyDescent="0.25">
      <c r="B110" s="1251" t="s">
        <v>946</v>
      </c>
      <c r="C110" s="1252" t="s">
        <v>806</v>
      </c>
      <c r="D110" s="1246" t="s">
        <v>945</v>
      </c>
      <c r="E110" s="1247" t="s">
        <v>1063</v>
      </c>
      <c r="F110" s="855">
        <v>45931</v>
      </c>
      <c r="G110" s="855">
        <v>46082</v>
      </c>
      <c r="H110" s="1100">
        <v>65000</v>
      </c>
      <c r="I110" s="1249">
        <v>0</v>
      </c>
      <c r="J110" s="1100">
        <v>65000</v>
      </c>
      <c r="K110" s="1100">
        <v>1865.5</v>
      </c>
      <c r="L110" s="1103">
        <v>4043.62</v>
      </c>
      <c r="M110" s="1250">
        <v>1976</v>
      </c>
      <c r="N110" s="626">
        <v>10233.58</v>
      </c>
      <c r="O110" s="468">
        <f>SUM(K110:N110)</f>
        <v>18118.7</v>
      </c>
      <c r="P110" s="675">
        <f>+J110-O110</f>
        <v>46881.3</v>
      </c>
    </row>
    <row r="111" spans="2:16" ht="21" customHeight="1" x14ac:dyDescent="0.25">
      <c r="B111" s="1384" t="s">
        <v>1697</v>
      </c>
      <c r="C111" s="1322" t="s">
        <v>806</v>
      </c>
      <c r="D111" s="1246" t="s">
        <v>945</v>
      </c>
      <c r="E111" s="1247" t="s">
        <v>1063</v>
      </c>
      <c r="F111" s="855">
        <v>45931</v>
      </c>
      <c r="G111" s="855">
        <v>46082</v>
      </c>
      <c r="H111" s="626">
        <v>70000</v>
      </c>
      <c r="I111" s="1249">
        <v>0</v>
      </c>
      <c r="J111" s="1323">
        <v>70000</v>
      </c>
      <c r="K111" s="1323">
        <v>2009</v>
      </c>
      <c r="L111" s="1323">
        <v>5368.48</v>
      </c>
      <c r="M111" s="1150">
        <v>2128</v>
      </c>
      <c r="N111" s="1323">
        <v>25</v>
      </c>
      <c r="O111" s="1038">
        <f>SUM(K111:N111)</f>
        <v>9530.48</v>
      </c>
      <c r="P111" s="1038">
        <f>+H111-O111</f>
        <v>60469.520000000004</v>
      </c>
    </row>
    <row r="112" spans="2:16" ht="21" customHeight="1" x14ac:dyDescent="0.25">
      <c r="B112" s="460" t="s">
        <v>1593</v>
      </c>
      <c r="C112" s="1226" t="s">
        <v>806</v>
      </c>
      <c r="D112" s="625" t="s">
        <v>1773</v>
      </c>
      <c r="E112" s="281" t="s">
        <v>1063</v>
      </c>
      <c r="F112" s="855">
        <v>45931</v>
      </c>
      <c r="G112" s="855">
        <v>46082</v>
      </c>
      <c r="H112" s="626">
        <v>65000</v>
      </c>
      <c r="I112" s="1169">
        <v>0</v>
      </c>
      <c r="J112" s="626">
        <v>65000</v>
      </c>
      <c r="K112" s="626">
        <v>1865.5</v>
      </c>
      <c r="L112" s="626">
        <v>4427.58</v>
      </c>
      <c r="M112" s="1149">
        <v>1976</v>
      </c>
      <c r="N112" s="626">
        <v>25</v>
      </c>
      <c r="O112" s="468">
        <f>+K112+L112+M112+N112</f>
        <v>8294.08</v>
      </c>
      <c r="P112" s="468">
        <f>+J112-O112</f>
        <v>56705.919999999998</v>
      </c>
    </row>
    <row r="113" spans="2:16" ht="21" customHeight="1" x14ac:dyDescent="0.25">
      <c r="B113" s="466" t="s">
        <v>813</v>
      </c>
      <c r="C113" s="569"/>
      <c r="D113" s="492">
        <v>3</v>
      </c>
      <c r="E113" s="1015"/>
      <c r="F113" s="1016"/>
      <c r="G113" s="860"/>
      <c r="H113" s="695">
        <f>SUM(H110:H112)</f>
        <v>200000</v>
      </c>
      <c r="I113" s="1144">
        <f>SUM(I112)</f>
        <v>0</v>
      </c>
      <c r="J113" s="695">
        <f t="shared" ref="J113:P113" si="15">SUM(J110:J112)</f>
        <v>200000</v>
      </c>
      <c r="K113" s="695">
        <f t="shared" si="15"/>
        <v>5740</v>
      </c>
      <c r="L113" s="1099">
        <f t="shared" si="15"/>
        <v>13839.679999999998</v>
      </c>
      <c r="M113" s="1145">
        <f t="shared" si="15"/>
        <v>6080</v>
      </c>
      <c r="N113" s="695">
        <f t="shared" si="15"/>
        <v>10283.58</v>
      </c>
      <c r="O113" s="695">
        <f t="shared" si="15"/>
        <v>35943.26</v>
      </c>
      <c r="P113" s="695">
        <f t="shared" si="15"/>
        <v>164056.74</v>
      </c>
    </row>
    <row r="114" spans="2:16" ht="21" customHeight="1" x14ac:dyDescent="0.25">
      <c r="B114" s="490"/>
      <c r="C114" s="1223"/>
      <c r="D114" s="492"/>
      <c r="E114" s="1015"/>
      <c r="F114" s="859"/>
      <c r="G114" s="860"/>
      <c r="H114" s="695"/>
      <c r="I114" s="1112"/>
      <c r="J114" s="494"/>
      <c r="K114" s="494"/>
      <c r="L114" s="494"/>
      <c r="M114" s="1145"/>
      <c r="N114" s="695"/>
      <c r="O114" s="695"/>
      <c r="P114" s="494"/>
    </row>
    <row r="115" spans="2:16" ht="21" customHeight="1" x14ac:dyDescent="0.25">
      <c r="B115" s="490" t="s">
        <v>1421</v>
      </c>
      <c r="C115" s="1223"/>
      <c r="D115" s="492"/>
      <c r="E115" s="1015"/>
      <c r="F115" s="859"/>
      <c r="G115" s="860"/>
      <c r="H115" s="695"/>
      <c r="I115" s="1112"/>
      <c r="J115" s="494"/>
      <c r="K115" s="494"/>
      <c r="L115" s="494"/>
      <c r="M115" s="1145"/>
      <c r="N115" s="695"/>
      <c r="O115" s="695"/>
      <c r="P115" s="494"/>
    </row>
    <row r="116" spans="2:16" ht="30.75" customHeight="1" x14ac:dyDescent="0.25">
      <c r="B116" s="153" t="s">
        <v>1594</v>
      </c>
      <c r="C116" s="685" t="s">
        <v>807</v>
      </c>
      <c r="D116" s="282" t="s">
        <v>1422</v>
      </c>
      <c r="E116" s="281" t="s">
        <v>1063</v>
      </c>
      <c r="F116" s="855">
        <v>45931</v>
      </c>
      <c r="G116" s="855">
        <v>46082</v>
      </c>
      <c r="H116" s="626">
        <v>100000</v>
      </c>
      <c r="I116" s="1111">
        <v>0</v>
      </c>
      <c r="J116" s="498">
        <v>100000</v>
      </c>
      <c r="K116" s="498">
        <v>2870</v>
      </c>
      <c r="L116" s="498">
        <v>11625.42</v>
      </c>
      <c r="M116" s="1149">
        <v>3040</v>
      </c>
      <c r="N116" s="626">
        <v>5558.92</v>
      </c>
      <c r="O116" s="468">
        <f>+K116+L116+M116+N116</f>
        <v>23094.339999999997</v>
      </c>
      <c r="P116" s="468">
        <f>+J116-O116</f>
        <v>76905.66</v>
      </c>
    </row>
    <row r="117" spans="2:16" ht="21" customHeight="1" x14ac:dyDescent="0.25">
      <c r="B117" s="466" t="s">
        <v>813</v>
      </c>
      <c r="C117" s="685"/>
      <c r="D117" s="492">
        <v>1</v>
      </c>
      <c r="E117" s="281"/>
      <c r="F117" s="859"/>
      <c r="G117" s="860"/>
      <c r="H117" s="695">
        <v>100000</v>
      </c>
      <c r="I117" s="1112">
        <v>0</v>
      </c>
      <c r="J117" s="494">
        <v>100000</v>
      </c>
      <c r="K117" s="494">
        <v>2870</v>
      </c>
      <c r="L117" s="1099">
        <v>11625.42</v>
      </c>
      <c r="M117" s="1145">
        <v>3040</v>
      </c>
      <c r="N117" s="695">
        <f>SUM(N116)</f>
        <v>5558.92</v>
      </c>
      <c r="O117" s="697">
        <f>SUM(O116)</f>
        <v>23094.339999999997</v>
      </c>
      <c r="P117" s="494">
        <f>SUM(P116)</f>
        <v>76905.66</v>
      </c>
    </row>
    <row r="118" spans="2:16" ht="21" customHeight="1" x14ac:dyDescent="0.25">
      <c r="B118" s="286"/>
      <c r="C118" s="685"/>
      <c r="D118" s="282"/>
      <c r="E118" s="1015"/>
      <c r="F118" s="859"/>
      <c r="G118" s="860"/>
      <c r="H118" s="695"/>
      <c r="I118" s="1112"/>
      <c r="J118" s="494"/>
      <c r="K118" s="494"/>
      <c r="L118" s="494"/>
      <c r="M118" s="1145"/>
      <c r="N118" s="695"/>
      <c r="O118" s="695"/>
      <c r="P118" s="494"/>
    </row>
    <row r="119" spans="2:16" ht="28.5" customHeight="1" x14ac:dyDescent="0.25">
      <c r="B119" s="1014" t="s">
        <v>1477</v>
      </c>
      <c r="C119" s="570"/>
      <c r="D119" s="492"/>
      <c r="E119" s="465"/>
      <c r="F119" s="1016"/>
      <c r="G119" s="860"/>
      <c r="H119" s="695"/>
      <c r="I119" s="1144"/>
      <c r="J119" s="697"/>
      <c r="K119" s="697"/>
      <c r="L119" s="697"/>
      <c r="M119" s="1145"/>
      <c r="N119" s="697"/>
      <c r="O119" s="697"/>
      <c r="P119" s="697"/>
    </row>
    <row r="120" spans="2:16" s="259" customFormat="1" ht="33" customHeight="1" x14ac:dyDescent="0.25">
      <c r="B120" s="1251" t="s">
        <v>1752</v>
      </c>
      <c r="C120" s="1252" t="s">
        <v>807</v>
      </c>
      <c r="D120" s="1246" t="s">
        <v>1753</v>
      </c>
      <c r="E120" s="1247" t="s">
        <v>1063</v>
      </c>
      <c r="F120" s="855">
        <v>45839</v>
      </c>
      <c r="G120" s="855">
        <v>45992</v>
      </c>
      <c r="H120" s="1100">
        <v>120000</v>
      </c>
      <c r="I120" s="1249">
        <v>0</v>
      </c>
      <c r="J120" s="1100">
        <v>120000</v>
      </c>
      <c r="K120" s="1100">
        <v>3444</v>
      </c>
      <c r="L120" s="1103">
        <v>16809.87</v>
      </c>
      <c r="M120" s="1250">
        <v>3648</v>
      </c>
      <c r="N120" s="626">
        <v>1296.7</v>
      </c>
      <c r="O120" s="468">
        <f t="shared" ref="O120:O126" si="16">+K120+L120+M120+N120</f>
        <v>25198.57</v>
      </c>
      <c r="P120" s="675">
        <f>+J120-O120</f>
        <v>94801.43</v>
      </c>
    </row>
    <row r="121" spans="2:16" ht="21" customHeight="1" x14ac:dyDescent="0.25">
      <c r="B121" s="1017" t="s">
        <v>1595</v>
      </c>
      <c r="C121" s="1227" t="s">
        <v>806</v>
      </c>
      <c r="D121" s="282" t="s">
        <v>414</v>
      </c>
      <c r="E121" s="281" t="s">
        <v>1063</v>
      </c>
      <c r="F121" s="855">
        <v>45931</v>
      </c>
      <c r="G121" s="855">
        <v>46082</v>
      </c>
      <c r="H121" s="626">
        <v>70000</v>
      </c>
      <c r="I121" s="1169">
        <v>0</v>
      </c>
      <c r="J121" s="468">
        <v>70000</v>
      </c>
      <c r="K121" s="468">
        <v>2009</v>
      </c>
      <c r="L121" s="468">
        <v>5368.48</v>
      </c>
      <c r="M121" s="1149">
        <v>2128</v>
      </c>
      <c r="N121" s="468">
        <v>25</v>
      </c>
      <c r="O121" s="468">
        <f t="shared" si="16"/>
        <v>9530.48</v>
      </c>
      <c r="P121" s="468">
        <f>+J121-O121</f>
        <v>60469.520000000004</v>
      </c>
    </row>
    <row r="122" spans="2:16" ht="21" customHeight="1" x14ac:dyDescent="0.25">
      <c r="B122" s="153" t="s">
        <v>1596</v>
      </c>
      <c r="C122" s="685" t="s">
        <v>807</v>
      </c>
      <c r="D122" s="282" t="s">
        <v>414</v>
      </c>
      <c r="E122" s="281" t="s">
        <v>1063</v>
      </c>
      <c r="F122" s="855">
        <v>45931</v>
      </c>
      <c r="G122" s="855">
        <v>46082</v>
      </c>
      <c r="H122" s="626">
        <v>70000</v>
      </c>
      <c r="I122" s="1169">
        <v>0</v>
      </c>
      <c r="J122" s="468">
        <v>70000</v>
      </c>
      <c r="K122" s="468">
        <v>2009</v>
      </c>
      <c r="L122" s="468">
        <v>4984.5200000000004</v>
      </c>
      <c r="M122" s="1149">
        <v>2128</v>
      </c>
      <c r="N122" s="468">
        <v>1944.78</v>
      </c>
      <c r="O122" s="468">
        <f t="shared" si="16"/>
        <v>11066.300000000001</v>
      </c>
      <c r="P122" s="468">
        <f t="shared" ref="P122:P126" si="17">+J122-O122</f>
        <v>58933.7</v>
      </c>
    </row>
    <row r="123" spans="2:16" ht="21" customHeight="1" x14ac:dyDescent="0.25">
      <c r="B123" s="286" t="s">
        <v>610</v>
      </c>
      <c r="C123" s="685" t="s">
        <v>806</v>
      </c>
      <c r="D123" s="282" t="s">
        <v>414</v>
      </c>
      <c r="E123" s="281" t="s">
        <v>1063</v>
      </c>
      <c r="F123" s="855">
        <v>45931</v>
      </c>
      <c r="G123" s="855">
        <v>46082</v>
      </c>
      <c r="H123" s="626">
        <v>70000</v>
      </c>
      <c r="I123" s="1169">
        <v>0</v>
      </c>
      <c r="J123" s="468">
        <v>70000</v>
      </c>
      <c r="K123" s="468">
        <v>2009</v>
      </c>
      <c r="L123" s="468">
        <v>5368.48</v>
      </c>
      <c r="M123" s="1149">
        <v>2128</v>
      </c>
      <c r="N123" s="468">
        <v>25</v>
      </c>
      <c r="O123" s="468">
        <f t="shared" si="16"/>
        <v>9530.48</v>
      </c>
      <c r="P123" s="468">
        <f t="shared" si="17"/>
        <v>60469.520000000004</v>
      </c>
    </row>
    <row r="124" spans="2:16" ht="21" customHeight="1" x14ac:dyDescent="0.25">
      <c r="B124" s="153" t="s">
        <v>1792</v>
      </c>
      <c r="C124" s="685" t="s">
        <v>806</v>
      </c>
      <c r="D124" s="282" t="s">
        <v>414</v>
      </c>
      <c r="E124" s="281" t="s">
        <v>1063</v>
      </c>
      <c r="F124" s="855">
        <v>45931</v>
      </c>
      <c r="G124" s="855">
        <v>46082</v>
      </c>
      <c r="H124" s="626">
        <v>70000</v>
      </c>
      <c r="I124" s="1169">
        <v>0</v>
      </c>
      <c r="J124" s="468">
        <v>70000</v>
      </c>
      <c r="K124" s="468">
        <v>2009</v>
      </c>
      <c r="L124" s="468">
        <v>5368.48</v>
      </c>
      <c r="M124" s="1149">
        <v>2128</v>
      </c>
      <c r="N124" s="468">
        <v>25</v>
      </c>
      <c r="O124" s="468">
        <f t="shared" si="16"/>
        <v>9530.48</v>
      </c>
      <c r="P124" s="468">
        <f t="shared" si="17"/>
        <v>60469.520000000004</v>
      </c>
    </row>
    <row r="125" spans="2:16" ht="21" customHeight="1" x14ac:dyDescent="0.25">
      <c r="B125" s="286" t="s">
        <v>1295</v>
      </c>
      <c r="C125" s="685" t="s">
        <v>1296</v>
      </c>
      <c r="D125" s="282" t="s">
        <v>414</v>
      </c>
      <c r="E125" s="281" t="s">
        <v>1063</v>
      </c>
      <c r="F125" s="855">
        <v>45931</v>
      </c>
      <c r="G125" s="855">
        <v>46082</v>
      </c>
      <c r="H125" s="626">
        <v>70000</v>
      </c>
      <c r="I125" s="1169">
        <v>0</v>
      </c>
      <c r="J125" s="468">
        <v>70000</v>
      </c>
      <c r="K125" s="468">
        <v>2009</v>
      </c>
      <c r="L125" s="468">
        <v>4984.5200000000004</v>
      </c>
      <c r="M125" s="1149">
        <v>2128</v>
      </c>
      <c r="N125" s="468">
        <v>1944.78</v>
      </c>
      <c r="O125" s="468">
        <f t="shared" si="16"/>
        <v>11066.300000000001</v>
      </c>
      <c r="P125" s="468">
        <f t="shared" si="17"/>
        <v>58933.7</v>
      </c>
    </row>
    <row r="126" spans="2:16" ht="21" customHeight="1" x14ac:dyDescent="0.25">
      <c r="B126" s="286" t="s">
        <v>1293</v>
      </c>
      <c r="C126" s="685" t="s">
        <v>807</v>
      </c>
      <c r="D126" s="282" t="s">
        <v>1294</v>
      </c>
      <c r="E126" s="281" t="s">
        <v>1063</v>
      </c>
      <c r="F126" s="1084">
        <v>45870</v>
      </c>
      <c r="G126" s="1084">
        <v>46023</v>
      </c>
      <c r="H126" s="626">
        <v>55000</v>
      </c>
      <c r="I126" s="1169">
        <v>0</v>
      </c>
      <c r="J126" s="468">
        <v>55000</v>
      </c>
      <c r="K126" s="468">
        <v>1578.5</v>
      </c>
      <c r="L126" s="468">
        <v>2559.6799999999998</v>
      </c>
      <c r="M126" s="1149">
        <v>1672</v>
      </c>
      <c r="N126" s="468">
        <v>25</v>
      </c>
      <c r="O126" s="468">
        <f t="shared" si="16"/>
        <v>5835.18</v>
      </c>
      <c r="P126" s="468">
        <f t="shared" si="17"/>
        <v>49164.82</v>
      </c>
    </row>
    <row r="127" spans="2:16" ht="21" customHeight="1" x14ac:dyDescent="0.25">
      <c r="B127" s="466" t="s">
        <v>813</v>
      </c>
      <c r="C127" s="569"/>
      <c r="D127" s="492">
        <v>7</v>
      </c>
      <c r="E127" s="465"/>
      <c r="F127" s="1016"/>
      <c r="G127" s="860"/>
      <c r="H127" s="695">
        <f>SUM(H120:H126)</f>
        <v>525000</v>
      </c>
      <c r="I127" s="1144">
        <f t="shared" ref="I127" si="18">SUM(I126)</f>
        <v>0</v>
      </c>
      <c r="J127" s="695">
        <f>SUM(J120:J126)</f>
        <v>525000</v>
      </c>
      <c r="K127" s="695">
        <f t="shared" ref="K127:O127" si="19">SUM(K120:K126)</f>
        <v>15067.5</v>
      </c>
      <c r="L127" s="1099">
        <f t="shared" si="19"/>
        <v>45444.030000000006</v>
      </c>
      <c r="M127" s="695">
        <f t="shared" si="19"/>
        <v>15960</v>
      </c>
      <c r="N127" s="695">
        <f t="shared" si="19"/>
        <v>5286.26</v>
      </c>
      <c r="O127" s="695">
        <f t="shared" si="19"/>
        <v>81757.790000000008</v>
      </c>
      <c r="P127" s="695">
        <f>SUM(P120:P126)</f>
        <v>443242.21000000008</v>
      </c>
    </row>
    <row r="128" spans="2:16" ht="21" customHeight="1" x14ac:dyDescent="0.25">
      <c r="B128" s="490"/>
      <c r="C128" s="1223"/>
      <c r="D128" s="492"/>
      <c r="E128" s="465"/>
      <c r="F128" s="856"/>
      <c r="G128" s="857"/>
      <c r="H128" s="695"/>
      <c r="I128" s="1112"/>
      <c r="J128" s="463"/>
      <c r="K128" s="463"/>
      <c r="L128" s="463"/>
      <c r="M128" s="1145"/>
      <c r="N128" s="697"/>
      <c r="O128" s="697"/>
      <c r="P128" s="463"/>
    </row>
    <row r="129" spans="2:16" ht="30" customHeight="1" x14ac:dyDescent="0.25">
      <c r="B129" s="1014" t="s">
        <v>1476</v>
      </c>
      <c r="C129" s="570"/>
      <c r="D129" s="492"/>
      <c r="E129" s="465"/>
      <c r="F129" s="1019"/>
      <c r="G129" s="857"/>
      <c r="H129" s="695"/>
      <c r="I129" s="1144"/>
      <c r="J129" s="697"/>
      <c r="K129" s="697"/>
      <c r="L129" s="697"/>
      <c r="M129" s="1145"/>
      <c r="N129" s="697"/>
      <c r="O129" s="697"/>
      <c r="P129" s="697"/>
    </row>
    <row r="130" spans="2:16" ht="28.5" customHeight="1" x14ac:dyDescent="0.25">
      <c r="B130" s="153" t="s">
        <v>1754</v>
      </c>
      <c r="C130" s="684" t="s">
        <v>807</v>
      </c>
      <c r="D130" s="749" t="s">
        <v>1755</v>
      </c>
      <c r="E130" s="637" t="s">
        <v>1281</v>
      </c>
      <c r="F130" s="855">
        <v>45809</v>
      </c>
      <c r="G130" s="855">
        <v>45992</v>
      </c>
      <c r="H130" s="626">
        <v>120000</v>
      </c>
      <c r="I130" s="1111">
        <v>0</v>
      </c>
      <c r="J130" s="498">
        <v>120000</v>
      </c>
      <c r="K130" s="498">
        <v>3444</v>
      </c>
      <c r="L130" s="498">
        <v>16809.87</v>
      </c>
      <c r="M130" s="1149">
        <v>3648</v>
      </c>
      <c r="N130" s="626">
        <v>2568.4</v>
      </c>
      <c r="O130" s="468">
        <f>+K130+L130+M130+N130</f>
        <v>26470.27</v>
      </c>
      <c r="P130" s="457">
        <f>+J130-O130</f>
        <v>93529.73</v>
      </c>
    </row>
    <row r="131" spans="2:16" ht="28.5" customHeight="1" x14ac:dyDescent="0.25">
      <c r="B131" s="466" t="s">
        <v>813</v>
      </c>
      <c r="C131" s="684"/>
      <c r="D131" s="492">
        <v>1</v>
      </c>
      <c r="E131" s="637"/>
      <c r="F131" s="855"/>
      <c r="G131" s="855"/>
      <c r="H131" s="695">
        <f>SUM(H129:H130)</f>
        <v>120000</v>
      </c>
      <c r="I131" s="1112">
        <v>0</v>
      </c>
      <c r="J131" s="695">
        <f t="shared" ref="J131:O131" si="20">SUM(J129:J130)</f>
        <v>120000</v>
      </c>
      <c r="K131" s="695">
        <f t="shared" si="20"/>
        <v>3444</v>
      </c>
      <c r="L131" s="1099">
        <f t="shared" si="20"/>
        <v>16809.87</v>
      </c>
      <c r="M131" s="695">
        <f t="shared" si="20"/>
        <v>3648</v>
      </c>
      <c r="N131" s="695">
        <f>SUM(N129:N130)</f>
        <v>2568.4</v>
      </c>
      <c r="O131" s="695">
        <f t="shared" si="20"/>
        <v>26470.27</v>
      </c>
      <c r="P131" s="695">
        <f>SUM(P129:P130)</f>
        <v>93529.73</v>
      </c>
    </row>
    <row r="132" spans="2:16" ht="21" customHeight="1" x14ac:dyDescent="0.25">
      <c r="B132" s="490"/>
      <c r="C132" s="1223"/>
      <c r="D132" s="492"/>
      <c r="E132" s="465"/>
      <c r="F132" s="859"/>
      <c r="G132" s="860"/>
      <c r="H132" s="695"/>
      <c r="I132" s="1112"/>
      <c r="J132" s="494"/>
      <c r="K132" s="494"/>
      <c r="L132" s="494"/>
      <c r="M132" s="1145"/>
      <c r="N132" s="695"/>
      <c r="O132" s="695"/>
      <c r="P132" s="494"/>
    </row>
    <row r="133" spans="2:16" ht="21" customHeight="1" x14ac:dyDescent="0.25">
      <c r="B133" s="466" t="s">
        <v>827</v>
      </c>
      <c r="C133" s="569"/>
      <c r="D133" s="492"/>
      <c r="E133" s="465"/>
      <c r="F133" s="1272"/>
      <c r="G133" s="711"/>
      <c r="H133" s="695"/>
      <c r="I133" s="1144"/>
      <c r="J133" s="697"/>
      <c r="K133" s="697"/>
      <c r="L133" s="697"/>
      <c r="M133" s="1145"/>
      <c r="N133" s="697"/>
      <c r="O133" s="697"/>
      <c r="P133" s="697"/>
    </row>
    <row r="134" spans="2:16" ht="21" customHeight="1" x14ac:dyDescent="0.25">
      <c r="B134" s="490" t="s">
        <v>1788</v>
      </c>
      <c r="C134" s="1223"/>
      <c r="D134" s="492"/>
      <c r="E134" s="465"/>
      <c r="F134" s="710"/>
      <c r="G134" s="711"/>
      <c r="H134" s="695"/>
      <c r="I134" s="1112"/>
      <c r="J134" s="463"/>
      <c r="K134" s="463"/>
      <c r="L134" s="463"/>
      <c r="M134" s="1145"/>
      <c r="N134" s="697"/>
      <c r="O134" s="697"/>
      <c r="P134" s="463"/>
    </row>
    <row r="135" spans="2:16" ht="30" customHeight="1" x14ac:dyDescent="0.25">
      <c r="B135" s="153" t="s">
        <v>1602</v>
      </c>
      <c r="C135" s="281" t="s">
        <v>807</v>
      </c>
      <c r="D135" s="282" t="s">
        <v>1032</v>
      </c>
      <c r="E135" s="281" t="s">
        <v>1063</v>
      </c>
      <c r="F135" s="855">
        <v>45931</v>
      </c>
      <c r="G135" s="855">
        <v>46082</v>
      </c>
      <c r="H135" s="626">
        <v>70000</v>
      </c>
      <c r="I135" s="1169">
        <v>0</v>
      </c>
      <c r="J135" s="468">
        <v>70000</v>
      </c>
      <c r="K135" s="468">
        <v>2009</v>
      </c>
      <c r="L135" s="468">
        <v>5368.48</v>
      </c>
      <c r="M135" s="1149">
        <v>2128</v>
      </c>
      <c r="N135" s="468">
        <v>25</v>
      </c>
      <c r="O135" s="468">
        <f>+K135+L135+M135+N135</f>
        <v>9530.48</v>
      </c>
      <c r="P135" s="468">
        <f>+J135-O135</f>
        <v>60469.520000000004</v>
      </c>
    </row>
    <row r="136" spans="2:16" ht="30" customHeight="1" x14ac:dyDescent="0.25">
      <c r="B136" s="153" t="s">
        <v>1613</v>
      </c>
      <c r="C136" s="281" t="s">
        <v>807</v>
      </c>
      <c r="D136" s="282" t="s">
        <v>417</v>
      </c>
      <c r="E136" s="281" t="s">
        <v>1063</v>
      </c>
      <c r="F136" s="855">
        <v>45931</v>
      </c>
      <c r="G136" s="855">
        <v>46082</v>
      </c>
      <c r="H136" s="626">
        <v>70000</v>
      </c>
      <c r="I136" s="1169">
        <v>0</v>
      </c>
      <c r="J136" s="468">
        <v>70000</v>
      </c>
      <c r="K136" s="468">
        <v>2009</v>
      </c>
      <c r="L136" s="468">
        <v>4600.5600000000004</v>
      </c>
      <c r="M136" s="1149">
        <v>2128</v>
      </c>
      <c r="N136" s="468">
        <v>3864.56</v>
      </c>
      <c r="O136" s="468">
        <f>+K136+L136+M136+N136</f>
        <v>12602.12</v>
      </c>
      <c r="P136" s="468">
        <f>+J136-O136</f>
        <v>57397.88</v>
      </c>
    </row>
    <row r="137" spans="2:16" ht="30" customHeight="1" x14ac:dyDescent="0.25">
      <c r="B137" s="153" t="s">
        <v>1606</v>
      </c>
      <c r="C137" s="281" t="s">
        <v>807</v>
      </c>
      <c r="D137" s="282" t="s">
        <v>414</v>
      </c>
      <c r="E137" s="281" t="s">
        <v>1063</v>
      </c>
      <c r="F137" s="855">
        <v>45931</v>
      </c>
      <c r="G137" s="855">
        <v>46082</v>
      </c>
      <c r="H137" s="626">
        <v>70000</v>
      </c>
      <c r="I137" s="1169">
        <v>0</v>
      </c>
      <c r="J137" s="468">
        <v>70000</v>
      </c>
      <c r="K137" s="468">
        <v>2009</v>
      </c>
      <c r="L137" s="861">
        <v>4984.5200000000004</v>
      </c>
      <c r="M137" s="1149">
        <v>2128</v>
      </c>
      <c r="N137" s="468">
        <v>1944.78</v>
      </c>
      <c r="O137" s="468">
        <f t="shared" ref="O137:O142" si="21">+K137+L137+M137+N137</f>
        <v>11066.300000000001</v>
      </c>
      <c r="P137" s="468">
        <f t="shared" ref="P137:P144" si="22">+J137-O137</f>
        <v>58933.7</v>
      </c>
    </row>
    <row r="138" spans="2:16" ht="30" customHeight="1" x14ac:dyDescent="0.25">
      <c r="B138" s="286" t="s">
        <v>725</v>
      </c>
      <c r="C138" s="281" t="s">
        <v>806</v>
      </c>
      <c r="D138" s="282" t="s">
        <v>823</v>
      </c>
      <c r="E138" s="281" t="s">
        <v>1063</v>
      </c>
      <c r="F138" s="855">
        <v>45931</v>
      </c>
      <c r="G138" s="855">
        <v>46082</v>
      </c>
      <c r="H138" s="626">
        <v>70000</v>
      </c>
      <c r="I138" s="1169">
        <v>0</v>
      </c>
      <c r="J138" s="468">
        <v>70000</v>
      </c>
      <c r="K138" s="468">
        <v>2009</v>
      </c>
      <c r="L138" s="468">
        <v>5368.48</v>
      </c>
      <c r="M138" s="1149">
        <v>2128</v>
      </c>
      <c r="N138" s="468">
        <v>25</v>
      </c>
      <c r="O138" s="468">
        <f t="shared" si="21"/>
        <v>9530.48</v>
      </c>
      <c r="P138" s="468">
        <f t="shared" si="22"/>
        <v>60469.520000000004</v>
      </c>
    </row>
    <row r="139" spans="2:16" ht="30" customHeight="1" x14ac:dyDescent="0.25">
      <c r="B139" s="153" t="s">
        <v>1735</v>
      </c>
      <c r="C139" s="281" t="s">
        <v>806</v>
      </c>
      <c r="D139" s="282" t="s">
        <v>414</v>
      </c>
      <c r="E139" s="281" t="s">
        <v>1063</v>
      </c>
      <c r="F139" s="855">
        <v>45931</v>
      </c>
      <c r="G139" s="855">
        <v>46082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21"/>
        <v>9530.48</v>
      </c>
      <c r="P139" s="468">
        <f t="shared" si="22"/>
        <v>60469.520000000004</v>
      </c>
    </row>
    <row r="140" spans="2:16" ht="30" customHeight="1" x14ac:dyDescent="0.25">
      <c r="B140" s="153" t="s">
        <v>1609</v>
      </c>
      <c r="C140" s="281" t="s">
        <v>807</v>
      </c>
      <c r="D140" s="282" t="s">
        <v>414</v>
      </c>
      <c r="E140" s="281" t="s">
        <v>1063</v>
      </c>
      <c r="F140" s="855">
        <v>45931</v>
      </c>
      <c r="G140" s="855">
        <v>46082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21"/>
        <v>9530.48</v>
      </c>
      <c r="P140" s="468">
        <f t="shared" si="22"/>
        <v>60469.520000000004</v>
      </c>
    </row>
    <row r="141" spans="2:16" ht="30" customHeight="1" x14ac:dyDescent="0.25">
      <c r="B141" s="286" t="s">
        <v>1409</v>
      </c>
      <c r="C141" s="281" t="s">
        <v>807</v>
      </c>
      <c r="D141" s="282" t="s">
        <v>414</v>
      </c>
      <c r="E141" s="281" t="s">
        <v>1063</v>
      </c>
      <c r="F141" s="855">
        <v>45839</v>
      </c>
      <c r="G141" s="855">
        <v>45992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21"/>
        <v>9530.48</v>
      </c>
      <c r="P141" s="468">
        <f t="shared" si="22"/>
        <v>60469.520000000004</v>
      </c>
    </row>
    <row r="142" spans="2:16" ht="30" customHeight="1" x14ac:dyDescent="0.25">
      <c r="B142" s="286" t="s">
        <v>1787</v>
      </c>
      <c r="C142" s="281" t="s">
        <v>806</v>
      </c>
      <c r="D142" s="282" t="s">
        <v>823</v>
      </c>
      <c r="E142" s="281" t="s">
        <v>1063</v>
      </c>
      <c r="F142" s="855">
        <v>45839</v>
      </c>
      <c r="G142" s="855">
        <v>45992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21"/>
        <v>9530.48</v>
      </c>
      <c r="P142" s="468">
        <f t="shared" si="22"/>
        <v>60469.520000000004</v>
      </c>
    </row>
    <row r="143" spans="2:16" ht="30" customHeight="1" x14ac:dyDescent="0.25">
      <c r="B143" s="153" t="s">
        <v>1622</v>
      </c>
      <c r="C143" s="281" t="s">
        <v>806</v>
      </c>
      <c r="D143" s="282" t="s">
        <v>1357</v>
      </c>
      <c r="E143" s="281" t="s">
        <v>1063</v>
      </c>
      <c r="F143" s="855">
        <v>45931</v>
      </c>
      <c r="G143" s="855">
        <v>46082</v>
      </c>
      <c r="H143" s="626">
        <v>125000</v>
      </c>
      <c r="I143" s="1169">
        <v>0</v>
      </c>
      <c r="J143" s="468">
        <v>125000</v>
      </c>
      <c r="K143" s="1038">
        <v>3587.5</v>
      </c>
      <c r="L143" s="1037">
        <v>17985.990000000002</v>
      </c>
      <c r="M143" s="1150">
        <v>3800</v>
      </c>
      <c r="N143" s="1038">
        <v>25</v>
      </c>
      <c r="O143" s="468">
        <f>+K143+L143+M143+N143</f>
        <v>25398.49</v>
      </c>
      <c r="P143" s="468">
        <f t="shared" si="22"/>
        <v>99601.51</v>
      </c>
    </row>
    <row r="144" spans="2:16" ht="30" customHeight="1" x14ac:dyDescent="0.25">
      <c r="B144" s="153" t="s">
        <v>1624</v>
      </c>
      <c r="C144" s="281" t="s">
        <v>806</v>
      </c>
      <c r="D144" s="282" t="s">
        <v>1683</v>
      </c>
      <c r="E144" s="281" t="s">
        <v>1063</v>
      </c>
      <c r="F144" s="855">
        <v>45931</v>
      </c>
      <c r="G144" s="855">
        <v>46082</v>
      </c>
      <c r="H144" s="626">
        <v>55000</v>
      </c>
      <c r="I144" s="1169">
        <v>0</v>
      </c>
      <c r="J144" s="468">
        <v>55000</v>
      </c>
      <c r="K144" s="468">
        <v>1578.5</v>
      </c>
      <c r="L144" s="468">
        <v>2271.71</v>
      </c>
      <c r="M144" s="1149">
        <v>1672</v>
      </c>
      <c r="N144" s="468">
        <v>1944.78</v>
      </c>
      <c r="O144" s="468">
        <f t="shared" ref="O144" si="23">+K144+L144+M144+N144</f>
        <v>7466.99</v>
      </c>
      <c r="P144" s="468">
        <f t="shared" si="22"/>
        <v>47533.01</v>
      </c>
    </row>
    <row r="145" spans="2:16" ht="21" customHeight="1" x14ac:dyDescent="0.25">
      <c r="B145" s="466" t="s">
        <v>813</v>
      </c>
      <c r="C145" s="569"/>
      <c r="D145" s="492">
        <v>10</v>
      </c>
      <c r="E145" s="465"/>
      <c r="F145" s="1016"/>
      <c r="G145" s="860"/>
      <c r="H145" s="695">
        <f>SUM(H135:H144)</f>
        <v>740000</v>
      </c>
      <c r="I145" s="1144">
        <v>0</v>
      </c>
      <c r="J145" s="695">
        <f t="shared" ref="J145:P145" si="24">SUM(J135:J144)</f>
        <v>740000</v>
      </c>
      <c r="K145" s="695">
        <f t="shared" si="24"/>
        <v>21238</v>
      </c>
      <c r="L145" s="695">
        <f t="shared" si="24"/>
        <v>62053.659999999996</v>
      </c>
      <c r="M145" s="695">
        <f t="shared" si="24"/>
        <v>22496</v>
      </c>
      <c r="N145" s="695">
        <f t="shared" si="24"/>
        <v>7929.12</v>
      </c>
      <c r="O145" s="695">
        <f t="shared" si="24"/>
        <v>113716.78</v>
      </c>
      <c r="P145" s="695">
        <f t="shared" si="24"/>
        <v>626283.22000000009</v>
      </c>
    </row>
    <row r="146" spans="2:16" ht="28.5" customHeight="1" x14ac:dyDescent="0.25">
      <c r="B146" s="286"/>
      <c r="C146" s="569"/>
      <c r="D146" s="282"/>
      <c r="E146" s="465"/>
      <c r="F146" s="1272"/>
      <c r="G146" s="711"/>
      <c r="H146" s="695"/>
      <c r="I146" s="1144"/>
      <c r="J146" s="697"/>
      <c r="K146" s="697"/>
      <c r="L146" s="697"/>
      <c r="M146" s="1145"/>
      <c r="N146" s="697"/>
      <c r="O146" s="697"/>
      <c r="P146" s="697"/>
    </row>
    <row r="147" spans="2:16" ht="28.5" customHeight="1" x14ac:dyDescent="0.25">
      <c r="B147" s="1014" t="s">
        <v>1804</v>
      </c>
      <c r="C147" s="569"/>
      <c r="D147" s="28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153" t="s">
        <v>1087</v>
      </c>
      <c r="C148" s="680" t="s">
        <v>807</v>
      </c>
      <c r="D148" s="282" t="s">
        <v>414</v>
      </c>
      <c r="E148" s="281" t="s">
        <v>1063</v>
      </c>
      <c r="F148" s="855">
        <v>45931</v>
      </c>
      <c r="G148" s="855">
        <v>46082</v>
      </c>
      <c r="H148" s="626">
        <v>70000</v>
      </c>
      <c r="I148" s="1169">
        <v>0</v>
      </c>
      <c r="J148" s="628">
        <v>70000</v>
      </c>
      <c r="K148" s="628">
        <v>2009</v>
      </c>
      <c r="L148" s="628">
        <v>5368.48</v>
      </c>
      <c r="M148" s="1149">
        <v>2128</v>
      </c>
      <c r="N148" s="628">
        <v>25</v>
      </c>
      <c r="O148" s="628">
        <f t="shared" ref="O148:O154" si="25">+K148+L148+M148+N148</f>
        <v>9530.48</v>
      </c>
      <c r="P148" s="628">
        <f t="shared" ref="P148:P152" si="26">+J148-O148</f>
        <v>60469.520000000004</v>
      </c>
    </row>
    <row r="149" spans="2:16" ht="28.5" customHeight="1" x14ac:dyDescent="0.25">
      <c r="B149" s="153" t="s">
        <v>1603</v>
      </c>
      <c r="C149" s="281" t="s">
        <v>806</v>
      </c>
      <c r="D149" s="282" t="s">
        <v>489</v>
      </c>
      <c r="E149" s="281" t="s">
        <v>1063</v>
      </c>
      <c r="F149" s="855">
        <v>45931</v>
      </c>
      <c r="G149" s="855">
        <v>46082</v>
      </c>
      <c r="H149" s="626">
        <v>70000</v>
      </c>
      <c r="I149" s="1169">
        <v>0</v>
      </c>
      <c r="J149" s="628">
        <v>70000</v>
      </c>
      <c r="K149" s="628">
        <v>2009</v>
      </c>
      <c r="L149" s="628">
        <v>5368.48</v>
      </c>
      <c r="M149" s="1149">
        <v>2128</v>
      </c>
      <c r="N149" s="628">
        <v>25</v>
      </c>
      <c r="O149" s="628">
        <f t="shared" si="25"/>
        <v>9530.48</v>
      </c>
      <c r="P149" s="628">
        <f t="shared" si="26"/>
        <v>60469.520000000004</v>
      </c>
    </row>
    <row r="150" spans="2:16" ht="28.5" customHeight="1" x14ac:dyDescent="0.25">
      <c r="B150" s="153" t="s">
        <v>1618</v>
      </c>
      <c r="C150" s="281" t="s">
        <v>807</v>
      </c>
      <c r="D150" s="282" t="s">
        <v>414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628">
        <v>70000</v>
      </c>
      <c r="K150" s="628">
        <v>2009</v>
      </c>
      <c r="L150" s="628">
        <v>5368.48</v>
      </c>
      <c r="M150" s="1149">
        <v>2128</v>
      </c>
      <c r="N150" s="628">
        <v>25</v>
      </c>
      <c r="O150" s="628">
        <f t="shared" si="25"/>
        <v>9530.48</v>
      </c>
      <c r="P150" s="628">
        <f t="shared" si="26"/>
        <v>60469.520000000004</v>
      </c>
    </row>
    <row r="151" spans="2:16" ht="28.5" customHeight="1" x14ac:dyDescent="0.25">
      <c r="B151" s="153" t="s">
        <v>1612</v>
      </c>
      <c r="C151" s="281" t="s">
        <v>1296</v>
      </c>
      <c r="D151" s="282" t="s">
        <v>417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628">
        <v>70000</v>
      </c>
      <c r="K151" s="628">
        <v>2009</v>
      </c>
      <c r="L151" s="628">
        <v>5368.48</v>
      </c>
      <c r="M151" s="1149">
        <v>2128</v>
      </c>
      <c r="N151" s="628">
        <v>25</v>
      </c>
      <c r="O151" s="628">
        <f t="shared" si="25"/>
        <v>9530.48</v>
      </c>
      <c r="P151" s="628">
        <f t="shared" si="26"/>
        <v>60469.520000000004</v>
      </c>
    </row>
    <row r="152" spans="2:16" ht="28.5" customHeight="1" x14ac:dyDescent="0.25">
      <c r="B152" s="153" t="s">
        <v>1619</v>
      </c>
      <c r="C152" s="281" t="s">
        <v>806</v>
      </c>
      <c r="D152" s="282" t="s">
        <v>823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628">
        <v>70000</v>
      </c>
      <c r="K152" s="628">
        <v>2009</v>
      </c>
      <c r="L152" s="628">
        <v>4984.5200000000004</v>
      </c>
      <c r="M152" s="1149">
        <v>2128</v>
      </c>
      <c r="N152" s="628">
        <v>1944.78</v>
      </c>
      <c r="O152" s="628">
        <f t="shared" si="25"/>
        <v>11066.300000000001</v>
      </c>
      <c r="P152" s="628">
        <f t="shared" si="26"/>
        <v>58933.7</v>
      </c>
    </row>
    <row r="153" spans="2:16" ht="28.5" customHeight="1" x14ac:dyDescent="0.25">
      <c r="B153" s="153" t="s">
        <v>1626</v>
      </c>
      <c r="C153" s="281" t="s">
        <v>1296</v>
      </c>
      <c r="D153" s="282" t="s">
        <v>1637</v>
      </c>
      <c r="E153" s="281" t="s">
        <v>1063</v>
      </c>
      <c r="F153" s="855">
        <v>45931</v>
      </c>
      <c r="G153" s="855">
        <v>46082</v>
      </c>
      <c r="H153" s="626">
        <v>43500</v>
      </c>
      <c r="I153" s="1169">
        <v>0</v>
      </c>
      <c r="J153" s="628">
        <v>43500</v>
      </c>
      <c r="K153" s="628">
        <v>1248.45</v>
      </c>
      <c r="L153" s="628">
        <v>936.62</v>
      </c>
      <c r="M153" s="1149">
        <v>1322.4</v>
      </c>
      <c r="N153" s="628">
        <v>25</v>
      </c>
      <c r="O153" s="628">
        <f>+K153+L153+M153+N153</f>
        <v>3532.4700000000003</v>
      </c>
      <c r="P153" s="628">
        <f>+J153-O153</f>
        <v>39967.53</v>
      </c>
    </row>
    <row r="154" spans="2:16" ht="28.5" customHeight="1" x14ac:dyDescent="0.25">
      <c r="B154" s="153" t="s">
        <v>1627</v>
      </c>
      <c r="C154" s="281" t="s">
        <v>806</v>
      </c>
      <c r="D154" s="282" t="s">
        <v>105</v>
      </c>
      <c r="E154" s="281" t="s">
        <v>1063</v>
      </c>
      <c r="F154" s="855">
        <v>45839</v>
      </c>
      <c r="G154" s="855">
        <v>45992</v>
      </c>
      <c r="H154" s="626">
        <v>25000</v>
      </c>
      <c r="I154" s="1169">
        <v>0</v>
      </c>
      <c r="J154" s="628">
        <v>25000</v>
      </c>
      <c r="K154" s="628">
        <v>717.5</v>
      </c>
      <c r="L154" s="627">
        <v>0</v>
      </c>
      <c r="M154" s="1149">
        <v>760</v>
      </c>
      <c r="N154" s="628">
        <v>25</v>
      </c>
      <c r="O154" s="628">
        <f t="shared" si="25"/>
        <v>1502.5</v>
      </c>
      <c r="P154" s="628">
        <f>+J154-O154</f>
        <v>23497.5</v>
      </c>
    </row>
    <row r="155" spans="2:16" ht="21" customHeight="1" x14ac:dyDescent="0.25">
      <c r="B155" s="466" t="s">
        <v>813</v>
      </c>
      <c r="C155" s="569"/>
      <c r="D155" s="492">
        <v>7</v>
      </c>
      <c r="E155" s="465"/>
      <c r="F155" s="1016"/>
      <c r="G155" s="860"/>
      <c r="H155" s="695">
        <f>SUM(H148:H154)</f>
        <v>418500</v>
      </c>
      <c r="I155" s="1144">
        <v>0</v>
      </c>
      <c r="J155" s="695">
        <f t="shared" ref="J155:P155" si="27">SUM(J148:J154)</f>
        <v>418500</v>
      </c>
      <c r="K155" s="695">
        <f t="shared" si="27"/>
        <v>12010.95</v>
      </c>
      <c r="L155" s="695">
        <f t="shared" si="27"/>
        <v>27395.059999999998</v>
      </c>
      <c r="M155" s="695">
        <f t="shared" si="27"/>
        <v>12722.4</v>
      </c>
      <c r="N155" s="695">
        <f t="shared" si="27"/>
        <v>2094.7799999999997</v>
      </c>
      <c r="O155" s="695">
        <f t="shared" si="27"/>
        <v>54223.19</v>
      </c>
      <c r="P155" s="695">
        <f t="shared" si="27"/>
        <v>364276.81000000006</v>
      </c>
    </row>
    <row r="156" spans="2:16" ht="25.5" customHeight="1" x14ac:dyDescent="0.25">
      <c r="B156" s="466"/>
      <c r="C156" s="569"/>
      <c r="D156" s="492"/>
      <c r="E156" s="465"/>
      <c r="F156" s="1272"/>
      <c r="G156" s="711"/>
      <c r="H156" s="695"/>
      <c r="I156" s="1144"/>
      <c r="J156" s="697"/>
      <c r="K156" s="697"/>
      <c r="L156" s="697"/>
      <c r="M156" s="1145"/>
      <c r="N156" s="697"/>
      <c r="O156" s="697"/>
      <c r="P156" s="697"/>
    </row>
    <row r="157" spans="2:16" ht="28.5" customHeight="1" x14ac:dyDescent="0.25">
      <c r="B157" s="466" t="s">
        <v>1789</v>
      </c>
      <c r="C157" s="569"/>
      <c r="D157" s="492"/>
      <c r="E157" s="465"/>
      <c r="F157" s="1272"/>
      <c r="G157" s="711"/>
      <c r="H157" s="695"/>
      <c r="I157" s="1144"/>
      <c r="J157" s="697"/>
      <c r="K157" s="697"/>
      <c r="L157" s="697"/>
      <c r="M157" s="1145"/>
      <c r="N157" s="697"/>
      <c r="O157" s="697"/>
      <c r="P157" s="697"/>
    </row>
    <row r="158" spans="2:16" ht="28.5" customHeight="1" x14ac:dyDescent="0.25">
      <c r="B158" s="153" t="s">
        <v>1601</v>
      </c>
      <c r="C158" s="497" t="s">
        <v>806</v>
      </c>
      <c r="D158" s="749" t="s">
        <v>1782</v>
      </c>
      <c r="E158" s="637" t="s">
        <v>1063</v>
      </c>
      <c r="F158" s="855">
        <v>45931</v>
      </c>
      <c r="G158" s="855">
        <v>46082</v>
      </c>
      <c r="H158" s="626">
        <v>120000</v>
      </c>
      <c r="I158" s="1111">
        <v>0</v>
      </c>
      <c r="J158" s="498">
        <v>120000</v>
      </c>
      <c r="K158" s="498">
        <v>3444</v>
      </c>
      <c r="L158" s="498">
        <v>16329.92</v>
      </c>
      <c r="M158" s="1149">
        <v>3648</v>
      </c>
      <c r="N158" s="626">
        <v>1944.78</v>
      </c>
      <c r="O158" s="468">
        <f>+K158+L158+M158+N158</f>
        <v>25366.699999999997</v>
      </c>
      <c r="P158" s="457">
        <f>+J158-O158</f>
        <v>94633.3</v>
      </c>
    </row>
    <row r="159" spans="2:16" ht="28.5" customHeight="1" x14ac:dyDescent="0.25">
      <c r="B159" s="153" t="s">
        <v>1607</v>
      </c>
      <c r="C159" s="281" t="s">
        <v>807</v>
      </c>
      <c r="D159" s="282" t="s">
        <v>414</v>
      </c>
      <c r="E159" s="281" t="s">
        <v>1063</v>
      </c>
      <c r="F159" s="855">
        <v>45931</v>
      </c>
      <c r="G159" s="855">
        <v>46082</v>
      </c>
      <c r="H159" s="626">
        <v>70000</v>
      </c>
      <c r="I159" s="1169">
        <v>0</v>
      </c>
      <c r="J159" s="468">
        <v>70000</v>
      </c>
      <c r="K159" s="468">
        <v>2009</v>
      </c>
      <c r="L159" s="468">
        <v>5368.48</v>
      </c>
      <c r="M159" s="1149">
        <v>2128</v>
      </c>
      <c r="N159" s="468">
        <v>25</v>
      </c>
      <c r="O159" s="468">
        <f t="shared" ref="O159:O164" si="28">+K159+L159+M159+N159</f>
        <v>9530.48</v>
      </c>
      <c r="P159" s="468">
        <f t="shared" ref="P159:P164" si="29">+J159-O159</f>
        <v>60469.520000000004</v>
      </c>
    </row>
    <row r="160" spans="2:16" ht="28.5" customHeight="1" x14ac:dyDescent="0.25">
      <c r="B160" s="153" t="s">
        <v>1608</v>
      </c>
      <c r="C160" s="281" t="s">
        <v>807</v>
      </c>
      <c r="D160" s="282" t="s">
        <v>417</v>
      </c>
      <c r="E160" s="281" t="s">
        <v>1063</v>
      </c>
      <c r="F160" s="855">
        <v>45931</v>
      </c>
      <c r="G160" s="855">
        <v>46082</v>
      </c>
      <c r="H160" s="626">
        <v>70000</v>
      </c>
      <c r="I160" s="1169">
        <v>0</v>
      </c>
      <c r="J160" s="468">
        <v>70000</v>
      </c>
      <c r="K160" s="468">
        <v>2009</v>
      </c>
      <c r="L160" s="468">
        <v>5368.48</v>
      </c>
      <c r="M160" s="1149">
        <v>2128</v>
      </c>
      <c r="N160" s="468">
        <v>25</v>
      </c>
      <c r="O160" s="468">
        <f t="shared" si="28"/>
        <v>9530.48</v>
      </c>
      <c r="P160" s="468">
        <f t="shared" si="29"/>
        <v>60469.520000000004</v>
      </c>
    </row>
    <row r="161" spans="2:16" ht="28.5" customHeight="1" x14ac:dyDescent="0.25">
      <c r="B161" s="153" t="s">
        <v>1614</v>
      </c>
      <c r="C161" s="281" t="s">
        <v>806</v>
      </c>
      <c r="D161" s="282" t="s">
        <v>417</v>
      </c>
      <c r="E161" s="281" t="s">
        <v>1063</v>
      </c>
      <c r="F161" s="855">
        <v>45931</v>
      </c>
      <c r="G161" s="855">
        <v>46082</v>
      </c>
      <c r="H161" s="626">
        <v>70000</v>
      </c>
      <c r="I161" s="1169">
        <v>0</v>
      </c>
      <c r="J161" s="468">
        <v>70000</v>
      </c>
      <c r="K161" s="468">
        <v>2009</v>
      </c>
      <c r="L161" s="468">
        <v>5368.48</v>
      </c>
      <c r="M161" s="1149">
        <v>2128</v>
      </c>
      <c r="N161" s="468">
        <v>25</v>
      </c>
      <c r="O161" s="468">
        <f t="shared" si="28"/>
        <v>9530.48</v>
      </c>
      <c r="P161" s="468">
        <f t="shared" si="29"/>
        <v>60469.520000000004</v>
      </c>
    </row>
    <row r="162" spans="2:16" ht="28.5" customHeight="1" x14ac:dyDescent="0.25">
      <c r="B162" s="153" t="s">
        <v>1617</v>
      </c>
      <c r="C162" s="281" t="s">
        <v>807</v>
      </c>
      <c r="D162" s="282" t="s">
        <v>414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5368.48</v>
      </c>
      <c r="M162" s="1149">
        <v>2128</v>
      </c>
      <c r="N162" s="468">
        <v>25</v>
      </c>
      <c r="O162" s="468">
        <f t="shared" si="28"/>
        <v>9530.48</v>
      </c>
      <c r="P162" s="468">
        <f t="shared" si="29"/>
        <v>60469.520000000004</v>
      </c>
    </row>
    <row r="163" spans="2:16" ht="28.5" customHeight="1" x14ac:dyDescent="0.25">
      <c r="B163" s="153" t="s">
        <v>1363</v>
      </c>
      <c r="C163" s="281" t="s">
        <v>806</v>
      </c>
      <c r="D163" s="282" t="s">
        <v>414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5368.48</v>
      </c>
      <c r="M163" s="1149">
        <v>2128</v>
      </c>
      <c r="N163" s="468">
        <v>25</v>
      </c>
      <c r="O163" s="468">
        <f t="shared" si="28"/>
        <v>9530.48</v>
      </c>
      <c r="P163" s="468">
        <f t="shared" si="29"/>
        <v>60469.520000000004</v>
      </c>
    </row>
    <row r="164" spans="2:16" ht="28.5" customHeight="1" x14ac:dyDescent="0.25">
      <c r="B164" s="153" t="s">
        <v>1620</v>
      </c>
      <c r="C164" s="281" t="s">
        <v>807</v>
      </c>
      <c r="D164" s="280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5368.48</v>
      </c>
      <c r="M164" s="1149">
        <v>2128</v>
      </c>
      <c r="N164" s="468">
        <v>25</v>
      </c>
      <c r="O164" s="468">
        <f t="shared" si="28"/>
        <v>9530.48</v>
      </c>
      <c r="P164" s="468">
        <f t="shared" si="29"/>
        <v>60469.520000000004</v>
      </c>
    </row>
    <row r="165" spans="2:16" ht="28.5" customHeight="1" x14ac:dyDescent="0.25">
      <c r="B165" s="286" t="s">
        <v>1299</v>
      </c>
      <c r="C165" s="281" t="s">
        <v>1296</v>
      </c>
      <c r="D165" s="282" t="s">
        <v>1636</v>
      </c>
      <c r="E165" s="281" t="s">
        <v>1063</v>
      </c>
      <c r="F165" s="855">
        <v>45931</v>
      </c>
      <c r="G165" s="855">
        <v>46082</v>
      </c>
      <c r="H165" s="626">
        <v>43500</v>
      </c>
      <c r="I165" s="1169">
        <v>0</v>
      </c>
      <c r="J165" s="468">
        <v>43500</v>
      </c>
      <c r="K165" s="468">
        <v>1248.45</v>
      </c>
      <c r="L165" s="468">
        <v>936.62</v>
      </c>
      <c r="M165" s="1149">
        <v>1322.4</v>
      </c>
      <c r="N165" s="468">
        <v>25</v>
      </c>
      <c r="O165" s="468">
        <f>+K165+L165+M165+N165</f>
        <v>3532.4700000000003</v>
      </c>
      <c r="P165" s="468">
        <f>+J165-O165</f>
        <v>39967.53</v>
      </c>
    </row>
    <row r="166" spans="2:16" ht="28.5" customHeight="1" x14ac:dyDescent="0.25">
      <c r="B166" s="153" t="s">
        <v>1623</v>
      </c>
      <c r="C166" s="281" t="s">
        <v>806</v>
      </c>
      <c r="D166" s="282" t="s">
        <v>529</v>
      </c>
      <c r="E166" s="281" t="s">
        <v>1063</v>
      </c>
      <c r="F166" s="855">
        <v>45931</v>
      </c>
      <c r="G166" s="855">
        <v>46082</v>
      </c>
      <c r="H166" s="626">
        <v>55000</v>
      </c>
      <c r="I166" s="1169">
        <v>0</v>
      </c>
      <c r="J166" s="468">
        <v>55000</v>
      </c>
      <c r="K166" s="468">
        <v>1578.5</v>
      </c>
      <c r="L166" s="468">
        <v>2559.6799999999998</v>
      </c>
      <c r="M166" s="1149">
        <v>1672</v>
      </c>
      <c r="N166" s="468">
        <v>25</v>
      </c>
      <c r="O166" s="468">
        <f>+K166+L166+M166+N166</f>
        <v>5835.18</v>
      </c>
      <c r="P166" s="468">
        <f>+J166-O166</f>
        <v>49164.82</v>
      </c>
    </row>
    <row r="167" spans="2:16" ht="21" customHeight="1" x14ac:dyDescent="0.25">
      <c r="B167" s="466" t="s">
        <v>813</v>
      </c>
      <c r="C167" s="569"/>
      <c r="D167" s="492">
        <v>9</v>
      </c>
      <c r="E167" s="465"/>
      <c r="F167" s="1016"/>
      <c r="G167" s="860"/>
      <c r="H167" s="695">
        <f>SUM(H158:H166)</f>
        <v>638500</v>
      </c>
      <c r="I167" s="1144">
        <v>0</v>
      </c>
      <c r="J167" s="695">
        <f t="shared" ref="J167:P167" si="30">SUM(J158:J166)</f>
        <v>638500</v>
      </c>
      <c r="K167" s="695">
        <f t="shared" si="30"/>
        <v>18324.95</v>
      </c>
      <c r="L167" s="695">
        <f t="shared" si="30"/>
        <v>52037.099999999991</v>
      </c>
      <c r="M167" s="695">
        <f t="shared" si="30"/>
        <v>19410.400000000001</v>
      </c>
      <c r="N167" s="695">
        <f t="shared" si="30"/>
        <v>2144.7799999999997</v>
      </c>
      <c r="O167" s="695">
        <f t="shared" si="30"/>
        <v>91917.229999999981</v>
      </c>
      <c r="P167" s="695">
        <f t="shared" si="30"/>
        <v>546582.77</v>
      </c>
    </row>
    <row r="168" spans="2:16" ht="23.25" customHeight="1" x14ac:dyDescent="0.25">
      <c r="B168" s="466"/>
      <c r="C168" s="569"/>
      <c r="D168" s="492"/>
      <c r="E168" s="465"/>
      <c r="F168" s="1272"/>
      <c r="G168" s="711"/>
      <c r="H168" s="695"/>
      <c r="I168" s="1144"/>
      <c r="J168" s="697"/>
      <c r="K168" s="697"/>
      <c r="L168" s="697"/>
      <c r="M168" s="1145"/>
      <c r="N168" s="697"/>
      <c r="O168" s="697"/>
      <c r="P168" s="697"/>
    </row>
    <row r="169" spans="2:16" ht="28.5" customHeight="1" x14ac:dyDescent="0.25">
      <c r="B169" s="466" t="s">
        <v>1790</v>
      </c>
      <c r="C169" s="569"/>
      <c r="D169" s="492"/>
      <c r="E169" s="465"/>
      <c r="F169" s="1272"/>
      <c r="G169" s="711"/>
      <c r="H169" s="695"/>
      <c r="I169" s="1144"/>
      <c r="J169" s="697"/>
      <c r="K169" s="697"/>
      <c r="L169" s="697"/>
      <c r="M169" s="1145"/>
      <c r="N169" s="697"/>
      <c r="O169" s="697"/>
      <c r="P169" s="697"/>
    </row>
    <row r="170" spans="2:16" ht="24" customHeight="1" x14ac:dyDescent="0.25">
      <c r="B170" s="153" t="s">
        <v>1600</v>
      </c>
      <c r="C170" s="281" t="s">
        <v>806</v>
      </c>
      <c r="D170" s="282" t="s">
        <v>1463</v>
      </c>
      <c r="E170" s="281" t="s">
        <v>1063</v>
      </c>
      <c r="F170" s="855">
        <v>45931</v>
      </c>
      <c r="G170" s="855">
        <v>46082</v>
      </c>
      <c r="H170" s="626">
        <v>120000</v>
      </c>
      <c r="I170" s="1169">
        <v>0</v>
      </c>
      <c r="J170" s="468">
        <v>120000</v>
      </c>
      <c r="K170" s="468">
        <v>3444</v>
      </c>
      <c r="L170" s="468">
        <v>16809.87</v>
      </c>
      <c r="M170" s="1149">
        <v>3648</v>
      </c>
      <c r="N170" s="468">
        <v>25</v>
      </c>
      <c r="O170" s="468">
        <f t="shared" ref="O170:O177" si="31">+K170+L170+M170+N170</f>
        <v>23926.87</v>
      </c>
      <c r="P170" s="468">
        <f t="shared" ref="P170:P177" si="32">+J170-O170</f>
        <v>96073.13</v>
      </c>
    </row>
    <row r="171" spans="2:16" ht="24" customHeight="1" x14ac:dyDescent="0.25">
      <c r="B171" s="153" t="s">
        <v>1604</v>
      </c>
      <c r="C171" s="685" t="s">
        <v>806</v>
      </c>
      <c r="D171" s="282" t="s">
        <v>417</v>
      </c>
      <c r="E171" s="281" t="s">
        <v>1063</v>
      </c>
      <c r="F171" s="855">
        <v>45931</v>
      </c>
      <c r="G171" s="855">
        <v>46082</v>
      </c>
      <c r="H171" s="626">
        <v>70000</v>
      </c>
      <c r="I171" s="1169">
        <v>0</v>
      </c>
      <c r="J171" s="468">
        <v>70000</v>
      </c>
      <c r="K171" s="468">
        <v>2009</v>
      </c>
      <c r="L171" s="468">
        <v>4984.5200000000004</v>
      </c>
      <c r="M171" s="1149">
        <v>2128</v>
      </c>
      <c r="N171" s="468">
        <v>1944.78</v>
      </c>
      <c r="O171" s="468">
        <f t="shared" si="31"/>
        <v>11066.300000000001</v>
      </c>
      <c r="P171" s="468">
        <f t="shared" si="32"/>
        <v>58933.7</v>
      </c>
    </row>
    <row r="172" spans="2:16" ht="24" customHeight="1" x14ac:dyDescent="0.25">
      <c r="B172" s="153" t="s">
        <v>1605</v>
      </c>
      <c r="C172" s="685" t="s">
        <v>806</v>
      </c>
      <c r="D172" s="282" t="s">
        <v>1773</v>
      </c>
      <c r="E172" s="281" t="s">
        <v>1063</v>
      </c>
      <c r="F172" s="855">
        <v>45931</v>
      </c>
      <c r="G172" s="855">
        <v>46082</v>
      </c>
      <c r="H172" s="626">
        <v>70000</v>
      </c>
      <c r="I172" s="1169">
        <v>0</v>
      </c>
      <c r="J172" s="468">
        <v>70000</v>
      </c>
      <c r="K172" s="468">
        <v>2009</v>
      </c>
      <c r="L172" s="468">
        <v>4600.5600000000004</v>
      </c>
      <c r="M172" s="1149">
        <v>2128</v>
      </c>
      <c r="N172" s="468">
        <v>3864.56</v>
      </c>
      <c r="O172" s="468">
        <f t="shared" si="31"/>
        <v>12602.12</v>
      </c>
      <c r="P172" s="468">
        <f t="shared" si="32"/>
        <v>57397.88</v>
      </c>
    </row>
    <row r="173" spans="2:16" ht="24" customHeight="1" x14ac:dyDescent="0.25">
      <c r="B173" s="153" t="s">
        <v>1833</v>
      </c>
      <c r="C173" s="685" t="s">
        <v>807</v>
      </c>
      <c r="D173" s="282" t="s">
        <v>1773</v>
      </c>
      <c r="E173" s="281" t="s">
        <v>1063</v>
      </c>
      <c r="F173" s="855">
        <v>45931</v>
      </c>
      <c r="G173" s="855">
        <v>46082</v>
      </c>
      <c r="H173" s="626">
        <v>70000</v>
      </c>
      <c r="I173" s="1169">
        <v>0</v>
      </c>
      <c r="J173" s="468">
        <v>70000</v>
      </c>
      <c r="K173" s="468">
        <v>2009</v>
      </c>
      <c r="L173" s="468">
        <v>5368.48</v>
      </c>
      <c r="M173" s="1149">
        <v>2128</v>
      </c>
      <c r="N173" s="468">
        <v>25</v>
      </c>
      <c r="O173" s="468">
        <f t="shared" si="31"/>
        <v>9530.48</v>
      </c>
      <c r="P173" s="468">
        <f t="shared" si="32"/>
        <v>60469.520000000004</v>
      </c>
    </row>
    <row r="174" spans="2:16" ht="24" customHeight="1" x14ac:dyDescent="0.25">
      <c r="B174" s="153" t="s">
        <v>1611</v>
      </c>
      <c r="C174" s="685" t="s">
        <v>806</v>
      </c>
      <c r="D174" s="282" t="s">
        <v>417</v>
      </c>
      <c r="E174" s="281" t="s">
        <v>1063</v>
      </c>
      <c r="F174" s="855">
        <v>45931</v>
      </c>
      <c r="G174" s="855">
        <v>46082</v>
      </c>
      <c r="H174" s="626">
        <v>70000</v>
      </c>
      <c r="I174" s="1169">
        <v>0</v>
      </c>
      <c r="J174" s="468">
        <v>70000</v>
      </c>
      <c r="K174" s="468">
        <v>2009</v>
      </c>
      <c r="L174" s="468">
        <v>4984.5200000000004</v>
      </c>
      <c r="M174" s="1149">
        <v>2128</v>
      </c>
      <c r="N174" s="468">
        <v>1944.78</v>
      </c>
      <c r="O174" s="468">
        <f t="shared" si="31"/>
        <v>11066.300000000001</v>
      </c>
      <c r="P174" s="468">
        <f t="shared" si="32"/>
        <v>58933.7</v>
      </c>
    </row>
    <row r="175" spans="2:16" ht="24" customHeight="1" x14ac:dyDescent="0.25">
      <c r="B175" s="153" t="s">
        <v>1610</v>
      </c>
      <c r="C175" s="685" t="s">
        <v>806</v>
      </c>
      <c r="D175" s="282" t="s">
        <v>417</v>
      </c>
      <c r="E175" s="281" t="s">
        <v>1063</v>
      </c>
      <c r="F175" s="855">
        <v>45931</v>
      </c>
      <c r="G175" s="855">
        <v>46082</v>
      </c>
      <c r="H175" s="626">
        <v>70000</v>
      </c>
      <c r="I175" s="1169">
        <v>0</v>
      </c>
      <c r="J175" s="468">
        <v>70000</v>
      </c>
      <c r="K175" s="468">
        <v>2009</v>
      </c>
      <c r="L175" s="468">
        <v>4984.5200000000004</v>
      </c>
      <c r="M175" s="1149">
        <v>2128</v>
      </c>
      <c r="N175" s="468">
        <v>1944.78</v>
      </c>
      <c r="O175" s="468">
        <f t="shared" si="31"/>
        <v>11066.300000000001</v>
      </c>
      <c r="P175" s="468">
        <f t="shared" si="32"/>
        <v>58933.7</v>
      </c>
    </row>
    <row r="176" spans="2:16" ht="24" customHeight="1" x14ac:dyDescent="0.25">
      <c r="B176" s="153" t="s">
        <v>1616</v>
      </c>
      <c r="C176" s="685" t="s">
        <v>806</v>
      </c>
      <c r="D176" s="282" t="s">
        <v>414</v>
      </c>
      <c r="E176" s="281" t="s">
        <v>1063</v>
      </c>
      <c r="F176" s="1084">
        <v>45870</v>
      </c>
      <c r="G176" s="1084">
        <v>46023</v>
      </c>
      <c r="H176" s="626">
        <v>70000</v>
      </c>
      <c r="I176" s="1169">
        <v>0</v>
      </c>
      <c r="J176" s="468">
        <v>70000</v>
      </c>
      <c r="K176" s="468">
        <v>2009</v>
      </c>
      <c r="L176" s="468">
        <v>5368.48</v>
      </c>
      <c r="M176" s="1149">
        <v>2128</v>
      </c>
      <c r="N176" s="468">
        <v>25</v>
      </c>
      <c r="O176" s="468">
        <f t="shared" si="31"/>
        <v>9530.48</v>
      </c>
      <c r="P176" s="468">
        <f t="shared" si="32"/>
        <v>60469.520000000004</v>
      </c>
    </row>
    <row r="177" spans="2:17" ht="24" customHeight="1" x14ac:dyDescent="0.25">
      <c r="B177" s="153" t="s">
        <v>1615</v>
      </c>
      <c r="C177" s="685" t="s">
        <v>1296</v>
      </c>
      <c r="D177" s="282" t="s">
        <v>414</v>
      </c>
      <c r="E177" s="281" t="s">
        <v>1063</v>
      </c>
      <c r="F177" s="1084">
        <v>45870</v>
      </c>
      <c r="G177" s="1084">
        <v>46023</v>
      </c>
      <c r="H177" s="626">
        <v>70000</v>
      </c>
      <c r="I177" s="1169">
        <v>0</v>
      </c>
      <c r="J177" s="468">
        <v>70000</v>
      </c>
      <c r="K177" s="468">
        <v>2009</v>
      </c>
      <c r="L177" s="468">
        <v>5368.48</v>
      </c>
      <c r="M177" s="1149">
        <v>2128</v>
      </c>
      <c r="N177" s="468">
        <v>25</v>
      </c>
      <c r="O177" s="468">
        <f t="shared" si="31"/>
        <v>9530.48</v>
      </c>
      <c r="P177" s="468">
        <f t="shared" si="32"/>
        <v>60469.520000000004</v>
      </c>
    </row>
    <row r="178" spans="2:17" ht="24" customHeight="1" x14ac:dyDescent="0.25">
      <c r="B178" s="153" t="s">
        <v>1625</v>
      </c>
      <c r="C178" s="685" t="s">
        <v>1296</v>
      </c>
      <c r="D178" s="282" t="s">
        <v>1636</v>
      </c>
      <c r="E178" s="281" t="s">
        <v>1063</v>
      </c>
      <c r="F178" s="1084">
        <v>45870</v>
      </c>
      <c r="G178" s="1084">
        <v>46023</v>
      </c>
      <c r="H178" s="626">
        <v>43500</v>
      </c>
      <c r="I178" s="1169">
        <v>0</v>
      </c>
      <c r="J178" s="468">
        <v>43500</v>
      </c>
      <c r="K178" s="468">
        <v>1248.45</v>
      </c>
      <c r="L178" s="468">
        <v>936.62</v>
      </c>
      <c r="M178" s="1149">
        <v>1322.4</v>
      </c>
      <c r="N178" s="468">
        <v>25</v>
      </c>
      <c r="O178" s="468">
        <f>+K178+L178+M178+N178</f>
        <v>3532.4700000000003</v>
      </c>
      <c r="P178" s="468">
        <f>+J178-O178</f>
        <v>39967.53</v>
      </c>
    </row>
    <row r="179" spans="2:17" ht="21" customHeight="1" x14ac:dyDescent="0.25">
      <c r="B179" s="466" t="s">
        <v>813</v>
      </c>
      <c r="C179" s="569"/>
      <c r="D179" s="492">
        <v>9</v>
      </c>
      <c r="E179" s="465"/>
      <c r="F179" s="1016"/>
      <c r="G179" s="860"/>
      <c r="H179" s="695">
        <f>SUM(H170:H178)</f>
        <v>653500</v>
      </c>
      <c r="I179" s="1144">
        <v>0</v>
      </c>
      <c r="J179" s="695">
        <f t="shared" ref="J179:P179" si="33">SUM(J170:J178)</f>
        <v>653500</v>
      </c>
      <c r="K179" s="695">
        <f t="shared" si="33"/>
        <v>18755.45</v>
      </c>
      <c r="L179" s="695">
        <f t="shared" si="33"/>
        <v>53406.049999999996</v>
      </c>
      <c r="M179" s="695">
        <f t="shared" si="33"/>
        <v>19866.400000000001</v>
      </c>
      <c r="N179" s="695">
        <f t="shared" si="33"/>
        <v>9823.9</v>
      </c>
      <c r="O179" s="695">
        <f t="shared" si="33"/>
        <v>101851.8</v>
      </c>
      <c r="P179" s="695">
        <f t="shared" si="33"/>
        <v>551648.20000000007</v>
      </c>
    </row>
    <row r="180" spans="2:17" ht="21" customHeight="1" x14ac:dyDescent="0.25">
      <c r="B180" s="466"/>
      <c r="C180" s="569"/>
      <c r="D180" s="492"/>
      <c r="E180" s="465"/>
      <c r="F180" s="1016"/>
      <c r="G180" s="860"/>
      <c r="H180" s="695">
        <f>+H179+H167+H155+H145</f>
        <v>2450500</v>
      </c>
      <c r="I180" s="1144">
        <v>0</v>
      </c>
      <c r="J180" s="695">
        <f t="shared" ref="J180:P180" si="34">+J179+J167+J155+J145</f>
        <v>2450500</v>
      </c>
      <c r="K180" s="695">
        <f t="shared" si="34"/>
        <v>70329.350000000006</v>
      </c>
      <c r="L180" s="695">
        <f t="shared" si="34"/>
        <v>194891.87</v>
      </c>
      <c r="M180" s="695">
        <f t="shared" si="34"/>
        <v>74495.200000000012</v>
      </c>
      <c r="N180" s="695">
        <f t="shared" si="34"/>
        <v>21992.579999999998</v>
      </c>
      <c r="O180" s="695">
        <f t="shared" si="34"/>
        <v>361709</v>
      </c>
      <c r="P180" s="695">
        <f t="shared" si="34"/>
        <v>2088791.0000000005</v>
      </c>
    </row>
    <row r="181" spans="2:17" ht="21" customHeight="1" x14ac:dyDescent="0.25">
      <c r="B181" s="490"/>
      <c r="C181" s="1223"/>
      <c r="D181" s="492"/>
      <c r="E181" s="465"/>
      <c r="F181" s="710"/>
      <c r="G181" s="711"/>
      <c r="H181" s="695"/>
      <c r="I181" s="1112"/>
      <c r="J181" s="463"/>
      <c r="K181" s="463"/>
      <c r="L181" s="463"/>
      <c r="M181" s="1145"/>
      <c r="N181" s="697"/>
      <c r="O181" s="697"/>
      <c r="P181" s="463"/>
    </row>
    <row r="182" spans="2:17" ht="23.25" customHeight="1" x14ac:dyDescent="0.25">
      <c r="B182" s="1048" t="s">
        <v>865</v>
      </c>
      <c r="C182" s="1053"/>
      <c r="D182" s="1125">
        <f>+D179+D167+D155+D145+D15+D19+D25+D32+D50+D54+D58+D66+D73+D80+D94+D103+D107+D113+D117+D127+D131+D41+D84+D29+D62+D70+D45+D36</f>
        <v>87</v>
      </c>
      <c r="E182" s="1400"/>
      <c r="F182" s="1125"/>
      <c r="G182" s="1125"/>
      <c r="H182" s="1126">
        <f>+H15+H19+H25+H32+H41+H50+H54+H58+H66+H73+H80+H94+H103+H107+H113+H117+H127+H131+H145+H155+H167+H179+H84+H70+H62+H29+H45+H36</f>
        <v>7190500</v>
      </c>
      <c r="I182" s="1114">
        <v>0</v>
      </c>
      <c r="J182" s="1126">
        <f t="shared" ref="J182:P182" si="35">+J15+J19+J25+J32+J41+J50+J54+J58+J66+J73+J80+J94+J103+J107+J113+J117+J127+J131+J145+J155+J167+J179+J84+J70+J62+J29+J45+J36</f>
        <v>7190500</v>
      </c>
      <c r="K182" s="1126">
        <f t="shared" si="35"/>
        <v>206367.35000000003</v>
      </c>
      <c r="L182" s="1126">
        <f>+L15+L19+L25+L32+L41+L50+L54+L58+L66+L73+L80+L94+L103+L107+L113+L117+L127+L131+L145+L155+L167+L179+L84+L70+L62+L29+L45+L36</f>
        <v>730082.11</v>
      </c>
      <c r="M182" s="1126">
        <f t="shared" si="35"/>
        <v>218591.19999999998</v>
      </c>
      <c r="N182" s="1126">
        <f t="shared" si="35"/>
        <v>122718.42999999996</v>
      </c>
      <c r="O182" s="1126">
        <f t="shared" si="35"/>
        <v>1277759.0900000003</v>
      </c>
      <c r="P182" s="1126">
        <f t="shared" si="35"/>
        <v>5912740.9100000001</v>
      </c>
    </row>
    <row r="183" spans="2:17" ht="17.25" customHeight="1" x14ac:dyDescent="0.25">
      <c r="B183" s="259"/>
      <c r="C183" s="1220"/>
      <c r="D183" s="259"/>
      <c r="E183" s="546"/>
      <c r="F183" s="546"/>
      <c r="G183" s="546"/>
      <c r="H183" s="862"/>
      <c r="I183" s="259"/>
      <c r="J183" s="259"/>
      <c r="K183" s="660"/>
      <c r="L183" s="660"/>
      <c r="M183" s="531"/>
      <c r="N183" s="660"/>
      <c r="O183" s="660"/>
      <c r="P183" s="259"/>
      <c r="Q183" s="259"/>
    </row>
    <row r="184" spans="2:17" ht="17.25" customHeight="1" x14ac:dyDescent="0.25">
      <c r="B184" s="259"/>
      <c r="C184" s="1220"/>
      <c r="D184" s="259"/>
      <c r="E184" s="546"/>
      <c r="F184" s="546"/>
      <c r="G184" s="546"/>
      <c r="H184" s="1179"/>
      <c r="I184" s="259"/>
      <c r="J184" s="259"/>
      <c r="K184" s="660"/>
      <c r="L184" s="660"/>
      <c r="M184" s="531"/>
      <c r="N184" s="660"/>
      <c r="O184" s="660"/>
      <c r="P184" s="259"/>
      <c r="Q184" s="259"/>
    </row>
    <row r="185" spans="2:17" ht="17.25" customHeight="1" x14ac:dyDescent="0.25">
      <c r="B185" s="259"/>
      <c r="C185" s="1220"/>
      <c r="D185" s="259"/>
      <c r="E185" s="546"/>
      <c r="F185" s="546"/>
      <c r="G185" s="546"/>
      <c r="H185" s="1179"/>
      <c r="I185" s="259"/>
      <c r="J185" s="259"/>
      <c r="K185" s="660"/>
      <c r="L185" s="660"/>
      <c r="M185" s="531"/>
      <c r="N185" s="660"/>
      <c r="O185" s="660"/>
      <c r="P185" s="259"/>
      <c r="Q185" s="259"/>
    </row>
    <row r="186" spans="2:17" ht="17.25" customHeight="1" x14ac:dyDescent="0.25">
      <c r="B186" s="259"/>
      <c r="C186" s="1220"/>
      <c r="D186" s="259"/>
      <c r="E186" s="531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ht="17.25" customHeight="1" x14ac:dyDescent="0.25">
      <c r="B187" s="259"/>
      <c r="C187" s="1220"/>
      <c r="D187" s="259"/>
      <c r="E187" s="531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7.25" customHeight="1" x14ac:dyDescent="0.25">
      <c r="B188" s="259"/>
      <c r="C188" s="1220"/>
      <c r="D188" s="259"/>
      <c r="E188" s="531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17.25" customHeight="1" x14ac:dyDescent="0.25">
      <c r="B189" s="259"/>
      <c r="C189" s="1220"/>
      <c r="D189" s="259"/>
      <c r="E189" s="531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7.25" customHeight="1" x14ac:dyDescent="0.25">
      <c r="B190" s="259"/>
      <c r="C190" s="1220"/>
      <c r="D190" s="259"/>
      <c r="E190" s="531"/>
      <c r="F190" s="259"/>
      <c r="G190" s="259"/>
      <c r="H190" s="259"/>
      <c r="I190" s="259"/>
      <c r="J190" s="259"/>
      <c r="K190" s="660"/>
      <c r="L190" s="259"/>
      <c r="M190" s="1152"/>
      <c r="N190" s="660"/>
      <c r="O190" s="660"/>
      <c r="P190" s="660"/>
      <c r="Q190" s="259"/>
    </row>
    <row r="191" spans="2:17" ht="17.25" customHeight="1" x14ac:dyDescent="0.25">
      <c r="B191" s="259"/>
      <c r="C191" s="1220"/>
      <c r="D191" s="259"/>
      <c r="E191" s="531"/>
      <c r="F191" s="259"/>
      <c r="G191" s="259"/>
      <c r="H191" s="259"/>
      <c r="I191" s="259"/>
      <c r="J191" s="259"/>
      <c r="K191" s="660"/>
      <c r="L191" s="259"/>
      <c r="M191" s="1152"/>
      <c r="N191" s="660"/>
      <c r="O191" s="660"/>
      <c r="P191" s="660"/>
      <c r="Q191" s="259"/>
    </row>
    <row r="192" spans="2:17" ht="17.25" customHeight="1" x14ac:dyDescent="0.25">
      <c r="B192" s="259"/>
      <c r="C192" s="1220"/>
      <c r="D192" s="259"/>
      <c r="E192" s="531"/>
      <c r="F192" s="259"/>
      <c r="G192" s="259"/>
      <c r="H192" s="259"/>
      <c r="I192" s="259"/>
      <c r="J192" s="259"/>
      <c r="K192" s="660" t="s">
        <v>641</v>
      </c>
      <c r="L192" s="259"/>
      <c r="M192" s="1152"/>
      <c r="N192" s="660"/>
      <c r="O192" s="660"/>
      <c r="P192" s="660"/>
      <c r="Q192" s="259"/>
    </row>
    <row r="193" spans="2:17" ht="17.25" customHeight="1" x14ac:dyDescent="0.25">
      <c r="B193" s="259"/>
      <c r="C193" s="1220"/>
      <c r="D193" s="259"/>
      <c r="E193" s="531"/>
      <c r="F193" s="259"/>
      <c r="G193" s="259"/>
      <c r="H193" s="259"/>
      <c r="I193" s="259"/>
      <c r="J193" s="259"/>
      <c r="K193" s="660"/>
      <c r="L193" s="259"/>
      <c r="M193" s="1152"/>
      <c r="N193" s="660"/>
      <c r="O193" s="660"/>
      <c r="P193" s="660"/>
      <c r="Q193" s="259"/>
    </row>
    <row r="194" spans="2:17" ht="17.25" customHeight="1" x14ac:dyDescent="0.25">
      <c r="B194" s="259"/>
      <c r="C194" s="1220"/>
      <c r="D194" s="259"/>
      <c r="E194" s="531"/>
      <c r="F194" s="259"/>
      <c r="G194" s="259"/>
      <c r="H194" s="259"/>
      <c r="I194" s="259"/>
      <c r="J194" s="259"/>
      <c r="K194" s="660"/>
      <c r="L194" s="259"/>
      <c r="M194" s="1152"/>
      <c r="N194" s="660"/>
      <c r="O194" s="660"/>
      <c r="P194" s="660"/>
      <c r="Q194" s="259"/>
    </row>
    <row r="195" spans="2:17" ht="17.25" customHeight="1" x14ac:dyDescent="0.25">
      <c r="B195" s="259"/>
      <c r="C195" s="1220"/>
      <c r="D195" s="259"/>
      <c r="E195" s="531"/>
      <c r="F195" s="259"/>
      <c r="G195" s="259"/>
      <c r="H195" s="259"/>
      <c r="I195" s="259"/>
      <c r="J195" s="259"/>
      <c r="K195" s="660"/>
      <c r="L195" s="259"/>
      <c r="M195" s="1152"/>
      <c r="N195" s="660"/>
      <c r="O195" s="660"/>
      <c r="P195" s="660"/>
      <c r="Q195" s="259"/>
    </row>
    <row r="196" spans="2:17" ht="17.25" customHeight="1" x14ac:dyDescent="0.25">
      <c r="B196" s="537"/>
      <c r="C196" s="1062"/>
      <c r="D196" s="537"/>
      <c r="E196" s="1401"/>
      <c r="F196" s="692"/>
      <c r="G196" s="692"/>
      <c r="H196" s="537"/>
      <c r="I196" s="537"/>
      <c r="J196" s="537"/>
      <c r="K196" s="537"/>
      <c r="L196" s="537"/>
      <c r="M196" s="542"/>
      <c r="N196" s="537"/>
      <c r="O196" s="537"/>
      <c r="P196" s="537"/>
      <c r="Q196" s="537"/>
    </row>
    <row r="197" spans="2:17" ht="17.25" customHeight="1" x14ac:dyDescent="0.25">
      <c r="B197" s="537"/>
      <c r="C197" s="1062"/>
      <c r="D197" s="537"/>
      <c r="E197" s="1401"/>
      <c r="F197" s="692"/>
      <c r="G197" s="692"/>
      <c r="H197" s="537"/>
      <c r="I197" s="537"/>
      <c r="J197" s="537"/>
      <c r="K197" s="537"/>
      <c r="L197" s="537"/>
      <c r="M197" s="542"/>
      <c r="N197" s="537"/>
      <c r="O197" s="537"/>
      <c r="P197" s="537"/>
      <c r="Q197" s="537"/>
    </row>
    <row r="198" spans="2:17" ht="17.25" customHeight="1" x14ac:dyDescent="0.25">
      <c r="B198" s="537"/>
      <c r="C198" s="1062"/>
      <c r="D198" s="537"/>
      <c r="E198" s="542"/>
      <c r="F198" s="537"/>
      <c r="G198" s="537"/>
      <c r="H198" s="537"/>
      <c r="I198" s="537"/>
      <c r="J198" s="537"/>
      <c r="K198" s="537"/>
      <c r="L198" s="537"/>
      <c r="M198" s="542"/>
      <c r="N198" s="537"/>
      <c r="O198" s="537"/>
      <c r="P198" s="537"/>
      <c r="Q198" s="537"/>
    </row>
    <row r="199" spans="2:17" ht="17.25" customHeight="1" x14ac:dyDescent="0.25">
      <c r="B199" s="542" t="s">
        <v>1449</v>
      </c>
      <c r="C199" s="1202"/>
      <c r="D199" s="542"/>
      <c r="E199" s="691"/>
      <c r="F199" s="691"/>
      <c r="G199" s="691"/>
      <c r="H199" s="866"/>
      <c r="I199" s="674" t="s">
        <v>1377</v>
      </c>
      <c r="K199" s="674"/>
      <c r="L199" s="674"/>
      <c r="M199" s="1153"/>
      <c r="N199" s="1097"/>
      <c r="P199" s="674"/>
      <c r="Q199" s="544"/>
    </row>
    <row r="200" spans="2:17" ht="17.25" customHeight="1" x14ac:dyDescent="0.25">
      <c r="B200" s="546" t="s">
        <v>935</v>
      </c>
      <c r="C200" s="1203"/>
      <c r="D200" s="546"/>
      <c r="E200" s="1402"/>
      <c r="F200" s="538"/>
      <c r="G200" s="538"/>
      <c r="H200" s="467"/>
      <c r="I200" s="537"/>
      <c r="J200" s="1708" t="s">
        <v>1375</v>
      </c>
      <c r="K200" s="1708"/>
      <c r="L200" s="1708"/>
      <c r="M200" s="1708"/>
      <c r="N200" s="1708"/>
      <c r="O200" s="1708"/>
      <c r="P200" s="1708"/>
      <c r="Q200" s="539"/>
    </row>
    <row r="201" spans="2:17" ht="17.25" customHeight="1" x14ac:dyDescent="0.25">
      <c r="B201" s="542" t="s">
        <v>1231</v>
      </c>
      <c r="C201" s="1202"/>
      <c r="D201" s="542"/>
      <c r="E201" s="542"/>
      <c r="G201" s="1062"/>
      <c r="H201" s="1062"/>
      <c r="I201" s="1062"/>
      <c r="J201" s="1692" t="s">
        <v>1554</v>
      </c>
      <c r="K201" s="1692"/>
      <c r="L201" s="1692"/>
      <c r="M201" s="1692"/>
      <c r="N201" s="1692"/>
      <c r="O201" s="1692"/>
      <c r="P201" s="1692"/>
      <c r="Q201" s="537"/>
    </row>
    <row r="202" spans="2:17" ht="213" customHeight="1" x14ac:dyDescent="0.25">
      <c r="B202" s="546"/>
      <c r="C202" s="1203"/>
      <c r="D202" s="546"/>
      <c r="E202" s="546"/>
      <c r="F202" s="547"/>
      <c r="G202" s="547"/>
      <c r="H202" s="546"/>
      <c r="I202" s="541"/>
      <c r="J202" s="540"/>
      <c r="K202" s="537"/>
      <c r="L202" s="673" t="s">
        <v>1374</v>
      </c>
      <c r="M202" s="758"/>
      <c r="N202" s="513"/>
      <c r="O202" s="513"/>
      <c r="P202" s="673"/>
      <c r="Q202" s="673"/>
    </row>
    <row r="203" spans="2:17" ht="12" customHeight="1" x14ac:dyDescent="0.25">
      <c r="B203" s="267"/>
      <c r="C203" s="1228"/>
      <c r="D203" s="267"/>
      <c r="E203" s="267"/>
      <c r="F203" s="268"/>
      <c r="G203" s="268"/>
      <c r="H203" s="268"/>
      <c r="I203" s="269"/>
      <c r="J203" s="268"/>
      <c r="K203" s="268"/>
      <c r="L203" s="268"/>
      <c r="M203" s="267"/>
      <c r="N203" s="205"/>
      <c r="O203" s="1324"/>
      <c r="P203" s="271"/>
      <c r="Q203" s="259"/>
    </row>
    <row r="204" spans="2:17" s="259" customFormat="1" ht="24" hidden="1" customHeight="1" x14ac:dyDescent="0.25">
      <c r="C204" s="1220"/>
      <c r="E204" s="668"/>
      <c r="F204" s="668"/>
      <c r="G204" s="668"/>
      <c r="M204" s="531"/>
      <c r="N204"/>
      <c r="O204"/>
    </row>
    <row r="205" spans="2:17" x14ac:dyDescent="0.25">
      <c r="L205" s="259"/>
      <c r="M205" s="531"/>
    </row>
  </sheetData>
  <mergeCells count="21">
    <mergeCell ref="B10:B11"/>
    <mergeCell ref="C10:C11"/>
    <mergeCell ref="D10:D11"/>
    <mergeCell ref="E10:E11"/>
    <mergeCell ref="F10:F11"/>
    <mergeCell ref="B4:P4"/>
    <mergeCell ref="B5:P5"/>
    <mergeCell ref="B6:P6"/>
    <mergeCell ref="B7:P7"/>
    <mergeCell ref="B8:P8"/>
    <mergeCell ref="G10:G11"/>
    <mergeCell ref="I10:I11"/>
    <mergeCell ref="J10:J11"/>
    <mergeCell ref="K10:K11"/>
    <mergeCell ref="L10:L11"/>
    <mergeCell ref="N10:N11"/>
    <mergeCell ref="O10:O11"/>
    <mergeCell ref="P10:P11"/>
    <mergeCell ref="J200:P200"/>
    <mergeCell ref="J201:P201"/>
    <mergeCell ref="M10:M11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8" min="1" max="15" man="1"/>
    <brk id="108" min="1" max="15" man="1"/>
    <brk id="155" min="1" max="15" man="1"/>
  </rowBreaks>
  <drawing r:id="rId2"/>
</worksheet>
</file>

<file path=xl/worksheets/sheet3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D0209D-507F-44DC-9CC1-A83F5A7DC53E}">
  <sheetPr>
    <pageSetUpPr fitToPage="1"/>
  </sheetPr>
  <dimension ref="A1:M83"/>
  <sheetViews>
    <sheetView showGridLines="0" topLeftCell="B1" zoomScale="110" zoomScaleNormal="110" workbookViewId="0">
      <selection activeCell="H5" sqref="H5"/>
    </sheetView>
  </sheetViews>
  <sheetFormatPr baseColWidth="10" defaultRowHeight="15" x14ac:dyDescent="0.25"/>
  <cols>
    <col min="1" max="1" width="1.42578125" hidden="1" customWidth="1"/>
    <col min="2" max="2" width="56.140625" customWidth="1"/>
    <col min="3" max="3" width="8.42578125" customWidth="1"/>
    <col min="4" max="4" width="47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1" spans="2:13" s="1441" customFormat="1" ht="12.75" customHeight="1" x14ac:dyDescent="0.2"/>
    <row r="2" spans="2:13" s="1441" customFormat="1" ht="12.75" customHeight="1" x14ac:dyDescent="0.2"/>
    <row r="3" spans="2:13" s="1441" customFormat="1" ht="12.75" customHeight="1" x14ac:dyDescent="0.2"/>
    <row r="4" spans="2:13" s="1441" customFormat="1" ht="12.75" customHeight="1" x14ac:dyDescent="0.2"/>
    <row r="5" spans="2:13" s="1441" customFormat="1" ht="12.75" customHeight="1" x14ac:dyDescent="0.2"/>
    <row r="6" spans="2:13" s="1441" customFormat="1" ht="12.75" customHeight="1" x14ac:dyDescent="0.2">
      <c r="B6" s="1770" t="s">
        <v>0</v>
      </c>
      <c r="C6" s="1770"/>
      <c r="D6" s="1770"/>
      <c r="E6" s="1770"/>
      <c r="F6" s="1770"/>
      <c r="G6" s="1770"/>
      <c r="H6" s="1770"/>
      <c r="I6" s="1770"/>
      <c r="J6" s="1770"/>
      <c r="K6" s="1770"/>
      <c r="L6" s="1770"/>
      <c r="M6" s="1770"/>
    </row>
    <row r="7" spans="2:13" s="1441" customFormat="1" ht="12.75" customHeight="1" x14ac:dyDescent="0.2">
      <c r="B7" s="1770" t="s">
        <v>1</v>
      </c>
      <c r="C7" s="1770"/>
      <c r="D7" s="1770"/>
      <c r="E7" s="1770"/>
      <c r="F7" s="1770"/>
      <c r="G7" s="1770"/>
      <c r="H7" s="1770"/>
      <c r="I7" s="1770"/>
      <c r="J7" s="1770"/>
      <c r="K7" s="1770"/>
      <c r="L7" s="1770"/>
      <c r="M7" s="1770"/>
    </row>
    <row r="8" spans="2:13" s="1441" customFormat="1" ht="12.75" customHeight="1" x14ac:dyDescent="0.2">
      <c r="B8" s="1770" t="s">
        <v>3</v>
      </c>
      <c r="C8" s="1770"/>
      <c r="D8" s="1770"/>
      <c r="E8" s="1770"/>
      <c r="F8" s="1770"/>
      <c r="G8" s="1770"/>
      <c r="H8" s="1770"/>
      <c r="I8" s="1770"/>
      <c r="J8" s="1770"/>
      <c r="K8" s="1770"/>
      <c r="L8" s="1770"/>
      <c r="M8" s="1770"/>
    </row>
    <row r="9" spans="2:13" s="1441" customFormat="1" ht="12.75" customHeight="1" x14ac:dyDescent="0.2">
      <c r="B9" s="1770" t="s">
        <v>1837</v>
      </c>
      <c r="C9" s="1770"/>
      <c r="D9" s="1770"/>
      <c r="E9" s="1770"/>
      <c r="F9" s="1770"/>
      <c r="G9" s="1770"/>
      <c r="H9" s="1770"/>
      <c r="I9" s="1770"/>
      <c r="J9" s="1770"/>
      <c r="K9" s="1770"/>
      <c r="L9" s="1770"/>
      <c r="M9" s="1770"/>
    </row>
    <row r="10" spans="2:13" s="1441" customFormat="1" ht="12.75" customHeight="1" x14ac:dyDescent="0.2">
      <c r="B10" s="1637" t="s">
        <v>1197</v>
      </c>
      <c r="C10" s="1637"/>
      <c r="D10" s="1637"/>
      <c r="E10" s="1637"/>
      <c r="F10" s="1637"/>
      <c r="G10" s="1637"/>
      <c r="H10" s="1637"/>
      <c r="I10" s="1637"/>
      <c r="J10" s="1637"/>
      <c r="K10" s="1637"/>
      <c r="L10" s="1637"/>
      <c r="M10" s="1637"/>
    </row>
    <row r="11" spans="2:13" ht="6.75" customHeight="1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771" t="s">
        <v>7</v>
      </c>
      <c r="C12" s="1772" t="s">
        <v>802</v>
      </c>
      <c r="D12" s="1772" t="s">
        <v>9</v>
      </c>
      <c r="E12" s="1404" t="s">
        <v>12</v>
      </c>
      <c r="F12" s="1773" t="s">
        <v>13</v>
      </c>
      <c r="G12" s="1769" t="s">
        <v>14</v>
      </c>
      <c r="H12" s="1769" t="s">
        <v>15</v>
      </c>
      <c r="I12" s="1769" t="s">
        <v>16</v>
      </c>
      <c r="J12" s="1769" t="s">
        <v>17</v>
      </c>
      <c r="K12" s="1769" t="s">
        <v>18</v>
      </c>
      <c r="L12" s="1769" t="s">
        <v>19</v>
      </c>
      <c r="M12" s="1769" t="s">
        <v>20</v>
      </c>
    </row>
    <row r="13" spans="2:13" ht="15" customHeight="1" x14ac:dyDescent="0.25">
      <c r="B13" s="1771"/>
      <c r="C13" s="1772"/>
      <c r="D13" s="1772"/>
      <c r="E13" s="1404" t="s">
        <v>21</v>
      </c>
      <c r="F13" s="1773"/>
      <c r="G13" s="1769"/>
      <c r="H13" s="1769"/>
      <c r="I13" s="1769"/>
      <c r="J13" s="1769"/>
      <c r="K13" s="1769"/>
      <c r="L13" s="1769"/>
      <c r="M13" s="1769"/>
    </row>
    <row r="14" spans="2:13" s="259" customFormat="1" ht="15" customHeight="1" x14ac:dyDescent="0.25">
      <c r="B14" s="1405" t="s">
        <v>1138</v>
      </c>
      <c r="C14" s="423"/>
      <c r="D14" s="1406"/>
      <c r="E14" s="1407"/>
      <c r="F14" s="1408"/>
      <c r="G14" s="1407"/>
      <c r="H14" s="1407"/>
      <c r="I14" s="1407"/>
      <c r="J14" s="1407"/>
      <c r="K14" s="1407"/>
      <c r="L14" s="1407"/>
      <c r="M14" s="1407"/>
    </row>
    <row r="15" spans="2:13" s="259" customFormat="1" ht="15" customHeight="1" x14ac:dyDescent="0.25">
      <c r="B15" s="1409" t="s">
        <v>1640</v>
      </c>
      <c r="C15" s="423" t="s">
        <v>806</v>
      </c>
      <c r="D15" s="1410" t="s">
        <v>1208</v>
      </c>
      <c r="E15" s="1411">
        <v>40000</v>
      </c>
      <c r="F15" s="429">
        <v>0</v>
      </c>
      <c r="G15" s="425">
        <v>40000</v>
      </c>
      <c r="H15" s="425">
        <v>1148</v>
      </c>
      <c r="I15" s="425">
        <v>9409</v>
      </c>
      <c r="J15" s="425">
        <v>1216</v>
      </c>
      <c r="K15" s="1412">
        <v>0</v>
      </c>
      <c r="L15" s="425">
        <f>+H15+I15+J15</f>
        <v>11773</v>
      </c>
      <c r="M15" s="425">
        <f>+G15-L15</f>
        <v>28227</v>
      </c>
    </row>
    <row r="16" spans="2:13" s="5" customFormat="1" ht="15" customHeight="1" x14ac:dyDescent="0.25">
      <c r="B16" s="552" t="s">
        <v>813</v>
      </c>
      <c r="C16" s="552"/>
      <c r="D16" s="435">
        <v>1</v>
      </c>
      <c r="E16" s="1413">
        <f>SUM(E15)</f>
        <v>40000</v>
      </c>
      <c r="F16" s="1414">
        <f t="shared" ref="F16:K16" si="0">+F15</f>
        <v>0</v>
      </c>
      <c r="G16" s="1413">
        <f>SUM(G15)</f>
        <v>40000</v>
      </c>
      <c r="H16" s="1413">
        <f>SUM(H15)</f>
        <v>1148</v>
      </c>
      <c r="I16" s="1413">
        <f>SUM(I15)</f>
        <v>9409</v>
      </c>
      <c r="J16" s="1413">
        <f>SUM(J15)</f>
        <v>1216</v>
      </c>
      <c r="K16" s="1415">
        <f t="shared" si="0"/>
        <v>0</v>
      </c>
      <c r="L16" s="1413">
        <f>SUM(L15)</f>
        <v>11773</v>
      </c>
      <c r="M16" s="1413">
        <f>SUM(M15)</f>
        <v>28227</v>
      </c>
    </row>
    <row r="17" spans="2:13" s="5" customFormat="1" ht="15" customHeight="1" x14ac:dyDescent="0.25">
      <c r="B17" s="552"/>
      <c r="C17" s="552"/>
      <c r="D17" s="435"/>
      <c r="E17" s="1413"/>
      <c r="F17" s="1414"/>
      <c r="G17" s="1413"/>
      <c r="H17" s="1413"/>
      <c r="I17" s="1413"/>
      <c r="J17" s="1413"/>
      <c r="K17" s="1415"/>
      <c r="L17" s="1413"/>
      <c r="M17" s="1413"/>
    </row>
    <row r="18" spans="2:13" ht="15" customHeight="1" x14ac:dyDescent="0.25">
      <c r="B18" s="1405" t="s">
        <v>1195</v>
      </c>
      <c r="C18" s="423"/>
      <c r="D18" s="581"/>
      <c r="E18" s="424"/>
      <c r="F18" s="424"/>
      <c r="G18" s="425"/>
      <c r="H18" s="426"/>
      <c r="I18" s="425"/>
      <c r="J18" s="425"/>
      <c r="K18" s="1416"/>
      <c r="L18" s="425"/>
      <c r="M18" s="425"/>
    </row>
    <row r="19" spans="2:13" ht="26.25" customHeight="1" x14ac:dyDescent="0.25">
      <c r="B19" s="424" t="s">
        <v>217</v>
      </c>
      <c r="C19" s="423" t="s">
        <v>807</v>
      </c>
      <c r="D19" s="1410" t="s">
        <v>1465</v>
      </c>
      <c r="E19" s="1411">
        <v>40000</v>
      </c>
      <c r="F19" s="429">
        <v>0</v>
      </c>
      <c r="G19" s="425">
        <v>40000</v>
      </c>
      <c r="H19" s="425">
        <v>1148</v>
      </c>
      <c r="I19" s="425">
        <v>9409</v>
      </c>
      <c r="J19" s="425">
        <v>1216</v>
      </c>
      <c r="K19" s="1412">
        <v>0</v>
      </c>
      <c r="L19" s="425">
        <f>+H19+I19+J19</f>
        <v>11773</v>
      </c>
      <c r="M19" s="425">
        <f>+G19-L19</f>
        <v>28227</v>
      </c>
    </row>
    <row r="20" spans="2:13" s="5" customFormat="1" ht="15" customHeight="1" x14ac:dyDescent="0.25">
      <c r="B20" s="552" t="s">
        <v>813</v>
      </c>
      <c r="C20" s="552"/>
      <c r="D20" s="435">
        <v>1</v>
      </c>
      <c r="E20" s="1413">
        <f>+E19</f>
        <v>40000</v>
      </c>
      <c r="F20" s="1414">
        <f t="shared" ref="F20:L20" si="1">+F19</f>
        <v>0</v>
      </c>
      <c r="G20" s="441">
        <f>+G19</f>
        <v>40000</v>
      </c>
      <c r="H20" s="441">
        <f t="shared" si="1"/>
        <v>1148</v>
      </c>
      <c r="I20" s="441">
        <f t="shared" si="1"/>
        <v>9409</v>
      </c>
      <c r="J20" s="441">
        <f t="shared" si="1"/>
        <v>1216</v>
      </c>
      <c r="K20" s="1415">
        <f t="shared" si="1"/>
        <v>0</v>
      </c>
      <c r="L20" s="441">
        <f t="shared" si="1"/>
        <v>11773</v>
      </c>
      <c r="M20" s="441">
        <f>+G20-L20</f>
        <v>28227</v>
      </c>
    </row>
    <row r="21" spans="2:13" s="5" customFormat="1" ht="15" customHeight="1" x14ac:dyDescent="0.25">
      <c r="B21" s="552"/>
      <c r="C21" s="552"/>
      <c r="D21" s="435"/>
      <c r="E21" s="1413"/>
      <c r="F21" s="1414"/>
      <c r="G21" s="441"/>
      <c r="H21" s="441"/>
      <c r="I21" s="441"/>
      <c r="J21" s="441"/>
      <c r="K21" s="1415"/>
      <c r="L21" s="441"/>
      <c r="M21" s="441"/>
    </row>
    <row r="22" spans="2:13" s="5" customFormat="1" ht="15" customHeight="1" x14ac:dyDescent="0.25">
      <c r="B22" s="1417" t="s">
        <v>1744</v>
      </c>
      <c r="C22" s="552"/>
      <c r="D22" s="435"/>
      <c r="E22" s="1413"/>
      <c r="F22" s="1414"/>
      <c r="G22" s="441"/>
      <c r="H22" s="441"/>
      <c r="I22" s="441"/>
      <c r="J22" s="441"/>
      <c r="K22" s="1415"/>
      <c r="L22" s="441"/>
      <c r="M22" s="441"/>
    </row>
    <row r="23" spans="2:13" s="5" customFormat="1" ht="15" customHeight="1" x14ac:dyDescent="0.25">
      <c r="B23" s="424" t="s">
        <v>1168</v>
      </c>
      <c r="C23" s="423" t="s">
        <v>807</v>
      </c>
      <c r="D23" s="548" t="s">
        <v>1743</v>
      </c>
      <c r="E23" s="1411">
        <v>20000</v>
      </c>
      <c r="F23" s="1418">
        <v>0</v>
      </c>
      <c r="G23" s="1411">
        <v>20000</v>
      </c>
      <c r="H23" s="1411">
        <v>574</v>
      </c>
      <c r="I23" s="1411">
        <v>4704.5</v>
      </c>
      <c r="J23" s="1411">
        <v>608</v>
      </c>
      <c r="K23" s="1419">
        <v>0</v>
      </c>
      <c r="L23" s="1411">
        <f>+H23+I23+J23</f>
        <v>5886.5</v>
      </c>
      <c r="M23" s="1411">
        <f>+G23-L23</f>
        <v>14113.5</v>
      </c>
    </row>
    <row r="24" spans="2:13" s="5" customFormat="1" ht="15" customHeight="1" x14ac:dyDescent="0.25">
      <c r="B24" s="552" t="s">
        <v>813</v>
      </c>
      <c r="C24" s="552"/>
      <c r="D24" s="435">
        <v>1</v>
      </c>
      <c r="E24" s="1413">
        <f>SUM(E23)</f>
        <v>20000</v>
      </c>
      <c r="F24" s="1414">
        <v>0</v>
      </c>
      <c r="G24" s="1413">
        <f>SUM(G23)</f>
        <v>20000</v>
      </c>
      <c r="H24" s="1413">
        <f t="shared" ref="H24:J24" si="2">SUM(H23)</f>
        <v>574</v>
      </c>
      <c r="I24" s="1413">
        <f t="shared" si="2"/>
        <v>4704.5</v>
      </c>
      <c r="J24" s="1413">
        <f t="shared" si="2"/>
        <v>608</v>
      </c>
      <c r="K24" s="1415">
        <f t="shared" ref="K24" si="3">+K23</f>
        <v>0</v>
      </c>
      <c r="L24" s="441">
        <f>+H24+I24+J24</f>
        <v>5886.5</v>
      </c>
      <c r="M24" s="441">
        <f>+G24-L24</f>
        <v>14113.5</v>
      </c>
    </row>
    <row r="25" spans="2:13" s="5" customFormat="1" ht="15" customHeight="1" x14ac:dyDescent="0.25">
      <c r="B25" s="552"/>
      <c r="C25" s="552"/>
      <c r="D25" s="435"/>
      <c r="E25" s="1413"/>
      <c r="F25" s="1414"/>
      <c r="G25" s="441"/>
      <c r="H25" s="441"/>
      <c r="I25" s="441"/>
      <c r="J25" s="441"/>
      <c r="K25" s="1415"/>
      <c r="L25" s="441"/>
      <c r="M25" s="441"/>
    </row>
    <row r="26" spans="2:13" s="5" customFormat="1" ht="15" customHeight="1" x14ac:dyDescent="0.25">
      <c r="B26" s="552" t="s">
        <v>1126</v>
      </c>
      <c r="C26" s="552"/>
      <c r="D26" s="435"/>
      <c r="E26" s="1413"/>
      <c r="F26" s="1414"/>
      <c r="G26" s="441"/>
      <c r="H26" s="441"/>
      <c r="I26" s="441"/>
      <c r="J26" s="441"/>
      <c r="K26" s="1415"/>
      <c r="L26" s="441"/>
      <c r="M26" s="441"/>
    </row>
    <row r="27" spans="2:13" s="5" customFormat="1" ht="15" customHeight="1" x14ac:dyDescent="0.25">
      <c r="B27" s="424" t="s">
        <v>1641</v>
      </c>
      <c r="C27" s="423" t="s">
        <v>807</v>
      </c>
      <c r="D27" s="424" t="s">
        <v>607</v>
      </c>
      <c r="E27" s="1411">
        <v>25000</v>
      </c>
      <c r="F27" s="1418">
        <v>0</v>
      </c>
      <c r="G27" s="1411">
        <v>25000</v>
      </c>
      <c r="H27" s="1411">
        <v>717.5</v>
      </c>
      <c r="I27" s="1411">
        <v>4841.1899999999996</v>
      </c>
      <c r="J27" s="1411">
        <v>760</v>
      </c>
      <c r="K27" s="1419">
        <v>0</v>
      </c>
      <c r="L27" s="1411">
        <f>+H27+I27+J27</f>
        <v>6318.69</v>
      </c>
      <c r="M27" s="1411">
        <f>+G27-L27</f>
        <v>18681.310000000001</v>
      </c>
    </row>
    <row r="28" spans="2:13" s="5" customFormat="1" ht="15" customHeight="1" x14ac:dyDescent="0.25">
      <c r="B28" s="552" t="s">
        <v>813</v>
      </c>
      <c r="C28" s="552"/>
      <c r="D28" s="435">
        <v>1</v>
      </c>
      <c r="E28" s="1413">
        <v>25000</v>
      </c>
      <c r="F28" s="1414">
        <v>0</v>
      </c>
      <c r="G28" s="441">
        <v>25000</v>
      </c>
      <c r="H28" s="441">
        <v>717.5</v>
      </c>
      <c r="I28" s="441">
        <v>4841.1899999999996</v>
      </c>
      <c r="J28" s="441">
        <v>760</v>
      </c>
      <c r="K28" s="1415">
        <v>0</v>
      </c>
      <c r="L28" s="441">
        <f>+H28+I28+J28</f>
        <v>6318.69</v>
      </c>
      <c r="M28" s="441">
        <f>+G28-L28</f>
        <v>18681.310000000001</v>
      </c>
    </row>
    <row r="29" spans="2:13" s="5" customFormat="1" ht="15" customHeight="1" x14ac:dyDescent="0.25">
      <c r="B29" s="552"/>
      <c r="C29" s="552"/>
      <c r="D29" s="435"/>
      <c r="E29" s="1413"/>
      <c r="F29" s="1414"/>
      <c r="G29" s="441"/>
      <c r="H29" s="441"/>
      <c r="I29" s="441"/>
      <c r="J29" s="441"/>
      <c r="K29" s="1415"/>
      <c r="L29" s="441"/>
      <c r="M29" s="441"/>
    </row>
    <row r="30" spans="2:13" s="5" customFormat="1" ht="15" customHeight="1" x14ac:dyDescent="0.25">
      <c r="B30" s="552" t="s">
        <v>1144</v>
      </c>
      <c r="C30" s="552"/>
      <c r="D30" s="435"/>
      <c r="E30" s="1413"/>
      <c r="F30" s="1414"/>
      <c r="G30" s="441"/>
      <c r="H30" s="441"/>
      <c r="I30" s="441"/>
      <c r="J30" s="441"/>
      <c r="K30" s="1415"/>
      <c r="L30" s="441"/>
      <c r="M30" s="441"/>
    </row>
    <row r="31" spans="2:13" s="5" customFormat="1" ht="15" customHeight="1" x14ac:dyDescent="0.25">
      <c r="B31" s="1409" t="s">
        <v>1655</v>
      </c>
      <c r="C31" s="443" t="s">
        <v>807</v>
      </c>
      <c r="D31" s="1409" t="s">
        <v>1845</v>
      </c>
      <c r="E31" s="1411">
        <v>15000</v>
      </c>
      <c r="F31" s="429">
        <v>0</v>
      </c>
      <c r="G31" s="425">
        <v>15000</v>
      </c>
      <c r="H31" s="425">
        <v>430.5</v>
      </c>
      <c r="I31" s="425">
        <v>3443.74</v>
      </c>
      <c r="J31" s="425">
        <v>456</v>
      </c>
      <c r="K31" s="1412">
        <v>0</v>
      </c>
      <c r="L31" s="425">
        <f>SUM(H31:K31)</f>
        <v>4330.24</v>
      </c>
      <c r="M31" s="425">
        <f>+E31-L31</f>
        <v>10669.76</v>
      </c>
    </row>
    <row r="32" spans="2:13" s="5" customFormat="1" ht="15" customHeight="1" x14ac:dyDescent="0.25">
      <c r="B32" s="552" t="s">
        <v>813</v>
      </c>
      <c r="C32" s="552"/>
      <c r="D32" s="435">
        <v>1</v>
      </c>
      <c r="E32" s="1413">
        <v>15000</v>
      </c>
      <c r="F32" s="1414">
        <v>0</v>
      </c>
      <c r="G32" s="441">
        <v>15000</v>
      </c>
      <c r="H32" s="441">
        <v>430.5</v>
      </c>
      <c r="I32" s="441">
        <v>3443.74</v>
      </c>
      <c r="J32" s="441">
        <v>456</v>
      </c>
      <c r="K32" s="1415">
        <v>0</v>
      </c>
      <c r="L32" s="441">
        <f>SUM(H32:K32)</f>
        <v>4330.24</v>
      </c>
      <c r="M32" s="441">
        <f>+E32-L32</f>
        <v>10669.76</v>
      </c>
    </row>
    <row r="33" spans="2:13" s="5" customFormat="1" ht="15" customHeight="1" x14ac:dyDescent="0.25">
      <c r="B33" s="552"/>
      <c r="C33" s="552"/>
      <c r="D33" s="435"/>
      <c r="E33" s="1413"/>
      <c r="F33" s="1414"/>
      <c r="G33" s="441"/>
      <c r="H33" s="441"/>
      <c r="I33" s="441"/>
      <c r="J33" s="441"/>
      <c r="K33" s="1415"/>
      <c r="L33" s="441"/>
      <c r="M33" s="441"/>
    </row>
    <row r="34" spans="2:13" s="5" customFormat="1" ht="15" customHeight="1" x14ac:dyDescent="0.25">
      <c r="B34" s="552"/>
      <c r="C34" s="552"/>
      <c r="D34" s="435"/>
      <c r="E34" s="1413"/>
      <c r="F34" s="1414"/>
      <c r="G34" s="441"/>
      <c r="H34" s="441"/>
      <c r="I34" s="441"/>
      <c r="J34" s="441"/>
      <c r="K34" s="1415"/>
      <c r="L34" s="441"/>
      <c r="M34" s="441"/>
    </row>
    <row r="35" spans="2:13" s="5" customFormat="1" ht="15" customHeight="1" x14ac:dyDescent="0.25">
      <c r="B35" s="1417" t="s">
        <v>1568</v>
      </c>
      <c r="C35" s="552"/>
      <c r="D35" s="435"/>
      <c r="E35" s="1413"/>
      <c r="F35" s="1414"/>
      <c r="G35" s="441"/>
      <c r="H35" s="441"/>
      <c r="I35" s="441"/>
      <c r="J35" s="441"/>
      <c r="K35" s="1415"/>
      <c r="L35" s="441"/>
      <c r="M35" s="441"/>
    </row>
    <row r="36" spans="2:13" s="5" customFormat="1" ht="15" customHeight="1" x14ac:dyDescent="0.25">
      <c r="B36" s="1409" t="s">
        <v>232</v>
      </c>
      <c r="C36" s="443" t="s">
        <v>807</v>
      </c>
      <c r="D36" s="1410" t="s">
        <v>1569</v>
      </c>
      <c r="E36" s="1411">
        <v>20000</v>
      </c>
      <c r="F36" s="429">
        <v>0</v>
      </c>
      <c r="G36" s="425">
        <v>20000</v>
      </c>
      <c r="H36" s="425">
        <v>574</v>
      </c>
      <c r="I36" s="425">
        <v>4704.5</v>
      </c>
      <c r="J36" s="425">
        <v>608</v>
      </c>
      <c r="K36" s="1412">
        <v>0</v>
      </c>
      <c r="L36" s="425">
        <f>SUM(H36:K36)</f>
        <v>5886.5</v>
      </c>
      <c r="M36" s="425">
        <f>+E36-L36</f>
        <v>14113.5</v>
      </c>
    </row>
    <row r="37" spans="2:13" s="5" customFormat="1" ht="15" customHeight="1" x14ac:dyDescent="0.25">
      <c r="B37" s="552" t="s">
        <v>813</v>
      </c>
      <c r="C37" s="552"/>
      <c r="D37" s="435">
        <v>1</v>
      </c>
      <c r="E37" s="1413">
        <v>20000</v>
      </c>
      <c r="F37" s="1414">
        <v>0</v>
      </c>
      <c r="G37" s="441">
        <v>20000</v>
      </c>
      <c r="H37" s="441">
        <v>574</v>
      </c>
      <c r="I37" s="441">
        <v>4704.5</v>
      </c>
      <c r="J37" s="441">
        <v>608</v>
      </c>
      <c r="K37" s="1415">
        <v>0</v>
      </c>
      <c r="L37" s="441">
        <f>SUM(H37:K37)</f>
        <v>5886.5</v>
      </c>
      <c r="M37" s="441">
        <f>+E37-L37</f>
        <v>14113.5</v>
      </c>
    </row>
    <row r="38" spans="2:13" s="5" customFormat="1" ht="15" customHeight="1" x14ac:dyDescent="0.25">
      <c r="B38" s="552"/>
      <c r="C38" s="552"/>
      <c r="D38" s="435"/>
      <c r="E38" s="1413"/>
      <c r="F38" s="1414"/>
      <c r="G38" s="441"/>
      <c r="H38" s="441"/>
      <c r="I38" s="441"/>
      <c r="J38" s="441"/>
      <c r="K38" s="1415"/>
      <c r="L38" s="441"/>
      <c r="M38" s="441"/>
    </row>
    <row r="39" spans="2:13" s="5" customFormat="1" ht="15" customHeight="1" x14ac:dyDescent="0.25">
      <c r="B39" s="1420" t="s">
        <v>1443</v>
      </c>
      <c r="C39" s="1421"/>
      <c r="D39" s="1422"/>
      <c r="E39" s="1411"/>
      <c r="F39" s="429"/>
      <c r="G39" s="425"/>
      <c r="H39" s="425"/>
      <c r="I39" s="425"/>
      <c r="J39" s="425"/>
      <c r="K39" s="1412"/>
      <c r="L39" s="425"/>
      <c r="M39" s="425"/>
    </row>
    <row r="40" spans="2:13" s="5" customFormat="1" ht="15" customHeight="1" x14ac:dyDescent="0.25">
      <c r="B40" s="1423" t="s">
        <v>1642</v>
      </c>
      <c r="C40" s="1421" t="s">
        <v>806</v>
      </c>
      <c r="D40" s="1422" t="s">
        <v>1480</v>
      </c>
      <c r="E40" s="1411">
        <v>45000</v>
      </c>
      <c r="F40" s="429">
        <v>0</v>
      </c>
      <c r="G40" s="425">
        <v>45000</v>
      </c>
      <c r="H40" s="425">
        <v>1291.5</v>
      </c>
      <c r="I40" s="425">
        <v>9545.69</v>
      </c>
      <c r="J40" s="425">
        <v>1368</v>
      </c>
      <c r="K40" s="1412">
        <v>0</v>
      </c>
      <c r="L40" s="425">
        <v>12205.19</v>
      </c>
      <c r="M40" s="425">
        <v>32794.81</v>
      </c>
    </row>
    <row r="41" spans="2:13" s="5" customFormat="1" ht="15" customHeight="1" x14ac:dyDescent="0.25">
      <c r="B41" s="1423"/>
      <c r="C41" s="1421"/>
      <c r="D41" s="1424">
        <v>1</v>
      </c>
      <c r="E41" s="1413">
        <v>45000</v>
      </c>
      <c r="F41" s="1414">
        <v>0</v>
      </c>
      <c r="G41" s="441">
        <v>45000</v>
      </c>
      <c r="H41" s="441">
        <v>1291.5</v>
      </c>
      <c r="I41" s="441">
        <v>9545.69</v>
      </c>
      <c r="J41" s="441">
        <v>1368</v>
      </c>
      <c r="K41" s="1415">
        <v>0</v>
      </c>
      <c r="L41" s="441">
        <v>12205.19</v>
      </c>
      <c r="M41" s="441">
        <v>32794.81</v>
      </c>
    </row>
    <row r="42" spans="2:13" s="5" customFormat="1" ht="15" customHeight="1" x14ac:dyDescent="0.25">
      <c r="B42" s="1420" t="s">
        <v>1732</v>
      </c>
      <c r="C42" s="1421"/>
      <c r="D42" s="1424"/>
      <c r="E42" s="1413"/>
      <c r="F42" s="1414"/>
      <c r="G42" s="441"/>
      <c r="H42" s="441"/>
      <c r="I42" s="441"/>
      <c r="J42" s="441"/>
      <c r="K42" s="1415"/>
      <c r="L42" s="441"/>
      <c r="M42" s="441"/>
    </row>
    <row r="43" spans="2:13" s="5" customFormat="1" ht="15" customHeight="1" x14ac:dyDescent="0.25">
      <c r="B43" s="1423" t="s">
        <v>1643</v>
      </c>
      <c r="C43" s="1421" t="s">
        <v>807</v>
      </c>
      <c r="D43" s="1422" t="s">
        <v>1204</v>
      </c>
      <c r="E43" s="1411">
        <v>11500</v>
      </c>
      <c r="F43" s="429">
        <v>0</v>
      </c>
      <c r="G43" s="425">
        <v>11500</v>
      </c>
      <c r="H43" s="425">
        <v>330.05</v>
      </c>
      <c r="I43" s="425">
        <v>1623.06</v>
      </c>
      <c r="J43" s="425">
        <v>349.6</v>
      </c>
      <c r="K43" s="1412">
        <v>0</v>
      </c>
      <c r="L43" s="425">
        <v>2302.71</v>
      </c>
      <c r="M43" s="425">
        <f>+G43-L43</f>
        <v>9197.2900000000009</v>
      </c>
    </row>
    <row r="44" spans="2:13" s="5" customFormat="1" ht="15" customHeight="1" x14ac:dyDescent="0.25">
      <c r="B44" s="1423"/>
      <c r="C44" s="1421"/>
      <c r="D44" s="1424">
        <v>1</v>
      </c>
      <c r="E44" s="1413">
        <v>11500</v>
      </c>
      <c r="F44" s="1414">
        <v>0</v>
      </c>
      <c r="G44" s="441">
        <v>11500</v>
      </c>
      <c r="H44" s="441">
        <v>330.05</v>
      </c>
      <c r="I44" s="441">
        <v>1623.06</v>
      </c>
      <c r="J44" s="441">
        <v>349.6</v>
      </c>
      <c r="K44" s="1415">
        <v>0</v>
      </c>
      <c r="L44" s="441">
        <v>2302.71</v>
      </c>
      <c r="M44" s="441">
        <f>SUM(M43)</f>
        <v>9197.2900000000009</v>
      </c>
    </row>
    <row r="45" spans="2:13" s="5" customFormat="1" ht="15" customHeight="1" x14ac:dyDescent="0.25">
      <c r="B45" s="552"/>
      <c r="C45" s="552"/>
      <c r="D45" s="435"/>
      <c r="E45" s="1413"/>
      <c r="F45" s="1414"/>
      <c r="G45" s="441"/>
      <c r="H45" s="441"/>
      <c r="I45" s="441"/>
      <c r="J45" s="441"/>
      <c r="K45" s="1415"/>
      <c r="L45" s="441"/>
      <c r="M45" s="441"/>
    </row>
    <row r="46" spans="2:13" ht="18.75" customHeight="1" x14ac:dyDescent="0.25">
      <c r="B46" s="1425" t="s">
        <v>865</v>
      </c>
      <c r="C46" s="1426"/>
      <c r="D46" s="1128">
        <f>+D16+D20+D28+D41+D44+D37+D24+D32</f>
        <v>8</v>
      </c>
      <c r="E46" s="1427">
        <f>+E16+E20+E24+E28+E37+E41+E44+E32</f>
        <v>216500</v>
      </c>
      <c r="F46" s="1440">
        <v>0</v>
      </c>
      <c r="G46" s="1427">
        <f t="shared" ref="G46:M46" si="4">+G16+G20+G24+G28+G37+G41+G44+G32</f>
        <v>216500</v>
      </c>
      <c r="H46" s="1427">
        <f t="shared" si="4"/>
        <v>6213.55</v>
      </c>
      <c r="I46" s="1427">
        <f t="shared" si="4"/>
        <v>47680.68</v>
      </c>
      <c r="J46" s="1427">
        <f t="shared" si="4"/>
        <v>6581.6</v>
      </c>
      <c r="K46" s="1428">
        <v>0</v>
      </c>
      <c r="L46" s="1427">
        <f t="shared" si="4"/>
        <v>60475.83</v>
      </c>
      <c r="M46" s="1427">
        <f t="shared" si="4"/>
        <v>156024.17000000001</v>
      </c>
    </row>
    <row r="47" spans="2:13" x14ac:dyDescent="0.25">
      <c r="B47" s="99"/>
      <c r="C47" s="99"/>
      <c r="D47" s="99"/>
      <c r="E47" s="99"/>
      <c r="F47" s="99"/>
      <c r="G47" s="99"/>
      <c r="H47" s="99"/>
      <c r="I47" s="99"/>
      <c r="J47" s="99"/>
      <c r="K47" s="99"/>
      <c r="L47" s="99"/>
      <c r="M47" s="99"/>
    </row>
    <row r="48" spans="2:13" x14ac:dyDescent="0.25">
      <c r="B48" s="99"/>
      <c r="C48" s="99"/>
      <c r="D48" s="99"/>
      <c r="E48" s="99"/>
      <c r="F48" s="99"/>
      <c r="G48" s="99"/>
      <c r="H48" s="99"/>
      <c r="I48" s="99"/>
      <c r="J48" s="99"/>
      <c r="K48" s="99"/>
      <c r="L48" s="99"/>
      <c r="M48" s="99"/>
    </row>
    <row r="49" spans="2:13" x14ac:dyDescent="0.25">
      <c r="B49" s="99"/>
      <c r="C49" s="99"/>
      <c r="D49" s="99"/>
      <c r="E49" s="99"/>
      <c r="F49" s="99"/>
      <c r="G49" s="99"/>
      <c r="H49" s="99"/>
      <c r="I49" s="99"/>
      <c r="J49" s="99"/>
      <c r="K49" s="99"/>
      <c r="L49" s="99"/>
      <c r="M49" s="99"/>
    </row>
    <row r="50" spans="2:13" ht="9.75" customHeight="1" x14ac:dyDescent="0.25">
      <c r="B50" s="99"/>
      <c r="C50" s="99"/>
      <c r="D50" s="99"/>
      <c r="E50" s="99"/>
      <c r="F50" s="99"/>
      <c r="G50" s="99"/>
      <c r="H50" s="99"/>
      <c r="I50" s="99"/>
      <c r="J50" s="99"/>
      <c r="K50" s="99"/>
      <c r="L50" s="99"/>
      <c r="M50" s="99"/>
    </row>
    <row r="51" spans="2:13" ht="16.5" customHeight="1" x14ac:dyDescent="0.25">
      <c r="B51" s="99"/>
      <c r="C51" s="99"/>
      <c r="D51" s="99"/>
      <c r="E51" s="99"/>
      <c r="F51" s="99"/>
      <c r="G51" s="99"/>
      <c r="H51" s="99"/>
      <c r="I51" s="99"/>
      <c r="J51" s="99"/>
      <c r="K51" s="99"/>
      <c r="L51" s="99"/>
      <c r="M51" s="99"/>
    </row>
    <row r="52" spans="2:13" ht="27.75" customHeight="1" x14ac:dyDescent="0.25">
      <c r="B52" s="99"/>
      <c r="C52" s="99"/>
      <c r="D52" s="99"/>
      <c r="E52" s="99"/>
      <c r="F52" s="99"/>
      <c r="G52" s="99"/>
      <c r="H52" s="99"/>
      <c r="I52" s="99"/>
      <c r="J52" s="99"/>
      <c r="K52" s="99"/>
      <c r="L52" s="99"/>
      <c r="M52" s="99"/>
    </row>
    <row r="53" spans="2:13" ht="18" customHeight="1" x14ac:dyDescent="0.25">
      <c r="B53" s="99"/>
      <c r="C53" s="99"/>
      <c r="D53" s="99"/>
      <c r="E53" s="99"/>
      <c r="F53" s="99"/>
      <c r="G53" s="99"/>
      <c r="H53" s="99"/>
      <c r="I53" s="99"/>
      <c r="J53" s="99"/>
      <c r="K53" s="99"/>
      <c r="L53" s="99"/>
      <c r="M53" s="99"/>
    </row>
    <row r="54" spans="2:13" ht="39.75" customHeight="1" x14ac:dyDescent="0.25">
      <c r="B54" s="99"/>
      <c r="C54" s="99"/>
      <c r="D54" s="99"/>
      <c r="E54" s="99"/>
      <c r="F54" s="99"/>
      <c r="G54" s="99"/>
      <c r="H54" s="99"/>
      <c r="I54" s="99"/>
      <c r="J54" s="99"/>
      <c r="K54" s="99"/>
      <c r="L54" s="99"/>
      <c r="M54" s="99"/>
    </row>
    <row r="55" spans="2:13" x14ac:dyDescent="0.25">
      <c r="B55" s="99"/>
      <c r="C55" s="99"/>
      <c r="D55" s="99"/>
      <c r="E55" s="99"/>
      <c r="F55" s="99"/>
      <c r="G55" s="99"/>
      <c r="H55" s="99"/>
      <c r="I55" s="99"/>
      <c r="J55" s="99"/>
      <c r="K55" s="99"/>
      <c r="L55" s="99"/>
      <c r="M55" s="99"/>
    </row>
    <row r="56" spans="2:13" x14ac:dyDescent="0.25">
      <c r="B56" s="99"/>
      <c r="C56" s="99"/>
      <c r="D56" s="99"/>
      <c r="E56" s="99"/>
      <c r="F56" s="99"/>
      <c r="G56" s="99"/>
      <c r="H56" s="99"/>
      <c r="I56" s="99"/>
      <c r="J56" s="99"/>
      <c r="K56" s="99"/>
      <c r="L56" s="99"/>
      <c r="M56" s="99"/>
    </row>
    <row r="57" spans="2:13" ht="38.25" customHeight="1" x14ac:dyDescent="0.25">
      <c r="B57" s="619"/>
      <c r="C57" s="619"/>
      <c r="D57" s="1429"/>
      <c r="E57" s="1430"/>
      <c r="F57" s="1431"/>
      <c r="G57" s="1765" t="s">
        <v>1250</v>
      </c>
      <c r="H57" s="1765"/>
      <c r="I57" s="1765"/>
      <c r="J57" s="1765"/>
      <c r="K57" s="1765"/>
      <c r="L57" s="1765"/>
      <c r="M57" s="1430"/>
    </row>
    <row r="58" spans="2:13" x14ac:dyDescent="0.25">
      <c r="B58" s="1432" t="s">
        <v>1532</v>
      </c>
      <c r="C58" s="620"/>
      <c r="D58" s="1433"/>
      <c r="E58" s="1434"/>
      <c r="F58" s="1434"/>
      <c r="G58" s="1766" t="s">
        <v>852</v>
      </c>
      <c r="H58" s="1766"/>
      <c r="I58" s="1766"/>
      <c r="J58" s="1766"/>
      <c r="K58" s="1766"/>
      <c r="L58" s="1766"/>
      <c r="M58" s="1435"/>
    </row>
    <row r="59" spans="2:13" x14ac:dyDescent="0.25">
      <c r="B59" s="619" t="s">
        <v>1256</v>
      </c>
      <c r="C59" s="619"/>
      <c r="D59" s="1434"/>
      <c r="E59" s="1434"/>
      <c r="F59" s="1436"/>
      <c r="G59" s="1767" t="s">
        <v>1506</v>
      </c>
      <c r="H59" s="1767"/>
      <c r="I59" s="1767"/>
      <c r="J59" s="1767"/>
      <c r="K59" s="1767"/>
      <c r="L59" s="1767"/>
      <c r="M59" s="1434"/>
    </row>
    <row r="60" spans="2:13" ht="14.25" customHeight="1" x14ac:dyDescent="0.25">
      <c r="B60" s="620"/>
      <c r="C60" s="620"/>
      <c r="D60" s="1437"/>
      <c r="E60" s="1438"/>
      <c r="F60" s="1436"/>
      <c r="G60" s="1434"/>
      <c r="H60" s="1768"/>
      <c r="I60" s="1768"/>
      <c r="J60" s="1768"/>
      <c r="K60" s="1768"/>
      <c r="L60" s="1768"/>
      <c r="M60" s="1768"/>
    </row>
    <row r="61" spans="2:13" ht="14.25" customHeight="1" x14ac:dyDescent="0.25">
      <c r="B61" s="620"/>
      <c r="C61" s="620"/>
      <c r="D61" s="1437"/>
      <c r="E61" s="1438"/>
      <c r="F61" s="1436"/>
      <c r="G61" s="1434"/>
      <c r="H61" s="1439"/>
      <c r="I61" s="1439"/>
      <c r="J61" s="1439"/>
      <c r="K61" s="1439"/>
      <c r="L61" s="1439"/>
      <c r="M61" s="1439"/>
    </row>
    <row r="62" spans="2:13" ht="14.25" customHeight="1" x14ac:dyDescent="0.25">
      <c r="B62" s="620"/>
      <c r="C62" s="620"/>
      <c r="D62" s="1437"/>
      <c r="E62" s="1438"/>
      <c r="F62" s="1436"/>
      <c r="G62" s="1434"/>
      <c r="H62" s="1439"/>
      <c r="I62" s="1439"/>
      <c r="J62" s="1439"/>
      <c r="K62" s="1439"/>
      <c r="L62" s="1439"/>
      <c r="M62" s="1439"/>
    </row>
    <row r="63" spans="2:13" ht="29.25" customHeight="1" x14ac:dyDescent="0.25">
      <c r="B63" s="620"/>
      <c r="C63" s="620"/>
      <c r="D63" s="1437"/>
      <c r="E63" s="1438"/>
      <c r="F63" s="1436"/>
      <c r="G63" s="1434"/>
      <c r="H63" s="1439"/>
      <c r="I63" s="1439"/>
      <c r="J63" s="1439"/>
      <c r="K63" s="1439"/>
      <c r="L63" s="1439"/>
      <c r="M63" s="1439"/>
    </row>
    <row r="64" spans="2:13" ht="14.25" customHeight="1" x14ac:dyDescent="0.25">
      <c r="B64" s="620"/>
      <c r="C64" s="620"/>
      <c r="D64" s="1437"/>
      <c r="E64" s="1438"/>
      <c r="F64" s="1436"/>
      <c r="G64" s="1434"/>
      <c r="H64" s="1439"/>
      <c r="I64" s="1439"/>
      <c r="J64" s="1439"/>
      <c r="K64" s="1439"/>
      <c r="L64" s="1439"/>
      <c r="M64" s="1439"/>
    </row>
    <row r="65" spans="2:13" ht="63" customHeight="1" x14ac:dyDescent="0.25">
      <c r="B65" s="620"/>
      <c r="C65" s="620"/>
      <c r="D65" s="1437"/>
      <c r="E65" s="1438"/>
      <c r="F65" s="1436"/>
      <c r="G65" s="1434"/>
      <c r="H65" s="1439"/>
      <c r="I65" s="1439"/>
      <c r="J65" s="1439"/>
      <c r="K65" s="1439"/>
      <c r="L65" s="1439"/>
      <c r="M65" s="1439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ht="14.25" customHeight="1" x14ac:dyDescent="0.25">
      <c r="B68" s="546"/>
      <c r="C68" s="546"/>
      <c r="D68" s="547"/>
      <c r="E68" s="541"/>
      <c r="F68" s="540"/>
      <c r="G68" s="537"/>
      <c r="H68" s="866"/>
      <c r="I68" s="866"/>
      <c r="J68" s="866"/>
      <c r="K68" s="866"/>
      <c r="L68" s="866"/>
      <c r="M68" s="866"/>
    </row>
    <row r="69" spans="2:13" ht="14.25" customHeight="1" x14ac:dyDescent="0.25">
      <c r="B69" s="546"/>
      <c r="C69" s="546"/>
      <c r="D69" s="547"/>
      <c r="E69" s="541"/>
      <c r="F69" s="540"/>
      <c r="G69" s="537"/>
      <c r="H69" s="866"/>
      <c r="I69" s="866"/>
      <c r="J69" s="866"/>
      <c r="K69" s="866"/>
      <c r="L69" s="866"/>
      <c r="M69" s="866"/>
    </row>
    <row r="70" spans="2:13" ht="14.25" customHeight="1" x14ac:dyDescent="0.25">
      <c r="B70" s="546"/>
      <c r="C70" s="546"/>
      <c r="D70" s="547"/>
      <c r="E70" s="541"/>
      <c r="F70" s="540"/>
      <c r="G70" s="537"/>
      <c r="H70" s="866"/>
      <c r="I70" s="866"/>
      <c r="J70" s="866"/>
      <c r="K70" s="866"/>
      <c r="L70" s="866"/>
      <c r="M70" s="866"/>
    </row>
    <row r="71" spans="2:13" ht="14.25" customHeight="1" x14ac:dyDescent="0.25">
      <c r="B71" s="546"/>
      <c r="C71" s="546"/>
      <c r="D71" s="547"/>
      <c r="E71" s="541"/>
      <c r="F71" s="540"/>
      <c r="G71" s="537"/>
      <c r="H71" s="866"/>
      <c r="I71" s="866"/>
      <c r="J71" s="866"/>
      <c r="K71" s="866"/>
      <c r="L71" s="866"/>
      <c r="M71" s="866"/>
    </row>
    <row r="72" spans="2:13" ht="14.25" customHeight="1" x14ac:dyDescent="0.25">
      <c r="B72" s="546"/>
      <c r="C72" s="546"/>
      <c r="D72" s="547"/>
      <c r="E72" s="541"/>
      <c r="F72" s="540"/>
      <c r="G72" s="537"/>
      <c r="H72" s="866"/>
      <c r="I72" s="866"/>
      <c r="J72" s="866"/>
      <c r="K72" s="866"/>
      <c r="L72" s="866"/>
      <c r="M72" s="866"/>
    </row>
    <row r="73" spans="2:13" x14ac:dyDescent="0.25">
      <c r="B73" s="531"/>
      <c r="C73" s="531"/>
      <c r="D73" s="259"/>
      <c r="E73" s="1174"/>
      <c r="F73" s="1552"/>
      <c r="G73" s="1552"/>
      <c r="H73" s="1552"/>
      <c r="I73" s="1552"/>
      <c r="J73" s="1552"/>
      <c r="K73" s="1175"/>
      <c r="L73" s="1175"/>
      <c r="M73" s="259"/>
    </row>
    <row r="74" spans="2:13" ht="15" customHeight="1" x14ac:dyDescent="0.25">
      <c r="E74" t="s">
        <v>641</v>
      </c>
    </row>
    <row r="78" spans="2:13" ht="12" customHeight="1" x14ac:dyDescent="0.25"/>
    <row r="79" spans="2:13" hidden="1" x14ac:dyDescent="0.25"/>
    <row r="80" spans="2:13" hidden="1" x14ac:dyDescent="0.25"/>
    <row r="81" ht="3" hidden="1" customHeight="1" x14ac:dyDescent="0.25"/>
    <row r="82" hidden="1" x14ac:dyDescent="0.25"/>
    <row r="8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7:L57"/>
    <mergeCell ref="G58:L58"/>
    <mergeCell ref="G59:L59"/>
    <mergeCell ref="H60:M60"/>
    <mergeCell ref="F73:J73"/>
  </mergeCells>
  <pageMargins left="0.75" right="0.21" top="0.15" bottom="0.01" header="0.12" footer="0.02"/>
  <pageSetup scale="57" fitToHeight="0" orientation="landscape" r:id="rId1"/>
  <drawing r:id="rId2"/>
</worksheet>
</file>

<file path=xl/worksheets/sheet3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1CF484-B882-4154-B2D5-E365088E3610}">
  <sheetPr>
    <pageSetUpPr fitToPage="1"/>
  </sheetPr>
  <dimension ref="A1:M84"/>
  <sheetViews>
    <sheetView tabSelected="1" zoomScale="80" zoomScaleNormal="80" zoomScaleSheetLayoutView="80" workbookViewId="0">
      <selection activeCell="P19" sqref="P19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33.28515625" customWidth="1"/>
    <col min="4" max="4" width="23.5703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ht="15.75" x14ac:dyDescent="0.25">
      <c r="A7" s="1584" t="s">
        <v>0</v>
      </c>
      <c r="B7" s="1584"/>
      <c r="C7" s="1584"/>
      <c r="D7" s="1584"/>
      <c r="E7" s="1584"/>
      <c r="F7" s="1584"/>
      <c r="G7" s="1584"/>
      <c r="H7" s="1584"/>
      <c r="I7" s="1584"/>
      <c r="J7" s="1584"/>
      <c r="K7" s="1584"/>
      <c r="L7" s="1584"/>
      <c r="M7" s="1584"/>
    </row>
    <row r="8" spans="1:13" x14ac:dyDescent="0.25">
      <c r="A8" s="1551" t="s">
        <v>1</v>
      </c>
      <c r="B8" s="1551"/>
      <c r="C8" s="1551"/>
      <c r="D8" s="1551"/>
      <c r="E8" s="1551"/>
      <c r="F8" s="1551"/>
      <c r="G8" s="1551"/>
      <c r="H8" s="1551"/>
      <c r="I8" s="1551"/>
      <c r="J8" s="1551"/>
      <c r="K8" s="1551"/>
      <c r="L8" s="1551"/>
      <c r="M8" s="1551"/>
    </row>
    <row r="9" spans="1:13" x14ac:dyDescent="0.25">
      <c r="A9" s="1551" t="s">
        <v>3</v>
      </c>
      <c r="B9" s="1551"/>
      <c r="C9" s="1551"/>
      <c r="D9" s="1551"/>
      <c r="E9" s="1551"/>
      <c r="F9" s="1551"/>
      <c r="G9" s="1551"/>
      <c r="H9" s="1551"/>
      <c r="I9" s="1551"/>
      <c r="J9" s="1551"/>
      <c r="K9" s="1551"/>
      <c r="L9" s="1551"/>
      <c r="M9" s="1551"/>
    </row>
    <row r="10" spans="1:13" x14ac:dyDescent="0.25">
      <c r="A10" s="1551" t="s">
        <v>1838</v>
      </c>
      <c r="B10" s="1551"/>
      <c r="C10" s="1551"/>
      <c r="D10" s="1551"/>
      <c r="E10" s="1551"/>
      <c r="F10" s="1551"/>
      <c r="G10" s="1551"/>
      <c r="H10" s="1551"/>
      <c r="I10" s="1551"/>
      <c r="J10" s="1551"/>
      <c r="K10" s="1551"/>
      <c r="L10" s="1551"/>
      <c r="M10" s="1551"/>
    </row>
    <row r="11" spans="1:13" x14ac:dyDescent="0.25">
      <c r="A11" s="1552" t="s">
        <v>5</v>
      </c>
      <c r="B11" s="1552"/>
      <c r="C11" s="1552"/>
      <c r="D11" s="1552"/>
      <c r="E11" s="1552"/>
      <c r="F11" s="1552"/>
      <c r="G11" s="1552"/>
      <c r="H11" s="1552"/>
      <c r="I11" s="1552"/>
      <c r="J11" s="1552"/>
      <c r="K11" s="1552"/>
      <c r="L11" s="1552"/>
      <c r="M11" s="1552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713" t="s">
        <v>7</v>
      </c>
      <c r="B13" s="1713" t="s">
        <v>937</v>
      </c>
      <c r="C13" s="1713" t="s">
        <v>10</v>
      </c>
      <c r="D13" s="1713" t="s">
        <v>11</v>
      </c>
      <c r="E13" s="1047" t="s">
        <v>12</v>
      </c>
      <c r="F13" s="1713" t="s">
        <v>13</v>
      </c>
      <c r="G13" s="1713" t="s">
        <v>14</v>
      </c>
      <c r="H13" s="1713" t="s">
        <v>15</v>
      </c>
      <c r="I13" s="1713" t="s">
        <v>16</v>
      </c>
      <c r="J13" s="1713" t="s">
        <v>17</v>
      </c>
      <c r="K13" s="1713" t="s">
        <v>18</v>
      </c>
      <c r="L13" s="1713" t="s">
        <v>19</v>
      </c>
      <c r="M13" s="1713" t="s">
        <v>20</v>
      </c>
    </row>
    <row r="14" spans="1:13" x14ac:dyDescent="0.25">
      <c r="A14" s="1713"/>
      <c r="B14" s="1713"/>
      <c r="C14" s="1713"/>
      <c r="D14" s="1713"/>
      <c r="E14" s="1047" t="s">
        <v>21</v>
      </c>
      <c r="F14" s="1713"/>
      <c r="G14" s="1713"/>
      <c r="H14" s="1713"/>
      <c r="I14" s="1713"/>
      <c r="J14" s="1713"/>
      <c r="K14" s="1713"/>
      <c r="L14" s="1713"/>
      <c r="M14" s="1713"/>
    </row>
    <row r="15" spans="1:13" s="259" customFormat="1" ht="31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31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31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8" si="0">+H17+I17+J17+K17</f>
        <v>0</v>
      </c>
      <c r="M17" s="1361">
        <v>12000</v>
      </c>
    </row>
    <row r="18" spans="1:13" s="259" customFormat="1" ht="31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31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31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31.5" customHeight="1" x14ac:dyDescent="0.3">
      <c r="A21" s="1357" t="s">
        <v>1080</v>
      </c>
      <c r="B21" s="1358" t="s">
        <v>806</v>
      </c>
      <c r="C21" s="1359" t="s">
        <v>235</v>
      </c>
      <c r="D21" s="1360" t="s">
        <v>236</v>
      </c>
      <c r="E21" s="1361">
        <v>12000</v>
      </c>
      <c r="F21" s="1362">
        <v>0</v>
      </c>
      <c r="G21" s="1361">
        <v>12000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12000</v>
      </c>
    </row>
    <row r="22" spans="1:13" s="259" customFormat="1" ht="31.5" customHeight="1" x14ac:dyDescent="0.3">
      <c r="A22" s="1357" t="s">
        <v>1630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31.5" customHeight="1" x14ac:dyDescent="0.3">
      <c r="A23" s="1357" t="s">
        <v>1192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31.5" customHeight="1" x14ac:dyDescent="0.3">
      <c r="A24" s="1357" t="s">
        <v>1046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31.5" customHeight="1" x14ac:dyDescent="0.3">
      <c r="A25" s="1357" t="s">
        <v>1246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31.5" customHeight="1" x14ac:dyDescent="0.3">
      <c r="A26" s="1357" t="s">
        <v>1247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31.5" customHeight="1" x14ac:dyDescent="0.3">
      <c r="A27" s="1357" t="s">
        <v>1631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31.5" customHeight="1" x14ac:dyDescent="0.3">
      <c r="A28" s="1357" t="s">
        <v>1632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31.5" customHeight="1" x14ac:dyDescent="0.3">
      <c r="A29" s="1357" t="s">
        <v>1633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31.5" customHeight="1" x14ac:dyDescent="0.3">
      <c r="A30" s="1357" t="s">
        <v>1834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31.5" customHeight="1" x14ac:dyDescent="0.3">
      <c r="A31" s="1357" t="s">
        <v>1766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31.5" customHeight="1" x14ac:dyDescent="0.3">
      <c r="A32" s="1357" t="s">
        <v>1827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1.5" customHeight="1" x14ac:dyDescent="0.3">
      <c r="A33" s="1357" t="s">
        <v>1796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1.5" customHeight="1" x14ac:dyDescent="0.3">
      <c r="A34" s="1357" t="s">
        <v>1797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1.5" customHeight="1" x14ac:dyDescent="0.3">
      <c r="A35" s="1357" t="s">
        <v>1798</v>
      </c>
      <c r="B35" s="1356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1.5" customHeight="1" x14ac:dyDescent="0.3">
      <c r="A36" s="1357" t="s">
        <v>1799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1.5" customHeight="1" x14ac:dyDescent="0.3">
      <c r="A37" s="1357" t="s">
        <v>1800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1.5" customHeight="1" x14ac:dyDescent="0.3">
      <c r="A38" s="1357" t="s">
        <v>1801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ht="31.5" customHeight="1" x14ac:dyDescent="0.3">
      <c r="A39" s="1367" t="s">
        <v>1767</v>
      </c>
      <c r="B39" s="1368"/>
      <c r="C39" s="1369">
        <v>23</v>
      </c>
      <c r="D39" s="1370"/>
      <c r="E39" s="1371">
        <f t="shared" ref="E39:M39" si="1">SUM(E16:E38)</f>
        <v>324000</v>
      </c>
      <c r="F39" s="1371">
        <f t="shared" si="1"/>
        <v>0</v>
      </c>
      <c r="G39" s="1371">
        <f t="shared" si="1"/>
        <v>324000</v>
      </c>
      <c r="H39" s="1371">
        <f t="shared" si="1"/>
        <v>0</v>
      </c>
      <c r="I39" s="1371">
        <f t="shared" si="1"/>
        <v>4195.88</v>
      </c>
      <c r="J39" s="1371">
        <f t="shared" si="1"/>
        <v>0</v>
      </c>
      <c r="K39" s="1371">
        <f t="shared" si="1"/>
        <v>0</v>
      </c>
      <c r="L39" s="1371">
        <f t="shared" si="1"/>
        <v>4195.88</v>
      </c>
      <c r="M39" s="1371">
        <f t="shared" si="1"/>
        <v>319804.12</v>
      </c>
    </row>
    <row r="40" spans="1:13" ht="24.75" customHeight="1" x14ac:dyDescent="0.25">
      <c r="A40" s="1312"/>
      <c r="B40" s="601"/>
      <c r="C40" s="462"/>
      <c r="D40" s="283"/>
      <c r="E40" s="1313"/>
      <c r="F40" s="1313"/>
      <c r="G40" s="1313"/>
      <c r="H40" s="1313"/>
      <c r="I40" s="1313"/>
      <c r="J40" s="1313"/>
      <c r="K40" s="1313"/>
      <c r="L40" s="1313"/>
      <c r="M40" s="1313"/>
    </row>
    <row r="41" spans="1:13" ht="31.5" customHeight="1" x14ac:dyDescent="0.3">
      <c r="A41" s="1366" t="s">
        <v>1760</v>
      </c>
      <c r="B41" s="601"/>
      <c r="C41" s="286"/>
      <c r="D41" s="283"/>
      <c r="E41" s="284"/>
      <c r="F41" s="285"/>
      <c r="G41" s="284"/>
      <c r="H41" s="285"/>
      <c r="I41" s="285"/>
      <c r="J41" s="285"/>
      <c r="K41" s="285"/>
      <c r="L41" s="284"/>
      <c r="M41" s="284"/>
    </row>
    <row r="42" spans="1:13" ht="31.5" customHeight="1" x14ac:dyDescent="0.3">
      <c r="A42" s="1366" t="s">
        <v>1740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1.5" customHeight="1" x14ac:dyDescent="0.3">
      <c r="A43" s="1357" t="s">
        <v>1802</v>
      </c>
      <c r="B43" s="1356" t="s">
        <v>806</v>
      </c>
      <c r="C43" s="1359" t="s">
        <v>235</v>
      </c>
      <c r="D43" s="1360" t="s">
        <v>236</v>
      </c>
      <c r="E43" s="1361">
        <v>12000</v>
      </c>
      <c r="F43" s="1362">
        <v>0</v>
      </c>
      <c r="G43" s="1361">
        <v>12000</v>
      </c>
      <c r="H43" s="1362">
        <v>0</v>
      </c>
      <c r="I43" s="1362">
        <v>0</v>
      </c>
      <c r="J43" s="1362">
        <v>0</v>
      </c>
      <c r="K43" s="1362">
        <v>0</v>
      </c>
      <c r="L43" s="1361">
        <f t="shared" ref="L43" si="2">+H43+I43+J43+K43</f>
        <v>0</v>
      </c>
      <c r="M43" s="1361">
        <v>12000</v>
      </c>
    </row>
    <row r="44" spans="1:13" ht="31.5" customHeight="1" x14ac:dyDescent="0.3">
      <c r="A44" s="1312" t="s">
        <v>1767</v>
      </c>
      <c r="B44" s="601"/>
      <c r="C44" s="1369">
        <v>1</v>
      </c>
      <c r="D44" s="283"/>
      <c r="E44" s="1372">
        <f>SUM(E43)</f>
        <v>12000</v>
      </c>
      <c r="F44" s="1373">
        <f t="shared" ref="F44:M44" si="3">SUM(F43)</f>
        <v>0</v>
      </c>
      <c r="G44" s="1372">
        <f t="shared" si="3"/>
        <v>12000</v>
      </c>
      <c r="H44" s="1373">
        <f t="shared" si="3"/>
        <v>0</v>
      </c>
      <c r="I44" s="1373">
        <f t="shared" si="3"/>
        <v>0</v>
      </c>
      <c r="J44" s="1373">
        <f t="shared" si="3"/>
        <v>0</v>
      </c>
      <c r="K44" s="1373">
        <f t="shared" si="3"/>
        <v>0</v>
      </c>
      <c r="L44" s="1372">
        <f t="shared" si="3"/>
        <v>0</v>
      </c>
      <c r="M44" s="1372">
        <f t="shared" si="3"/>
        <v>12000</v>
      </c>
    </row>
    <row r="45" spans="1:13" ht="31.5" customHeight="1" x14ac:dyDescent="0.3">
      <c r="A45" s="724"/>
      <c r="B45" s="602"/>
      <c r="C45" s="1369"/>
      <c r="D45" s="283"/>
      <c r="E45" s="273"/>
      <c r="F45" s="273"/>
      <c r="G45" s="273"/>
      <c r="H45" s="273"/>
      <c r="I45" s="273"/>
      <c r="J45" s="273"/>
      <c r="K45" s="273"/>
      <c r="L45" s="273"/>
      <c r="M45" s="273"/>
    </row>
    <row r="46" spans="1:13" ht="33" customHeight="1" x14ac:dyDescent="0.3">
      <c r="A46" s="1375" t="s">
        <v>865</v>
      </c>
      <c r="B46" s="1375"/>
      <c r="C46" s="1374">
        <f>+C39+C44</f>
        <v>24</v>
      </c>
      <c r="D46" s="1374"/>
      <c r="E46" s="1376">
        <f>+E39+E44</f>
        <v>336000</v>
      </c>
      <c r="F46" s="1376">
        <f t="shared" ref="F46:M46" si="4">+F39+F44</f>
        <v>0</v>
      </c>
      <c r="G46" s="1376">
        <f t="shared" si="4"/>
        <v>336000</v>
      </c>
      <c r="H46" s="1376">
        <f t="shared" si="4"/>
        <v>0</v>
      </c>
      <c r="I46" s="1376">
        <f t="shared" si="4"/>
        <v>4195.88</v>
      </c>
      <c r="J46" s="1376">
        <f t="shared" si="4"/>
        <v>0</v>
      </c>
      <c r="K46" s="1376">
        <f t="shared" si="4"/>
        <v>0</v>
      </c>
      <c r="L46" s="1376">
        <f t="shared" si="4"/>
        <v>4195.88</v>
      </c>
      <c r="M46" s="1376">
        <f t="shared" si="4"/>
        <v>331804.12</v>
      </c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21.7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19.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0.7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19.5" hidden="1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4.25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9.5" hidden="1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7.2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9.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6.75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5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542"/>
      <c r="B67" s="542"/>
      <c r="C67" s="753"/>
      <c r="D67" s="753"/>
      <c r="E67" s="754"/>
      <c r="F67" s="755"/>
      <c r="G67" s="674"/>
      <c r="H67" s="674"/>
      <c r="I67" s="674"/>
      <c r="J67" s="674"/>
      <c r="K67" s="674"/>
      <c r="L67" s="674"/>
      <c r="M67" s="756"/>
    </row>
    <row r="68" spans="1:13" s="259" customFormat="1" ht="19.5" customHeight="1" x14ac:dyDescent="0.25">
      <c r="A68" s="1690" t="s">
        <v>1269</v>
      </c>
      <c r="B68" s="1690"/>
      <c r="C68" s="753"/>
      <c r="D68" s="753"/>
      <c r="E68" s="754"/>
      <c r="F68" s="755"/>
      <c r="H68" s="1691" t="s">
        <v>852</v>
      </c>
      <c r="I68" s="1691"/>
      <c r="J68" s="1691"/>
      <c r="K68" s="1691"/>
      <c r="L68" s="1691"/>
      <c r="M68" s="1691"/>
    </row>
    <row r="69" spans="1:13" s="259" customFormat="1" ht="19.5" customHeight="1" x14ac:dyDescent="0.25">
      <c r="A69" s="1628" t="s">
        <v>1813</v>
      </c>
      <c r="B69" s="1628"/>
      <c r="C69" s="753"/>
      <c r="D69" s="753"/>
      <c r="E69" s="754"/>
      <c r="F69" s="755"/>
      <c r="H69" s="1692" t="s">
        <v>1505</v>
      </c>
      <c r="I69" s="1692"/>
      <c r="J69" s="1692"/>
      <c r="K69" s="1692"/>
      <c r="L69" s="1692"/>
      <c r="M69" s="1692"/>
    </row>
    <row r="70" spans="1:13" ht="108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57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0.2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27.75" hidden="1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39.7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15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9.5" customHeight="1" x14ac:dyDescent="0.25">
      <c r="A76" s="537"/>
      <c r="B76" s="542"/>
      <c r="C76" s="537"/>
      <c r="D76" s="537"/>
      <c r="E76" s="537"/>
      <c r="F76" s="537"/>
      <c r="G76" s="537"/>
      <c r="H76" s="537"/>
      <c r="I76" s="537"/>
      <c r="J76" s="537"/>
      <c r="K76" s="537"/>
      <c r="L76" s="537"/>
      <c r="M76" s="53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x14ac:dyDescent="0.25">
      <c r="C78" s="543"/>
      <c r="D78" s="543"/>
      <c r="E78" s="544"/>
      <c r="F78" s="545"/>
      <c r="M78" s="544"/>
    </row>
    <row r="79" spans="1:13" x14ac:dyDescent="0.25">
      <c r="C79" s="538"/>
      <c r="D79" s="537"/>
      <c r="E79" s="537"/>
      <c r="F79" s="537"/>
      <c r="M79" s="539"/>
    </row>
    <row r="80" spans="1:13" x14ac:dyDescent="0.25">
      <c r="C80" s="537"/>
      <c r="D80" s="537"/>
      <c r="E80" s="537"/>
      <c r="F80" s="540"/>
      <c r="M80" s="537"/>
    </row>
    <row r="81" spans="1:13" x14ac:dyDescent="0.25">
      <c r="C81" s="547"/>
      <c r="D81" s="546"/>
      <c r="E81" s="541"/>
      <c r="F81" s="540"/>
      <c r="G81" s="537"/>
      <c r="H81" s="1629"/>
      <c r="I81" s="1629"/>
      <c r="J81" s="1629"/>
      <c r="K81" s="1629"/>
      <c r="L81" s="1629"/>
      <c r="M81" s="1629"/>
    </row>
    <row r="82" spans="1:13" ht="15.75" x14ac:dyDescent="0.25">
      <c r="A82" s="267"/>
      <c r="B82" s="267"/>
      <c r="C82" s="268"/>
      <c r="D82" s="268"/>
      <c r="E82" s="269"/>
      <c r="F82" s="1549"/>
      <c r="G82" s="1549"/>
      <c r="H82" s="1549"/>
      <c r="I82" s="1549"/>
      <c r="J82" s="1549"/>
      <c r="K82" s="271"/>
      <c r="L82" s="271"/>
      <c r="M82" s="259"/>
    </row>
    <row r="83" spans="1:13" x14ac:dyDescent="0.25">
      <c r="B83" s="531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259"/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2:J82"/>
    <mergeCell ref="M13:M14"/>
    <mergeCell ref="A68:B68"/>
    <mergeCell ref="H68:M68"/>
    <mergeCell ref="A69:B69"/>
    <mergeCell ref="H69:M69"/>
    <mergeCell ref="H81:M81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11" right="0.39370078740157483" top="0" bottom="0.01" header="0" footer="0.09"/>
  <pageSetup paperSize="5" scale="35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349</vt:i4>
      </vt:variant>
      <vt:variant>
        <vt:lpstr>Rangos con nombre</vt:lpstr>
      </vt:variant>
      <vt:variant>
        <vt:i4>95</vt:i4>
      </vt:variant>
    </vt:vector>
  </HeadingPairs>
  <TitlesOfParts>
    <vt:vector size="444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JUN 2024</vt:lpstr>
      <vt:lpstr>NOMINA FIJA JULIO  2024 </vt:lpstr>
      <vt:lpstr>NOMI EMPLEADO JULIO 2024   </vt:lpstr>
      <vt:lpstr>NOMINA MILITAR JULIO  2024 </vt:lpstr>
      <vt:lpstr>NOM INTERINATO JULIO  2024 </vt:lpstr>
      <vt:lpstr>NOMINA SUPLENCIA JULIO 2024 </vt:lpstr>
      <vt:lpstr>NOMINATRAMITE PENSION JULI 2024</vt:lpstr>
      <vt:lpstr>NOMINA FIJA AGOSTO 2024 </vt:lpstr>
      <vt:lpstr>NOMI EMPLEADO TEMPO AGOSTO 2024</vt:lpstr>
      <vt:lpstr>NOMINA MILITAR AGOSTO 2024</vt:lpstr>
      <vt:lpstr>NOM INTERINATO AGOST 2024</vt:lpstr>
      <vt:lpstr>NOMINA SUPLENCIA AGOSTO 2024</vt:lpstr>
      <vt:lpstr>NOMINATRAMITE PENSION AGOST 24</vt:lpstr>
      <vt:lpstr>NOMINA FIJA SEPTIEMBRE 2024</vt:lpstr>
      <vt:lpstr>NOMI EMPLEADO TEMPO SEPTIEM 24</vt:lpstr>
      <vt:lpstr>NOMINA MILITAR SEPTIEMBRE 2024</vt:lpstr>
      <vt:lpstr>NOM INTERINATO SEPTIEMBRE 2024</vt:lpstr>
      <vt:lpstr>NOMINA SUPLENCIA SEPTIEMBRE 24</vt:lpstr>
      <vt:lpstr>NOMINATRAMITE PENSION SEP 2024</vt:lpstr>
      <vt:lpstr>NOM PERIODO PRUEBA SEPTIE 2024</vt:lpstr>
      <vt:lpstr>NOMINA FIJA OCTUBRE 2024</vt:lpstr>
      <vt:lpstr>NOM EMPLE TEMPO OCTUBRE 2024 </vt:lpstr>
      <vt:lpstr>NOMINA MILITAR OCTUBR 2024</vt:lpstr>
      <vt:lpstr>NOM INTERINATO OCTUBRE 2024</vt:lpstr>
      <vt:lpstr>NOMINA SUPLENCIA OCTUBRE 2024</vt:lpstr>
      <vt:lpstr>NOM PERIODO PRUEBA OCTUBRE 24</vt:lpstr>
      <vt:lpstr>NOMI TRAMITE PENSION OCTUBRE 24</vt:lpstr>
      <vt:lpstr>NOMINA FIJA NOVIEMBRE 2024</vt:lpstr>
      <vt:lpstr>NOM EMPLEA TEMPO NOVIEMBRE 2024</vt:lpstr>
      <vt:lpstr>NOMINA MILITAR NOVIEMBRE 2024</vt:lpstr>
      <vt:lpstr>NOM INTERINATO NOVIEMBRE 2024</vt:lpstr>
      <vt:lpstr>NOM PERIODO PRUEBA NOVIEM 2024</vt:lpstr>
      <vt:lpstr>NOMINA SUPLENCIA NOVIEM 2024</vt:lpstr>
      <vt:lpstr>NOMI TRAMITE PENSION NOVIEM 24</vt:lpstr>
      <vt:lpstr>NOMINA FIJA DICIEMBRE 2024</vt:lpstr>
      <vt:lpstr>NOM EMPLEA TEMPO DICIEMBRE 2024</vt:lpstr>
      <vt:lpstr>NOMINA MILITAR DICIEMBRE 2024</vt:lpstr>
      <vt:lpstr>NOM INTERINATO DICIEMBRE 2024</vt:lpstr>
      <vt:lpstr>NOMINA SUPLENCIA DICIEMBRE 2024</vt:lpstr>
      <vt:lpstr>NOM PERIODO PRUEBA DICIEMBRE 24</vt:lpstr>
      <vt:lpstr>NOM TRAMITE PENSION DICIEMB 24</vt:lpstr>
      <vt:lpstr>NOMINA FIJA ENERO 2025</vt:lpstr>
      <vt:lpstr>NOM EMPLEA TEMPO ENERO 2025</vt:lpstr>
      <vt:lpstr>NOMINA MILITAR ENERO 2025</vt:lpstr>
      <vt:lpstr>NOM INTERINATO ENERO 2025</vt:lpstr>
      <vt:lpstr>NOMINA SUPLENCIA ENERO 2025</vt:lpstr>
      <vt:lpstr>NOM PERIODO PRUEBA ENERO 2025</vt:lpstr>
      <vt:lpstr>NOM TRAMITE PENSION ENERO 2025</vt:lpstr>
      <vt:lpstr>NOMINA FIJA FEBRERO 2025</vt:lpstr>
      <vt:lpstr>NOM EMPLEA TEMPO FEBRERO 25</vt:lpstr>
      <vt:lpstr>NOMINA MILITAR FEBRERO 2025 </vt:lpstr>
      <vt:lpstr>NOM INTERINATO FEBRERO 2025</vt:lpstr>
      <vt:lpstr>NOMINA SUPLENCIA FEBRERO 2025</vt:lpstr>
      <vt:lpstr>NOM PERIODO PRUEBA FEBRERO 2025</vt:lpstr>
      <vt:lpstr>NOM TRAMITE PENSION FEBRERO 25</vt:lpstr>
      <vt:lpstr>NOMINA FIJA MARZO 2025</vt:lpstr>
      <vt:lpstr>NOM EMPLEA TEMPO MARZO 2025</vt:lpstr>
      <vt:lpstr>NOMINA MILITAR MARZO 2025</vt:lpstr>
      <vt:lpstr>NOM INTERINATO MARZO 2025</vt:lpstr>
      <vt:lpstr>NOMINA SUPLENCIA MARZO 2025</vt:lpstr>
      <vt:lpstr>NOM PERIODO PRUEBA MARZO 2025</vt:lpstr>
      <vt:lpstr>NOM TRAMITE PENSION MARZO 2025</vt:lpstr>
      <vt:lpstr>NOMINA FIJA ABRIL 2025</vt:lpstr>
      <vt:lpstr>NOM EMPLEA TEMPO ABRIL 2025</vt:lpstr>
      <vt:lpstr>NOMINA MILITAR ABRIL 2025 </vt:lpstr>
      <vt:lpstr>NOM INTERINATO ABRIL 2025 </vt:lpstr>
      <vt:lpstr>NOMINA SUPLENCIA ABRIL 2025 </vt:lpstr>
      <vt:lpstr>NOM PERIODO PRUEBA ABRIL 2025</vt:lpstr>
      <vt:lpstr>NOM TRAMITE PENSION ABRIL 2025</vt:lpstr>
      <vt:lpstr>NOMINA FIJA MAYO 2025 (2)</vt:lpstr>
      <vt:lpstr>NOM EMPLEA TEMPO MAYO 2025</vt:lpstr>
      <vt:lpstr>NOMINA MILITAR MAYO 2025</vt:lpstr>
      <vt:lpstr>NOM INTERINATO MAYO 2025</vt:lpstr>
      <vt:lpstr>NOMINA SUPLENCIA MAYO 2025</vt:lpstr>
      <vt:lpstr>NOM TRAMITE PENSIÓN MAYO 2025</vt:lpstr>
      <vt:lpstr>NOMINA FIJA JUNIO 2025 </vt:lpstr>
      <vt:lpstr>NOM EMPLEA TEMPO JUNIO 2025 </vt:lpstr>
      <vt:lpstr>NOM INTERINATO JUNIO 2025 </vt:lpstr>
      <vt:lpstr>NOMINA SUPLENCIA JUNIO 2025</vt:lpstr>
      <vt:lpstr>NOM TRAMITE PENSIÓN JUNI 20 </vt:lpstr>
      <vt:lpstr>NOMINA MILITAR MAYO 2025 (2)</vt:lpstr>
      <vt:lpstr>NOMINA FIJA JULIO 2025</vt:lpstr>
      <vt:lpstr>NOM EMPLEA TEMPO JULIO 2025</vt:lpstr>
      <vt:lpstr>NOM INTERINATO JULIO 2025 </vt:lpstr>
      <vt:lpstr>NOMINA SUPLENCIA JULIO 2025</vt:lpstr>
      <vt:lpstr>NOMINA MILITAR JULIO 2025</vt:lpstr>
      <vt:lpstr>NOMINA FIJA AGOSTO 2025</vt:lpstr>
      <vt:lpstr>NOM EMPLEA TEMPO AGOSTO 2025</vt:lpstr>
      <vt:lpstr>NOMINA INTERINATO AGOSTO 2025</vt:lpstr>
      <vt:lpstr>NOMINA SUPLENCIA AGOSTO 2025</vt:lpstr>
      <vt:lpstr>NOMINA MILITAR AGOSTO 2025</vt:lpstr>
      <vt:lpstr>NOMINA FIJA SEPTIEMBRE 2025</vt:lpstr>
      <vt:lpstr>NOM EMPLEA TEMPO SEP 2025</vt:lpstr>
      <vt:lpstr>NOMINA INTERINATO SEPTIEMB 2025</vt:lpstr>
      <vt:lpstr>NOMINA SUPLENCIA SEPTIEMB 2025</vt:lpstr>
      <vt:lpstr>NOMINA MILITAR SEPTIEM 2025</vt:lpstr>
      <vt:lpstr>NOMINA FIJA OCTUBRE 2025</vt:lpstr>
      <vt:lpstr>NOM EMPLEA TEMPO OCTUBRE 2025</vt:lpstr>
      <vt:lpstr>NOMINA INTERINATO OCTUBRE 2025</vt:lpstr>
      <vt:lpstr>NOMINA SUPLENCIA OCTUBRE 2025</vt:lpstr>
      <vt:lpstr>NOMINA MILITAR OCTUBRE 2025 </vt:lpstr>
      <vt:lpstr>NOMINA FIJA NOVIEMBRE 2025</vt:lpstr>
      <vt:lpstr>NOM EMPLEA TEMPO NOVIEMBRE 2025</vt:lpstr>
      <vt:lpstr>NOMINA SUPLENCIA NOVIEMBRE 2025</vt:lpstr>
      <vt:lpstr>NOMINA MILITAR NOVIEMBRE 2025</vt:lpstr>
      <vt:lpstr>'NOM EMPLE TEMPO OCTUBRE 2024 '!Área_de_impresión</vt:lpstr>
      <vt:lpstr>'NOM EMPLEA TEMPO ABRIL 2025'!Área_de_impresión</vt:lpstr>
      <vt:lpstr>'NOM EMPLEA TEMPO AGOSTO 2025'!Área_de_impresión</vt:lpstr>
      <vt:lpstr>'NOM EMPLEA TEMPO DICIEMBRE 2024'!Área_de_impresión</vt:lpstr>
      <vt:lpstr>'NOM EMPLEA TEMPO ENERO 2025'!Área_de_impresión</vt:lpstr>
      <vt:lpstr>'NOM EMPLEA TEMPO FEBRERO 25'!Área_de_impresión</vt:lpstr>
      <vt:lpstr>'NOM EMPLEA TEMPO JULIO 2025'!Área_de_impresión</vt:lpstr>
      <vt:lpstr>'NOM EMPLEA TEMPO JUNIO 2025 '!Área_de_impresión</vt:lpstr>
      <vt:lpstr>'NOM EMPLEA TEMPO MARZO 2025'!Área_de_impresión</vt:lpstr>
      <vt:lpstr>'NOM EMPLEA TEMPO MAYO 2025'!Área_de_impresión</vt:lpstr>
      <vt:lpstr>'NOM EMPLEA TEMPO NOVIEMBRE 2024'!Área_de_impresión</vt:lpstr>
      <vt:lpstr>'NOM EMPLEA TEMPO NOVIEMBRE 2025'!Área_de_impresión</vt:lpstr>
      <vt:lpstr>'NOM EMPLEA TEMPO OCTUBRE 2025'!Área_de_impresión</vt:lpstr>
      <vt:lpstr>'NOM EMPLEA TEMPO SEP 2025'!Área_de_impresión</vt:lpstr>
      <vt:lpstr>'NOM INTERINATO ABRIL 2025 '!Área_de_impresión</vt:lpstr>
      <vt:lpstr>'NOM INTERINATO JULIO 2025 '!Área_de_impresión</vt:lpstr>
      <vt:lpstr>'NOM INTERINATO JUNIO 2025 '!Área_de_impresión</vt:lpstr>
      <vt:lpstr>'NOM INTERINATO MARZO 2025'!Área_de_impresión</vt:lpstr>
      <vt:lpstr>'NOM INTERINATO MAYO 2025'!Área_de_impresión</vt:lpstr>
      <vt:lpstr>'NOM TRAMITE PENSION ABRIL 2025'!Área_de_impresión</vt:lpstr>
      <vt:lpstr>'NOM TRAMITE PENSION ENERO 2025'!Área_de_impresión</vt:lpstr>
      <vt:lpstr>'NOM TRAMITE PENSION FEBRERO 25'!Área_de_impresión</vt:lpstr>
      <vt:lpstr>'NOM TRAMITE PENSIÓN JUNI 20 '!Área_de_impresión</vt:lpstr>
      <vt:lpstr>'NOM TRAMITE PENSION MARZO 2025'!Área_de_impresión</vt:lpstr>
      <vt:lpstr>'NOM TRAMITE PENSIÓN MAYO 2025'!Área_de_impresión</vt:lpstr>
      <vt:lpstr>'NOMI EMPLEADO ABRIL 2024'!Área_de_impresión</vt:lpstr>
      <vt:lpstr>'NOMI EMPLEADO FEBRERO 2024'!Área_de_impresión</vt:lpstr>
      <vt:lpstr>'NOMI EMPLEADO JULIO 2024   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AGOSTO 2024'!Área_de_impresión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 EMPLEADO TEMPO SEPTIEM 24'!Área_de_impresión</vt:lpstr>
      <vt:lpstr>'NOMINA FIJA ABRIL  2024  )'!Área_de_impresión</vt:lpstr>
      <vt:lpstr>'NOMINA FIJA ABRIL 2025'!Área_de_impresión</vt:lpstr>
      <vt:lpstr>'NOMINA FIJA AGOSTO 2024 '!Área_de_impresión</vt:lpstr>
      <vt:lpstr>'NOMINA FIJA AGOSTO 2025'!Área_de_impresión</vt:lpstr>
      <vt:lpstr>'NOMINA FIJA DICIEMBRE 2024'!Área_de_impresión</vt:lpstr>
      <vt:lpstr>'NOMINA FIJA ENERO 2025'!Área_de_impresión</vt:lpstr>
      <vt:lpstr>'NOMINA FIJA FEBRERO 2024'!Área_de_impresión</vt:lpstr>
      <vt:lpstr>'NOMINA FIJA FEBRERO 2025'!Área_de_impresión</vt:lpstr>
      <vt:lpstr>'NOMINA FIJA JULIO  2024 '!Área_de_impresión</vt:lpstr>
      <vt:lpstr>'NOMINA FIJA JULIO 2025'!Área_de_impresión</vt:lpstr>
      <vt:lpstr>'NOMINA FIJA JUNIO  2024  '!Área_de_impresión</vt:lpstr>
      <vt:lpstr>'NOMINA FIJA JUNIO 2025 '!Área_de_impresión</vt:lpstr>
      <vt:lpstr>'NOMINA FIJA MARZO 2024 '!Área_de_impresión</vt:lpstr>
      <vt:lpstr>'NOMINA FIJA MARZO 2025'!Área_de_impresión</vt:lpstr>
      <vt:lpstr>'NOMINA FIJA MAYO  2024 '!Área_de_impresión</vt:lpstr>
      <vt:lpstr>'NOMINA FIJA MAYO 2025 (2)'!Área_de_impresión</vt:lpstr>
      <vt:lpstr>'NOMINA FIJA NOVIEMBRE 2024'!Área_de_impresión</vt:lpstr>
      <vt:lpstr>'NOMINA FIJA NOVIEMBRE 2025'!Área_de_impresión</vt:lpstr>
      <vt:lpstr>'NOMINA FIJA OCTUBRE 2024'!Área_de_impresión</vt:lpstr>
      <vt:lpstr>'NOMINA FIJA OCTUBRE 2025'!Área_de_impresión</vt:lpstr>
      <vt:lpstr>'NOMINA FIJA SEPTIEMBRE 2024'!Área_de_impresión</vt:lpstr>
      <vt:lpstr>'NOMINA FIJA SEPTIEMBRE 2025'!Área_de_impresión</vt:lpstr>
      <vt:lpstr>'NOMINA INTERINATO AGOSTO 2025'!Área_de_impresión</vt:lpstr>
      <vt:lpstr>'NOMINA INTERINATO OCTUBRE 2025'!Área_de_impresión</vt:lpstr>
      <vt:lpstr>'NOMINA INTERINATO SEPTIEMB 2025'!Área_de_impresión</vt:lpstr>
      <vt:lpstr>'NOMINA MILITAR ABRIL 2024'!Área_de_impresión</vt:lpstr>
      <vt:lpstr>'NOMINA MILITAR ABRIL 2025 '!Área_de_impresión</vt:lpstr>
      <vt:lpstr>'NOMINA MILITAR AGOSTO 2024'!Área_de_impresión</vt:lpstr>
      <vt:lpstr>'NOMINA MILITAR AGOSTO 2025'!Área_de_impresión</vt:lpstr>
      <vt:lpstr>'NOMINA MILITAR DICIEMBRE 2024'!Área_de_impresión</vt:lpstr>
      <vt:lpstr>'NOMINA MILITAR ENERO 2025'!Área_de_impresión</vt:lpstr>
      <vt:lpstr>'NOMINA MILITAR FEBRERO 2025 '!Área_de_impresión</vt:lpstr>
      <vt:lpstr>'NOMINA MILITAR JULIO  2024 '!Área_de_impresión</vt:lpstr>
      <vt:lpstr>'NOMINA MILITAR JULIO 2025'!Área_de_impresión</vt:lpstr>
      <vt:lpstr>'NOMINA MILITAR JUNIO 2024'!Área_de_impresión</vt:lpstr>
      <vt:lpstr>'NOMINA MILITAR MARZO 2025'!Área_de_impresión</vt:lpstr>
      <vt:lpstr>'NOMINA MILITAR MAYO 2024 '!Área_de_impresión</vt:lpstr>
      <vt:lpstr>'NOMINA MILITAR MAYO 2025'!Área_de_impresión</vt:lpstr>
      <vt:lpstr>'NOMINA MILITAR MAYO 2025 (2)'!Área_de_impresión</vt:lpstr>
      <vt:lpstr>'NOMINA MILITAR NOVIEMBRE 2024'!Área_de_impresión</vt:lpstr>
      <vt:lpstr>'NOMINA MILITAR NOVIEMBRE 2025'!Área_de_impresión</vt:lpstr>
      <vt:lpstr>'NOMINA MILITAR OCTUBR 2024'!Área_de_impresión</vt:lpstr>
      <vt:lpstr>'NOMINA MILITAR OCTUBRE 2025 '!Área_de_impresión</vt:lpstr>
      <vt:lpstr>'NOMINA MILITAR SEPTIEM 2025'!Área_de_impresión</vt:lpstr>
      <vt:lpstr>'NOMINA MILITAR SEPTIEMBRE 2024'!Área_de_impresión</vt:lpstr>
      <vt:lpstr>'NOMINA SUPLENCIA ABRIL 2025 '!Área_de_impresión</vt:lpstr>
      <vt:lpstr>'NOMINA SUPLENCIA AGOSTO 2025'!Área_de_impresión</vt:lpstr>
      <vt:lpstr>'NOMINA SUPLENCIA DICIEMBRE 2024'!Área_de_impresión</vt:lpstr>
      <vt:lpstr>'NOMINA SUPLENCIA ENERO 2025'!Área_de_impresión</vt:lpstr>
      <vt:lpstr>'NOMINA SUPLENCIA FEBRERO 2025'!Área_de_impresión</vt:lpstr>
      <vt:lpstr>'NOMINA SUPLENCIA JULIO 2025'!Área_de_impresión</vt:lpstr>
      <vt:lpstr>'NOMINA SUPLENCIA JUNIO 2025'!Área_de_impresión</vt:lpstr>
      <vt:lpstr>'NOMINA SUPLENCIA MARZO 2025'!Área_de_impresión</vt:lpstr>
      <vt:lpstr>'NOMINA SUPLENCIA MAYO 2025'!Área_de_impresión</vt:lpstr>
      <vt:lpstr>'NOMINA SUPLENCIA NOVIEM 2024'!Área_de_impresión</vt:lpstr>
      <vt:lpstr>'NOMINA SUPLENCIA NOVIEMBRE 2025'!Área_de_impresión</vt:lpstr>
      <vt:lpstr>'NOMINA SUPLENCIA OCTUBRE 2025'!Área_de_impresión</vt:lpstr>
      <vt:lpstr>'NOMINA SUPLENCIA SEPTIEMB 2025'!Área_de_impresión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Yudy Berkys De Los Santos Santos</cp:lastModifiedBy>
  <cp:lastPrinted>2025-11-26T13:27:55Z</cp:lastPrinted>
  <dcterms:created xsi:type="dcterms:W3CDTF">2021-05-01T19:45:01Z</dcterms:created>
  <dcterms:modified xsi:type="dcterms:W3CDTF">2025-11-26T13:29:56Z</dcterms:modified>
</cp:coreProperties>
</file>